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10" windowWidth="10830" windowHeight="6375" tabRatio="889" activeTab="0"/>
  </bookViews>
  <sheets>
    <sheet name="B. Summary of Requirements " sheetId="1" r:id="rId1"/>
    <sheet name="C. Increases Offsets" sheetId="2" r:id="rId2"/>
    <sheet name="D. Strategic Goals &amp; Objectives" sheetId="3" r:id="rId3"/>
    <sheet name="F. 2008 Crosswalk" sheetId="4" r:id="rId4"/>
    <sheet name="G. 2009 Crosswalk" sheetId="5" r:id="rId5"/>
    <sheet name="H. Reimbursable Resources" sheetId="6" r:id="rId6"/>
    <sheet name="J. Financial Analysis" sheetId="7" r:id="rId7"/>
    <sheet name="L. Summary by Object Class" sheetId="8" r:id="rId8"/>
  </sheets>
  <externalReferences>
    <externalReference r:id="rId11"/>
    <externalReference r:id="rId12"/>
    <externalReference r:id="rId13"/>
  </externalReferences>
  <definedNames>
    <definedName name="ATTORNEYSUPP" localSheetId="0">#REF!</definedName>
    <definedName name="ATTORNEYSUPP">#REF!</definedName>
    <definedName name="DL" localSheetId="0">'B. Summary of Requirements '!$A$3:$AB$78</definedName>
    <definedName name="DL">#REF!</definedName>
    <definedName name="EXECSUPP" localSheetId="0">'B. Summary of Requirements '!#REF!</definedName>
    <definedName name="EXECSUPP" localSheetId="6">'[3]Sum of Req'!#REF!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 localSheetId="0">'B. Summary of Requirements '!#REF!</definedName>
    <definedName name="GAROLLUP" localSheetId="5">'[2]SumReq'!#REF!</definedName>
    <definedName name="GAROLLUP" localSheetId="6">'[3]Sum of Req'!#REF!</definedName>
    <definedName name="GAROLLUP">#REF!</definedName>
    <definedName name="INTEL" localSheetId="0">'B. Summary of Requirements '!#REF!</definedName>
    <definedName name="INTEL" localSheetId="6">'[3]Sum of Req'!#REF!</definedName>
    <definedName name="INTEL">#REF!</definedName>
    <definedName name="JMD" localSheetId="0">'B. Summary of Requirements '!#REF!</definedName>
    <definedName name="JMD" localSheetId="6">'[3]Sum of Req'!#REF!</definedName>
    <definedName name="JMD">#REF!</definedName>
    <definedName name="PART">#REF!</definedName>
    <definedName name="POSBYCAT" localSheetId="0">#REF!</definedName>
    <definedName name="POSBYCAT" localSheetId="6">'[3]Summ Atty Agt'!#REF!</definedName>
    <definedName name="POSBYCAT">#REF!</definedName>
    <definedName name="_xlnm.Print_Area" localSheetId="0">'B. Summary of Requirements '!$A$1:$AB$108</definedName>
    <definedName name="_xlnm.Print_Area" localSheetId="1">'C. Increases Offsets'!$A$1:$I$25</definedName>
    <definedName name="_xlnm.Print_Area" localSheetId="2">'D. Strategic Goals &amp; Objectives'!$A$1:$P$41</definedName>
    <definedName name="_xlnm.Print_Area" localSheetId="3">'F. 2008 Crosswalk'!$A$1:$Q$58</definedName>
    <definedName name="_xlnm.Print_Area" localSheetId="4">'G. 2009 Crosswalk'!$A$1:$T$77</definedName>
    <definedName name="_xlnm.Print_Area" localSheetId="5">'H. Reimbursable Resources'!$A$1:$O$19</definedName>
    <definedName name="_xlnm.Print_Area" localSheetId="6">'J. Financial Analysis'!$A$1:$V$45</definedName>
    <definedName name="_xlnm.Print_Area" localSheetId="7">'L. Summary by Object Class'!$A$1:$L$38</definedName>
    <definedName name="REIMPRO" localSheetId="5">'H. Reimbursable Resources'!$A$1:$O$20</definedName>
    <definedName name="REIMPRO">#REF!</definedName>
    <definedName name="REIMSOR" localSheetId="5">'H. Reimbursable Resources'!$Q$21:$AG$34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<sst xmlns="http://schemas.openxmlformats.org/spreadsheetml/2006/main" count="557" uniqueCount="303">
  <si>
    <t>FY 2008 Enacted Without Rescissions</t>
  </si>
  <si>
    <t>2008 Actuals</t>
  </si>
  <si>
    <t>25.5 Research and development contracts</t>
  </si>
  <si>
    <t>25.7 Operation and maintenance of equipment</t>
  </si>
  <si>
    <t xml:space="preserve">Amount  </t>
  </si>
  <si>
    <t>Grades:</t>
  </si>
  <si>
    <t>(Dollars in Thousands)</t>
  </si>
  <si>
    <t>Total Offsets</t>
  </si>
  <si>
    <t>Total FTE</t>
  </si>
  <si>
    <t>Reimbursable FTE</t>
  </si>
  <si>
    <t>Other FTE</t>
  </si>
  <si>
    <t>Total Compensable FTE</t>
  </si>
  <si>
    <t>Summary of Requirements</t>
  </si>
  <si>
    <t>Total Program Increases</t>
  </si>
  <si>
    <t>Rescissions</t>
  </si>
  <si>
    <t>Supplementals</t>
  </si>
  <si>
    <t xml:space="preserve">     Subtotal Increases</t>
  </si>
  <si>
    <t>Collections by Source</t>
  </si>
  <si>
    <t>Budgetary Resources:</t>
  </si>
  <si>
    <t>Estimates by budget activity</t>
  </si>
  <si>
    <t>Pos.</t>
  </si>
  <si>
    <t xml:space="preserve"> </t>
  </si>
  <si>
    <t>Amount</t>
  </si>
  <si>
    <t>Increases</t>
  </si>
  <si>
    <t>ARRA -  ICAC</t>
  </si>
  <si>
    <t>ARRA -ICAC</t>
  </si>
  <si>
    <t>Offsets</t>
  </si>
  <si>
    <t>TOTAL</t>
  </si>
  <si>
    <t>25.3 Purchases of goods &amp; services from Government accounts (Antennas, DHS Sec. Etc..)</t>
  </si>
  <si>
    <t>Residential Substance Abuse Treatment</t>
  </si>
  <si>
    <t>Increase</t>
  </si>
  <si>
    <t>State Criminal Alien Assistance Programs</t>
  </si>
  <si>
    <t>Missing Alz. Disease Patient Alert Program</t>
  </si>
  <si>
    <t>[2,000]</t>
  </si>
  <si>
    <t>Transfer from COPS</t>
  </si>
  <si>
    <t>Transfer from OVW</t>
  </si>
  <si>
    <t>Rescission of Balances</t>
  </si>
  <si>
    <t>Mentally Ill Offender Act /Registry/Mental Health Courts</t>
  </si>
  <si>
    <t>State and Local Law Enforcement Assistance</t>
  </si>
  <si>
    <t>Office of Justice Programs</t>
  </si>
  <si>
    <t>State and Local Law Enforcement</t>
  </si>
  <si>
    <t>Byrne Justice Assistance Grants</t>
  </si>
  <si>
    <t>State Criminal Alien Assistance Program</t>
  </si>
  <si>
    <t>2009 Presidential Inauguration Security</t>
  </si>
  <si>
    <t xml:space="preserve">          Total DIRECT requirements</t>
  </si>
  <si>
    <t>Total 2008 Revised Continuing Appropriations Resolution (with Rescissions)</t>
  </si>
  <si>
    <t>2010 Current Services</t>
  </si>
  <si>
    <t>2010 Total Request</t>
  </si>
  <si>
    <t>2010 Adjustments to Base and Technical Adjustments</t>
  </si>
  <si>
    <t>2010 Increases</t>
  </si>
  <si>
    <t>2010 Offsets</t>
  </si>
  <si>
    <t>2010 Request</t>
  </si>
  <si>
    <t>FY 2010 Request</t>
  </si>
  <si>
    <t>2009 Enacted</t>
  </si>
  <si>
    <t>2009 Enacted (with Rescissions, direct only)</t>
  </si>
  <si>
    <t>2009 Supplementals</t>
  </si>
  <si>
    <t>Total 2009 Enacted (with Rescissions and Supplementals)</t>
  </si>
  <si>
    <t>Restoration of 2009 Prior Year Unobligated Balance Rescission</t>
  </si>
  <si>
    <t>Non-recurral of 2009 Supplemental</t>
  </si>
  <si>
    <t>2008 Appropriation Enacted w/Rescissions and Supplementals</t>
  </si>
  <si>
    <t>FY 2010 Program Increases/Offsets By Decision Unit</t>
  </si>
  <si>
    <t>Crosswalk of 2009 Availability</t>
  </si>
  <si>
    <t>FY 2009 Enacted</t>
  </si>
  <si>
    <t>2009 Availability</t>
  </si>
  <si>
    <t>F: Crosswalk of 2008 Availability</t>
  </si>
  <si>
    <t>G: Crosswalk of 2009 Availability</t>
  </si>
  <si>
    <t xml:space="preserve">  Total, 2010 program changes requested</t>
  </si>
  <si>
    <t>Crosswalk of 2008 Availability</t>
  </si>
  <si>
    <t>2008 Availability</t>
  </si>
  <si>
    <t>end of page</t>
  </si>
  <si>
    <t>Financial Analysis of Program Changes</t>
  </si>
  <si>
    <t>Offset</t>
  </si>
  <si>
    <t>Total positions &amp; annual amount</t>
  </si>
  <si>
    <t xml:space="preserve">      Lapse (-)</t>
  </si>
  <si>
    <t xml:space="preserve">     Other personnel compensation</t>
  </si>
  <si>
    <t>Total FTE &amp; personnel compensation</t>
  </si>
  <si>
    <t>Agt./Atty.</t>
  </si>
  <si>
    <t>Resources by Department of Justice Strategic Goal/Objective</t>
  </si>
  <si>
    <t>Program Offsets</t>
  </si>
  <si>
    <t>Goal 1: Prevent Terrorism and Promote the Nation's Security</t>
  </si>
  <si>
    <t>Subtotal, Goal 1</t>
  </si>
  <si>
    <t xml:space="preserve"> 41.0  Grants, subsidies, and contributions</t>
  </si>
  <si>
    <t>Subtotal, Goal 2</t>
  </si>
  <si>
    <t>Subtotal, Goal 3</t>
  </si>
  <si>
    <t>GRAND TOTAL</t>
  </si>
  <si>
    <t>Justice Assistance Grants (JAG)</t>
  </si>
  <si>
    <t>State Criminal Alien Assistance Program (SCAAP)</t>
  </si>
  <si>
    <t>Justice Assistance Grants</t>
  </si>
  <si>
    <t>Byrne Discretionary Grants</t>
  </si>
  <si>
    <t>Byrne Competitive Grants</t>
  </si>
  <si>
    <t>NIJ LE Technology</t>
  </si>
  <si>
    <t>State and Local Antiterrorism Training (SLATT)</t>
  </si>
  <si>
    <t>Southwest Border Prosecutor Initiative</t>
  </si>
  <si>
    <t>Northern Border Prosecutor Initiative</t>
  </si>
  <si>
    <t>[2.000]</t>
  </si>
  <si>
    <t>President Elect/Transition Security</t>
  </si>
  <si>
    <t>Convention Security (Emergency Funds)</t>
  </si>
  <si>
    <t>Victims of Trafficking</t>
  </si>
  <si>
    <t>Residential Substance Abuse Treatment (RSAT)</t>
  </si>
  <si>
    <t>Prescription Drug Monitoring Program</t>
  </si>
  <si>
    <t>Prison Rape Prevention and Prosecution Program</t>
  </si>
  <si>
    <t>Missing Alzheimer's Disease Patient Alert Program</t>
  </si>
  <si>
    <t>Capital Litigation Improvement Grant Program</t>
  </si>
  <si>
    <t>Economic, High-Tech, and Cybercrime Prevention</t>
  </si>
  <si>
    <t>Indian  Country Assistance</t>
  </si>
  <si>
    <t>Tribal Prison Construction Grants</t>
  </si>
  <si>
    <t>Tribal Courts</t>
  </si>
  <si>
    <t>Indian Alcohol and Substance Abuse Program</t>
  </si>
  <si>
    <t>Transfer - National Prison Rape Elimination Commission</t>
  </si>
  <si>
    <t>Drug Courts</t>
  </si>
  <si>
    <t>[1,692]</t>
  </si>
  <si>
    <t>[8,630]</t>
  </si>
  <si>
    <t>[5,180]</t>
  </si>
  <si>
    <t>[5,000]</t>
  </si>
  <si>
    <t>[20,000]</t>
  </si>
  <si>
    <t>[7,000]</t>
  </si>
  <si>
    <t>[10,000]</t>
  </si>
  <si>
    <t>[9.000]</t>
  </si>
  <si>
    <t>[6.000]</t>
  </si>
  <si>
    <t>Direct, Reimb. Other FTE</t>
  </si>
  <si>
    <t>Direct Amount $000s</t>
  </si>
  <si>
    <t>11.1  Direct FTE &amp; personnel compensation</t>
  </si>
  <si>
    <t xml:space="preserve">       Total 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</si>
  <si>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</si>
  <si>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Perm. Pos.</t>
  </si>
  <si>
    <t>Location of Description by Decision Unit</t>
  </si>
  <si>
    <t>Reprogrammings / Transfers</t>
  </si>
  <si>
    <t>Carryover/ Recoveries</t>
  </si>
  <si>
    <t>end of sheet</t>
  </si>
  <si>
    <t>Total Increases</t>
  </si>
  <si>
    <t xml:space="preserve">   J: Financial Analysis of Program Changes</t>
  </si>
  <si>
    <t>H: Summary of Reimbursable Resources</t>
  </si>
  <si>
    <t>D: Resources by DOJ Strategic Goal and Strategic Objective</t>
  </si>
  <si>
    <t>C: Program Increases/Offsets By Decision Unit</t>
  </si>
  <si>
    <t>B: Summary of Requirements</t>
  </si>
  <si>
    <t>2008 Supplementals</t>
  </si>
  <si>
    <t>[15,200]</t>
  </si>
  <si>
    <t>[6,500]</t>
  </si>
  <si>
    <t>[40,000]</t>
  </si>
  <si>
    <t>[10,000}</t>
  </si>
  <si>
    <t>Mentally Ill Offender Act Program/Mental Health Courts</t>
  </si>
  <si>
    <t>Goal 2: Prevent Crime, Enforce Federal Laws and Represent the 
              Rights and Interests of the American People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</si>
  <si>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</si>
  <si>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</si>
  <si>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</si>
  <si>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</si>
  <si>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</si>
  <si>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</si>
  <si>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</si>
  <si>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</si>
  <si>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</si>
  <si>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</si>
  <si>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</si>
  <si>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</si>
  <si>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</si>
  <si>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>23.2 Moving/Lease Expirations/Contract Parking</t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</si>
  <si>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</si>
  <si>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</si>
  <si>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3.7  Uphold the rights and improve services to America’s crime victims </t>
  </si>
  <si>
    <t>Total Adjustments to Base and Technical Adjustments</t>
  </si>
  <si>
    <t xml:space="preserve">Total Adjustments to Base </t>
  </si>
  <si>
    <t>Increases:</t>
  </si>
  <si>
    <t>Decreases:</t>
  </si>
  <si>
    <t>Increase/Decrease</t>
  </si>
  <si>
    <t>Decision Unit</t>
  </si>
  <si>
    <t>FTE</t>
  </si>
  <si>
    <t>Total</t>
  </si>
  <si>
    <t>Presidential Nominating Conventions for 2008</t>
  </si>
  <si>
    <t>Residential Substance Abuse Treatment  (RSAT)</t>
  </si>
  <si>
    <t>Missing Alzheimer's Patient Alert Program</t>
  </si>
  <si>
    <t>Indian Country Assistance Initiatives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</si>
  <si>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</si>
  <si>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</si>
  <si>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</si>
  <si>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</si>
  <si>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</si>
  <si>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</si>
  <si>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</si>
  <si>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</si>
  <si>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</si>
  <si>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</si>
  <si>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</si>
  <si>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</si>
  <si>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</si>
  <si>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</si>
  <si>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</si>
  <si>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</si>
  <si>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</si>
  <si>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</si>
  <si>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</si>
  <si>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>SES</t>
  </si>
  <si>
    <t>GS-15</t>
  </si>
  <si>
    <t>GS-14</t>
  </si>
  <si>
    <t>GS-13</t>
  </si>
  <si>
    <t>GS-12</t>
  </si>
  <si>
    <t>GS-11</t>
  </si>
  <si>
    <t>GS-10</t>
  </si>
  <si>
    <t>GS-9</t>
  </si>
  <si>
    <t>GS-8</t>
  </si>
  <si>
    <t>GS-7</t>
  </si>
  <si>
    <t xml:space="preserve">GS-5 </t>
  </si>
  <si>
    <t>Personnel benefits</t>
  </si>
  <si>
    <t>Transportation of things</t>
  </si>
  <si>
    <t>Printing</t>
  </si>
  <si>
    <t>Equipment</t>
  </si>
  <si>
    <t>Purchases of goods &amp; services from Government accounts</t>
  </si>
  <si>
    <t>Travel and transportation of persons</t>
  </si>
  <si>
    <t>GSA rent</t>
  </si>
  <si>
    <t>Communication, rents, and utilities</t>
  </si>
  <si>
    <t>Advisory and assistance services</t>
  </si>
  <si>
    <t>Other services</t>
  </si>
  <si>
    <t>Research and development contracts</t>
  </si>
  <si>
    <t>Supplies and materials</t>
  </si>
  <si>
    <t>Operation and maintenance of equipment</t>
  </si>
  <si>
    <t>Object Classes</t>
  </si>
  <si>
    <t>Other Object Classes:</t>
  </si>
  <si>
    <t>Total requirements must equal BA.  Include SF-1151 transfers.  Do not include recoveries or unobligated balances.</t>
  </si>
  <si>
    <t>2004 Unobligated balance, start of year, should tie to line 2A of the current SF-132.</t>
  </si>
  <si>
    <t>Relation of obligation to outlays data is based on SF-133 data.  For start of year, refer to line 12 of the SF-133.  End of year is of course not available yet (will be shown on line 14), but please provide an estimate.  Outlays = obligations+SOY-EOY, and must tie to entries on the Outyear Projections exhibit that follows.</t>
  </si>
  <si>
    <t>Grants, subsidies, and contributions</t>
  </si>
  <si>
    <t>Summary of Reimbursable Resources</t>
  </si>
  <si>
    <t>Summary of Requirements by Object Class</t>
  </si>
  <si>
    <t>Overtime</t>
  </si>
  <si>
    <t>Technical Adjustments</t>
  </si>
  <si>
    <t>Program Changes</t>
  </si>
  <si>
    <t>Increases [list all]</t>
  </si>
  <si>
    <t>Total Program Changes</t>
  </si>
  <si>
    <t>Subtotal Increases</t>
  </si>
  <si>
    <t>Subtotal Offsets</t>
  </si>
  <si>
    <t xml:space="preserve">   3.3  Provide for the safe, secure, and humane confinement of detained persons awaiting trial and/or sentencing, and those in the custody of the Federal Prison System </t>
  </si>
  <si>
    <t xml:space="preserve">   3.6  Promote and strengthen innovative strategies in the administration of State and local justice systems </t>
  </si>
  <si>
    <t>2010 Request Subtotal</t>
  </si>
  <si>
    <t>Rescission of 2009 Balances</t>
  </si>
  <si>
    <t xml:space="preserve">2009  (Enacted)- 2010 Total Change </t>
  </si>
  <si>
    <t>2009 (Enacted with Supplementals)- 2010 Total Change</t>
  </si>
  <si>
    <t>23.1  GSA rent</t>
  </si>
  <si>
    <t>25.4  Operation and maintenance of facilities</t>
  </si>
  <si>
    <t>L: Summary of Requirements by Object Class</t>
  </si>
  <si>
    <t>Program Increases</t>
  </si>
  <si>
    <t>2008 Enacted (with Rescissions, direct only)</t>
  </si>
  <si>
    <t>2008 Enacted</t>
  </si>
  <si>
    <t>Byrne Formula</t>
  </si>
  <si>
    <t>Motor Vehicle Theft Prevention</t>
  </si>
  <si>
    <t>Local Law Enforcement Block Grants (LLEBG)</t>
  </si>
  <si>
    <t>National Criminal Intelligence Sharing Plan (NCISP)</t>
  </si>
  <si>
    <t>Violent Offender Initiative/Truth In Sentencing (VOITIS)</t>
  </si>
  <si>
    <t xml:space="preserve">Terrorism Prevention and Response Team </t>
  </si>
  <si>
    <t>Juvenile Accountability Block Grants (JABG)</t>
  </si>
  <si>
    <t>Sex Offender Registry</t>
  </si>
  <si>
    <t xml:space="preserve">  Transfer of Supplemental Funding to ATF</t>
  </si>
  <si>
    <t>Non-recur Transfer</t>
  </si>
  <si>
    <t>Executive Office of the President</t>
  </si>
  <si>
    <t>Department of Justice</t>
  </si>
  <si>
    <t>General Services Administration</t>
  </si>
  <si>
    <t xml:space="preserve">Department of Transportation </t>
  </si>
  <si>
    <t>Department of Homeland Security</t>
  </si>
  <si>
    <t>Department of Health and Human Services</t>
  </si>
  <si>
    <t>ARRA - Byrne Justice Assistance Grants</t>
  </si>
  <si>
    <t>ARRA - Byrne Competitive Grants</t>
  </si>
  <si>
    <t>ARRA - Indian Country Assistance</t>
  </si>
  <si>
    <t>ARRA - Rural Drug Enforcement Assistance</t>
  </si>
  <si>
    <t>ARRA - Southwest Border Enforcement/Project Gunrunner</t>
  </si>
  <si>
    <t>Transfer to ATFE for Project Gunrunner</t>
  </si>
  <si>
    <t>ARRA - Additional OVC Victim Compensation Formula Grants</t>
  </si>
  <si>
    <t>[225,000]</t>
  </si>
  <si>
    <t>Drug, Mental Health, and Problem Solving Courts</t>
  </si>
  <si>
    <t xml:space="preserve">Drug, Mental Health, and Problem Solving Courts </t>
  </si>
  <si>
    <t>[-2,689]</t>
  </si>
  <si>
    <t>[-77]</t>
  </si>
  <si>
    <t>[4,175]</t>
  </si>
  <si>
    <t>[1,003]</t>
  </si>
  <si>
    <t>[1486]</t>
  </si>
  <si>
    <t>[926]</t>
  </si>
  <si>
    <t>[45,261]</t>
  </si>
  <si>
    <t>[10,265]</t>
  </si>
  <si>
    <t>Department of Commerce</t>
  </si>
  <si>
    <t>Recoveries as of 3/31/09</t>
  </si>
  <si>
    <t xml:space="preserve"> Byrne Formula Grants</t>
  </si>
  <si>
    <t>[363]</t>
  </si>
  <si>
    <t xml:space="preserve"> COPS Programs Transferred to OJP </t>
  </si>
  <si>
    <t>Indian Discretionary Program</t>
  </si>
  <si>
    <t>DNA Identification Grants</t>
  </si>
  <si>
    <t>STOP Programs</t>
  </si>
  <si>
    <t>Truth in Sentencing Incentive Grants</t>
  </si>
  <si>
    <t>Gang Prevention</t>
  </si>
  <si>
    <t>Crime Lab Capacity Grants</t>
  </si>
  <si>
    <t>FBI State Information Grants</t>
  </si>
  <si>
    <t>Elder Abuse</t>
  </si>
  <si>
    <t>Save Haven</t>
  </si>
  <si>
    <t>[6,791]</t>
  </si>
  <si>
    <t>Transfer To Justice Assistance</t>
  </si>
  <si>
    <t>Enacted Rescissions.  Funds rescinded as required by the Consolidated Appropriations Act, 2009.</t>
  </si>
  <si>
    <t>Enacted Rescissions.  Funds rescinded as required by the Consolidated Appropriations Act, 2008 (P.L. 110-161).</t>
  </si>
  <si>
    <t>Unobligated Balances.  Funds were carried over from FY 2008 from the S&amp;L X account.  The OJP brought forward $130M from funds provided in 2008 for grants.</t>
  </si>
  <si>
    <t>COPS Programs Transferred to OJP</t>
  </si>
  <si>
    <t>VOW Programs Transferred to OJP</t>
  </si>
  <si>
    <t>Transfers.  The amount reflects a net amount mandatory transfer of funds from COPS $241M to S&amp;L; and S&amp;L to J&amp;A $55M for M&amp;A.  The Attorney General authorized the transfer of $186M to S&amp;L needed for Grants.</t>
  </si>
  <si>
    <t xml:space="preserve">Unobligated Balances.  Funds were carried over from FY 2007 from the S&amp;L X account.  The OJP brought forward $525M from funds provided in 2007 for FY 2008 S&amp;L grants. </t>
  </si>
  <si>
    <t>Office of the Director of National Intelligence</t>
  </si>
  <si>
    <t>Research and Evaluation (NIJ)</t>
  </si>
  <si>
    <t>Safe Start</t>
  </si>
  <si>
    <t>Training Probation/Parole Officers</t>
  </si>
  <si>
    <t xml:space="preserve">Goal 3: Ensure the Fair and Efficient Administration of Justice          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</si>
</sst>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  <numFmt numFmtId="218" formatCode="0.00_);\(0.00\)"/>
    <numFmt numFmtId="219" formatCode="#,##0.00;[Red]#,##0.00"/>
  </numFmts>
  <fonts count="7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0"/>
      <color indexed="8"/>
      <name val="TMS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MS"/>
      <family val="0"/>
    </font>
    <font>
      <u val="single"/>
      <sz val="12"/>
      <color indexed="8"/>
      <name val="TMS"/>
      <family val="0"/>
    </font>
    <font>
      <sz val="10"/>
      <name val="TimesNewRomanPS"/>
      <family val="0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PS"/>
      <family val="0"/>
    </font>
    <font>
      <i/>
      <sz val="14"/>
      <name val="Times New Roman"/>
      <family val="1"/>
    </font>
    <font>
      <sz val="14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12"/>
      <name val="Arial"/>
      <family val="0"/>
    </font>
    <font>
      <b/>
      <sz val="9"/>
      <name val="Times New Roman"/>
      <family val="1"/>
    </font>
    <font>
      <b/>
      <sz val="24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2"/>
      <color indexed="9"/>
      <name val="TimesNewRomanPS"/>
      <family val="0"/>
    </font>
    <font>
      <sz val="12"/>
      <color indexed="9"/>
      <name val="Times New Roman"/>
      <family val="0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10"/>
      <color indexed="9"/>
      <name val="TMS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0"/>
    </font>
    <font>
      <b/>
      <sz val="12"/>
      <name val="Arial"/>
      <family val="0"/>
    </font>
    <font>
      <b/>
      <sz val="8"/>
      <color indexed="9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>
        <color indexed="55"/>
      </top>
      <bottom style="hair"/>
    </border>
    <border>
      <left>
        <color indexed="63"/>
      </left>
      <right style="thin"/>
      <top style="thin">
        <color indexed="55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7" borderId="1" applyNumberFormat="0" applyAlignment="0" applyProtection="0"/>
    <xf numFmtId="0" fontId="72" fillId="0" borderId="6" applyNumberFormat="0" applyFill="0" applyAlignment="0" applyProtection="0"/>
    <xf numFmtId="0" fontId="73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74" fillId="20" borderId="8" applyNumberFormat="0" applyAlignment="0" applyProtection="0"/>
    <xf numFmtId="9" fontId="1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841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1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2" fillId="24" borderId="0" xfId="0" applyNumberFormat="1" applyFont="1" applyFill="1" applyAlignment="1">
      <alignment/>
    </xf>
    <xf numFmtId="177" fontId="12" fillId="24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177" fontId="13" fillId="24" borderId="0" xfId="0" applyNumberFormat="1" applyFont="1" applyFill="1" applyBorder="1" applyAlignment="1">
      <alignment/>
    </xf>
    <xf numFmtId="177" fontId="17" fillId="24" borderId="0" xfId="0" applyNumberFormat="1" applyFont="1" applyFill="1" applyAlignment="1">
      <alignment/>
    </xf>
    <xf numFmtId="177" fontId="5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7" fillId="24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22" fillId="24" borderId="0" xfId="0" applyNumberFormat="1" applyFont="1" applyFill="1" applyAlignment="1">
      <alignment/>
    </xf>
    <xf numFmtId="177" fontId="23" fillId="24" borderId="0" xfId="0" applyNumberFormat="1" applyFont="1" applyFill="1" applyAlignment="1">
      <alignment horizontal="centerContinuous"/>
    </xf>
    <xf numFmtId="177" fontId="22" fillId="24" borderId="0" xfId="0" applyNumberFormat="1" applyFont="1" applyFill="1" applyAlignment="1">
      <alignment horizontal="centerContinuous"/>
    </xf>
    <xf numFmtId="177" fontId="6" fillId="0" borderId="0" xfId="0" applyNumberFormat="1" applyFont="1" applyAlignment="1">
      <alignment/>
    </xf>
    <xf numFmtId="0" fontId="19" fillId="0" borderId="0" xfId="57">
      <alignment/>
      <protection/>
    </xf>
    <xf numFmtId="0" fontId="19" fillId="0" borderId="0" xfId="58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left"/>
      <protection/>
    </xf>
    <xf numFmtId="0" fontId="19" fillId="0" borderId="0" xfId="57" applyAlignment="1">
      <alignment horizontal="centerContinuous"/>
      <protection/>
    </xf>
    <xf numFmtId="0" fontId="20" fillId="0" borderId="0" xfId="58" applyFont="1">
      <alignment/>
      <protection/>
    </xf>
    <xf numFmtId="0" fontId="26" fillId="0" borderId="10" xfId="57" applyFont="1" applyBorder="1" applyAlignment="1">
      <alignment horizontal="center"/>
      <protection/>
    </xf>
    <xf numFmtId="0" fontId="26" fillId="0" borderId="11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0" fontId="14" fillId="0" borderId="10" xfId="57" applyFont="1" applyBorder="1">
      <alignment/>
      <protection/>
    </xf>
    <xf numFmtId="0" fontId="14" fillId="0" borderId="13" xfId="57" applyFont="1" applyBorder="1">
      <alignment/>
      <protection/>
    </xf>
    <xf numFmtId="0" fontId="14" fillId="0" borderId="11" xfId="57" applyFont="1" applyBorder="1">
      <alignment/>
      <protection/>
    </xf>
    <xf numFmtId="0" fontId="14" fillId="0" borderId="0" xfId="58" applyFont="1">
      <alignment/>
      <protection/>
    </xf>
    <xf numFmtId="0" fontId="14" fillId="0" borderId="14" xfId="58" applyFont="1" applyBorder="1">
      <alignment/>
      <protection/>
    </xf>
    <xf numFmtId="0" fontId="26" fillId="0" borderId="14" xfId="58" applyFont="1" applyBorder="1">
      <alignment/>
      <protection/>
    </xf>
    <xf numFmtId="0" fontId="26" fillId="0" borderId="14" xfId="58" applyFont="1" applyBorder="1" applyAlignment="1">
      <alignment wrapText="1"/>
      <protection/>
    </xf>
    <xf numFmtId="0" fontId="26" fillId="0" borderId="12" xfId="58" applyFont="1" applyBorder="1">
      <alignment/>
      <protection/>
    </xf>
    <xf numFmtId="0" fontId="26" fillId="0" borderId="0" xfId="58" applyFont="1" applyBorder="1" applyAlignment="1">
      <alignment horizontal="left"/>
      <protection/>
    </xf>
    <xf numFmtId="183" fontId="26" fillId="0" borderId="0" xfId="58" applyNumberFormat="1" applyFont="1" applyBorder="1" applyAlignment="1">
      <alignment horizontal="left"/>
      <protection/>
    </xf>
    <xf numFmtId="185" fontId="26" fillId="0" borderId="0" xfId="44" applyNumberFormat="1" applyFont="1" applyBorder="1" applyAlignment="1">
      <alignment horizontal="left"/>
    </xf>
    <xf numFmtId="3" fontId="6" fillId="25" borderId="0" xfId="0" applyNumberFormat="1" applyFont="1" applyFill="1" applyAlignment="1">
      <alignment/>
    </xf>
    <xf numFmtId="0" fontId="26" fillId="25" borderId="0" xfId="58" applyFont="1" applyFill="1" applyBorder="1" applyAlignment="1">
      <alignment horizontal="left"/>
      <protection/>
    </xf>
    <xf numFmtId="183" fontId="26" fillId="25" borderId="0" xfId="58" applyNumberFormat="1" applyFont="1" applyFill="1" applyBorder="1" applyAlignment="1">
      <alignment horizontal="left"/>
      <protection/>
    </xf>
    <xf numFmtId="185" fontId="26" fillId="25" borderId="0" xfId="44" applyNumberFormat="1" applyFont="1" applyFill="1" applyBorder="1" applyAlignment="1">
      <alignment horizontal="left"/>
    </xf>
    <xf numFmtId="0" fontId="19" fillId="25" borderId="0" xfId="57" applyFill="1">
      <alignment/>
      <protection/>
    </xf>
    <xf numFmtId="177" fontId="5" fillId="25" borderId="0" xfId="0" applyNumberFormat="1" applyFont="1" applyFill="1" applyAlignment="1">
      <alignment/>
    </xf>
    <xf numFmtId="0" fontId="14" fillId="25" borderId="0" xfId="58" applyFont="1" applyFill="1" applyBorder="1" applyAlignment="1">
      <alignment horizontal="center"/>
      <protection/>
    </xf>
    <xf numFmtId="0" fontId="36" fillId="25" borderId="0" xfId="57" applyFont="1" applyFill="1">
      <alignment/>
      <protection/>
    </xf>
    <xf numFmtId="0" fontId="37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177" fontId="5" fillId="0" borderId="15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32" fillId="0" borderId="10" xfId="0" applyNumberFormat="1" applyFont="1" applyBorder="1" applyAlignment="1">
      <alignment horizontal="left"/>
    </xf>
    <xf numFmtId="5" fontId="32" fillId="0" borderId="10" xfId="0" applyNumberFormat="1" applyFont="1" applyBorder="1" applyAlignment="1">
      <alignment/>
    </xf>
    <xf numFmtId="5" fontId="32" fillId="0" borderId="11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32" fillId="0" borderId="17" xfId="0" applyNumberFormat="1" applyFont="1" applyBorder="1" applyAlignment="1">
      <alignment horizontal="right"/>
    </xf>
    <xf numFmtId="177" fontId="32" fillId="0" borderId="11" xfId="0" applyNumberFormat="1" applyFont="1" applyBorder="1" applyAlignment="1">
      <alignment/>
    </xf>
    <xf numFmtId="177" fontId="5" fillId="0" borderId="13" xfId="0" applyNumberFormat="1" applyFont="1" applyFill="1" applyBorder="1" applyAlignment="1">
      <alignment/>
    </xf>
    <xf numFmtId="177" fontId="5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0" fontId="14" fillId="0" borderId="21" xfId="57" applyFont="1" applyBorder="1" applyAlignment="1">
      <alignment horizontal="center"/>
      <protection/>
    </xf>
    <xf numFmtId="177" fontId="6" fillId="0" borderId="15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7" fontId="20" fillId="0" borderId="23" xfId="0" applyNumberFormat="1" applyFont="1" applyBorder="1" applyAlignment="1">
      <alignment horizontal="right"/>
    </xf>
    <xf numFmtId="165" fontId="20" fillId="0" borderId="11" xfId="0" applyNumberFormat="1" applyFont="1" applyBorder="1" applyAlignment="1">
      <alignment/>
    </xf>
    <xf numFmtId="177" fontId="35" fillId="24" borderId="24" xfId="0" applyNumberFormat="1" applyFont="1" applyFill="1" applyBorder="1" applyAlignment="1">
      <alignment horizontal="right"/>
    </xf>
    <xf numFmtId="177" fontId="35" fillId="24" borderId="17" xfId="0" applyNumberFormat="1" applyFont="1" applyFill="1" applyBorder="1" applyAlignment="1">
      <alignment horizontal="right"/>
    </xf>
    <xf numFmtId="177" fontId="35" fillId="24" borderId="23" xfId="0" applyNumberFormat="1" applyFont="1" applyFill="1" applyBorder="1" applyAlignment="1">
      <alignment horizontal="right"/>
    </xf>
    <xf numFmtId="177" fontId="32" fillId="0" borderId="24" xfId="0" applyNumberFormat="1" applyFont="1" applyBorder="1" applyAlignment="1">
      <alignment horizontal="right"/>
    </xf>
    <xf numFmtId="177" fontId="32" fillId="0" borderId="23" xfId="0" applyNumberFormat="1" applyFont="1" applyBorder="1" applyAlignment="1">
      <alignment horizontal="right"/>
    </xf>
    <xf numFmtId="3" fontId="31" fillId="24" borderId="25" xfId="0" applyNumberFormat="1" applyFont="1" applyFill="1" applyBorder="1" applyAlignment="1">
      <alignment horizontal="right"/>
    </xf>
    <xf numFmtId="3" fontId="31" fillId="24" borderId="26" xfId="0" applyNumberFormat="1" applyFont="1" applyFill="1" applyBorder="1" applyAlignment="1">
      <alignment horizontal="right"/>
    </xf>
    <xf numFmtId="0" fontId="26" fillId="0" borderId="27" xfId="58" applyFont="1" applyBorder="1" applyAlignment="1">
      <alignment horizontal="left"/>
      <protection/>
    </xf>
    <xf numFmtId="0" fontId="19" fillId="0" borderId="0" xfId="57" applyBorder="1">
      <alignment/>
      <protection/>
    </xf>
    <xf numFmtId="0" fontId="33" fillId="22" borderId="0" xfId="0" applyFont="1" applyFill="1" applyBorder="1" applyAlignment="1">
      <alignment vertical="top" wrapText="1"/>
    </xf>
    <xf numFmtId="0" fontId="33" fillId="22" borderId="0" xfId="0" applyFont="1" applyFill="1" applyAlignment="1">
      <alignment/>
    </xf>
    <xf numFmtId="0" fontId="0" fillId="22" borderId="0" xfId="0" applyFill="1" applyBorder="1" applyAlignment="1">
      <alignment vertical="top" wrapText="1"/>
    </xf>
    <xf numFmtId="3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6" fillId="22" borderId="0" xfId="0" applyNumberFormat="1" applyFont="1" applyFill="1" applyAlignment="1">
      <alignment/>
    </xf>
    <xf numFmtId="177" fontId="12" fillId="22" borderId="0" xfId="0" applyNumberFormat="1" applyFont="1" applyFill="1" applyAlignment="1">
      <alignment horizontal="right"/>
    </xf>
    <xf numFmtId="177" fontId="12" fillId="22" borderId="0" xfId="0" applyNumberFormat="1" applyFont="1" applyFill="1" applyAlignment="1">
      <alignment/>
    </xf>
    <xf numFmtId="5" fontId="35" fillId="24" borderId="20" xfId="0" applyNumberFormat="1" applyFont="1" applyFill="1" applyBorder="1" applyAlignment="1">
      <alignment/>
    </xf>
    <xf numFmtId="5" fontId="35" fillId="24" borderId="19" xfId="0" applyNumberFormat="1" applyFont="1" applyFill="1" applyBorder="1" applyAlignment="1">
      <alignment/>
    </xf>
    <xf numFmtId="0" fontId="14" fillId="0" borderId="0" xfId="58" applyFont="1" applyFill="1">
      <alignment/>
      <protection/>
    </xf>
    <xf numFmtId="0" fontId="19" fillId="0" borderId="0" xfId="57" applyFont="1" applyAlignment="1">
      <alignment horizontal="left"/>
      <protection/>
    </xf>
    <xf numFmtId="0" fontId="19" fillId="0" borderId="0" xfId="57" applyFont="1" applyBorder="1">
      <alignment/>
      <protection/>
    </xf>
    <xf numFmtId="0" fontId="19" fillId="6" borderId="0" xfId="57" applyFont="1" applyFill="1">
      <alignment/>
      <protection/>
    </xf>
    <xf numFmtId="165" fontId="19" fillId="6" borderId="0" xfId="57" applyNumberFormat="1" applyFont="1" applyFill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7" fillId="24" borderId="0" xfId="0" applyNumberFormat="1" applyFont="1" applyFill="1" applyBorder="1" applyAlignment="1">
      <alignment horizontal="centerContinuous"/>
    </xf>
    <xf numFmtId="3" fontId="31" fillId="24" borderId="28" xfId="0" applyNumberFormat="1" applyFont="1" applyFill="1" applyBorder="1" applyAlignment="1">
      <alignment horizontal="right"/>
    </xf>
    <xf numFmtId="1" fontId="19" fillId="6" borderId="0" xfId="57" applyNumberFormat="1" applyFont="1" applyFill="1">
      <alignment/>
      <protection/>
    </xf>
    <xf numFmtId="165" fontId="19" fillId="25" borderId="0" xfId="57" applyNumberFormat="1" applyFill="1">
      <alignment/>
      <protection/>
    </xf>
    <xf numFmtId="0" fontId="14" fillId="0" borderId="29" xfId="57" applyFont="1" applyBorder="1">
      <alignment/>
      <protection/>
    </xf>
    <xf numFmtId="0" fontId="14" fillId="0" borderId="30" xfId="57" applyFont="1" applyBorder="1">
      <alignment/>
      <protection/>
    </xf>
    <xf numFmtId="3" fontId="20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0" fontId="26" fillId="0" borderId="0" xfId="58" applyFont="1">
      <alignment/>
      <protection/>
    </xf>
    <xf numFmtId="177" fontId="0" fillId="22" borderId="0" xfId="0" applyNumberFormat="1" applyFont="1" applyFill="1" applyAlignment="1">
      <alignment/>
    </xf>
    <xf numFmtId="177" fontId="43" fillId="22" borderId="0" xfId="0" applyNumberFormat="1" applyFont="1" applyFill="1" applyAlignment="1">
      <alignment horizontal="centerContinuous"/>
    </xf>
    <xf numFmtId="177" fontId="0" fillId="22" borderId="0" xfId="0" applyNumberFormat="1" applyFont="1" applyFill="1" applyAlignment="1">
      <alignment horizontal="centerContinuous"/>
    </xf>
    <xf numFmtId="0" fontId="34" fillId="22" borderId="0" xfId="0" applyFont="1" applyFill="1" applyBorder="1" applyAlignment="1">
      <alignment vertical="top" wrapText="1"/>
    </xf>
    <xf numFmtId="0" fontId="0" fillId="22" borderId="0" xfId="0" applyFont="1" applyFill="1" applyBorder="1" applyAlignment="1">
      <alignment vertical="top" wrapText="1"/>
    </xf>
    <xf numFmtId="177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177" fontId="6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vertical="top" wrapText="1"/>
    </xf>
    <xf numFmtId="177" fontId="0" fillId="22" borderId="0" xfId="0" applyNumberFormat="1" applyFont="1" applyFill="1" applyAlignment="1">
      <alignment/>
    </xf>
    <xf numFmtId="0" fontId="42" fillId="22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Continuous"/>
    </xf>
    <xf numFmtId="0" fontId="25" fillId="22" borderId="0" xfId="57" applyFont="1" applyFill="1" applyAlignment="1">
      <alignment horizontal="centerContinuous"/>
      <protection/>
    </xf>
    <xf numFmtId="0" fontId="0" fillId="22" borderId="0" xfId="57" applyFont="1" applyFill="1" applyAlignment="1">
      <alignment horizontal="centerContinuous"/>
      <protection/>
    </xf>
    <xf numFmtId="0" fontId="19" fillId="22" borderId="0" xfId="57" applyFont="1" applyFill="1">
      <alignment/>
      <protection/>
    </xf>
    <xf numFmtId="0" fontId="25" fillId="22" borderId="0" xfId="58" applyFont="1" applyFill="1" applyAlignment="1">
      <alignment horizontal="centerContinuous"/>
      <protection/>
    </xf>
    <xf numFmtId="0" fontId="0" fillId="22" borderId="0" xfId="58" applyFont="1" applyFill="1" applyAlignment="1">
      <alignment horizontal="centerContinuous"/>
      <protection/>
    </xf>
    <xf numFmtId="183" fontId="0" fillId="22" borderId="0" xfId="58" applyNumberFormat="1" applyFont="1" applyFill="1" applyAlignment="1">
      <alignment horizontal="centerContinuous"/>
      <protection/>
    </xf>
    <xf numFmtId="0" fontId="19" fillId="22" borderId="0" xfId="58" applyFont="1" applyFill="1">
      <alignment/>
      <protection/>
    </xf>
    <xf numFmtId="0" fontId="0" fillId="22" borderId="0" xfId="0" applyFont="1" applyFill="1" applyBorder="1" applyAlignment="1">
      <alignment/>
    </xf>
    <xf numFmtId="183" fontId="0" fillId="0" borderId="0" xfId="58" applyNumberFormat="1" applyFont="1" applyFill="1" applyAlignment="1">
      <alignment horizontal="centerContinuous"/>
      <protection/>
    </xf>
    <xf numFmtId="183" fontId="19" fillId="0" borderId="0" xfId="58" applyNumberFormat="1" applyFont="1" applyFill="1">
      <alignment/>
      <protection/>
    </xf>
    <xf numFmtId="0" fontId="19" fillId="0" borderId="0" xfId="58" applyFont="1" applyFill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7" fontId="25" fillId="22" borderId="0" xfId="0" applyNumberFormat="1" applyFont="1" applyFill="1" applyAlignment="1">
      <alignment horizontal="centerContinuous"/>
    </xf>
    <xf numFmtId="0" fontId="2" fillId="0" borderId="0" xfId="57" applyFont="1" applyFill="1" applyAlignment="1">
      <alignment/>
      <protection/>
    </xf>
    <xf numFmtId="0" fontId="3" fillId="0" borderId="0" xfId="57" applyFont="1" applyFill="1" applyAlignment="1">
      <alignment/>
      <protection/>
    </xf>
    <xf numFmtId="0" fontId="14" fillId="0" borderId="0" xfId="58" applyFont="1" applyBorder="1">
      <alignment/>
      <protection/>
    </xf>
    <xf numFmtId="183" fontId="26" fillId="0" borderId="0" xfId="58" applyNumberFormat="1" applyFont="1" applyBorder="1">
      <alignment/>
      <protection/>
    </xf>
    <xf numFmtId="183" fontId="14" fillId="0" borderId="0" xfId="42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" fontId="26" fillId="0" borderId="0" xfId="58" applyNumberFormat="1" applyFont="1" applyFill="1" applyBorder="1" applyAlignment="1">
      <alignment horizontal="centerContinuous"/>
      <protection/>
    </xf>
    <xf numFmtId="0" fontId="26" fillId="0" borderId="0" xfId="58" applyFont="1" applyFill="1" applyBorder="1" applyAlignment="1">
      <alignment horizontal="centerContinuous"/>
      <protection/>
    </xf>
    <xf numFmtId="0" fontId="28" fillId="0" borderId="0" xfId="58" applyFont="1" applyFill="1" applyBorder="1" applyAlignment="1">
      <alignment horizontal="center"/>
      <protection/>
    </xf>
    <xf numFmtId="185" fontId="26" fillId="0" borderId="0" xfId="44" applyNumberFormat="1" applyFont="1" applyBorder="1" applyAlignment="1">
      <alignment/>
    </xf>
    <xf numFmtId="183" fontId="26" fillId="0" borderId="0" xfId="42" applyNumberFormat="1" applyFont="1" applyBorder="1" applyAlignment="1">
      <alignment/>
    </xf>
    <xf numFmtId="0" fontId="1" fillId="0" borderId="0" xfId="58" applyFont="1" applyBorder="1" applyAlignment="1">
      <alignment horizontal="left"/>
      <protection/>
    </xf>
    <xf numFmtId="0" fontId="6" fillId="0" borderId="0" xfId="0" applyFont="1" applyAlignment="1">
      <alignment/>
    </xf>
    <xf numFmtId="3" fontId="18" fillId="0" borderId="17" xfId="0" applyNumberFormat="1" applyFont="1" applyBorder="1" applyAlignment="1">
      <alignment/>
    </xf>
    <xf numFmtId="0" fontId="14" fillId="0" borderId="13" xfId="58" applyFont="1" applyFill="1" applyBorder="1" applyAlignment="1">
      <alignment horizontal="center" wrapText="1"/>
      <protection/>
    </xf>
    <xf numFmtId="0" fontId="14" fillId="0" borderId="11" xfId="58" applyFont="1" applyFill="1" applyBorder="1" applyAlignment="1">
      <alignment horizontal="center" wrapText="1"/>
      <protection/>
    </xf>
    <xf numFmtId="0" fontId="14" fillId="0" borderId="31" xfId="58" applyFont="1" applyBorder="1">
      <alignment/>
      <protection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0" fontId="34" fillId="22" borderId="0" xfId="0" applyFont="1" applyFill="1" applyBorder="1" applyAlignment="1">
      <alignment vertical="top" wrapText="1"/>
    </xf>
    <xf numFmtId="0" fontId="36" fillId="0" borderId="0" xfId="0" applyFont="1" applyAlignment="1">
      <alignment/>
    </xf>
    <xf numFmtId="3" fontId="20" fillId="0" borderId="32" xfId="0" applyNumberFormat="1" applyFont="1" applyBorder="1" applyAlignment="1">
      <alignment/>
    </xf>
    <xf numFmtId="177" fontId="46" fillId="0" borderId="0" xfId="0" applyNumberFormat="1" applyFont="1" applyBorder="1" applyAlignment="1">
      <alignment/>
    </xf>
    <xf numFmtId="177" fontId="47" fillId="0" borderId="0" xfId="0" applyNumberFormat="1" applyFont="1" applyAlignment="1">
      <alignment/>
    </xf>
    <xf numFmtId="0" fontId="45" fillId="0" borderId="0" xfId="0" applyFont="1" applyAlignment="1">
      <alignment/>
    </xf>
    <xf numFmtId="177" fontId="47" fillId="0" borderId="0" xfId="0" applyNumberFormat="1" applyFont="1" applyAlignment="1">
      <alignment/>
    </xf>
    <xf numFmtId="177" fontId="48" fillId="24" borderId="0" xfId="0" applyNumberFormat="1" applyFont="1" applyFill="1" applyAlignment="1">
      <alignment/>
    </xf>
    <xf numFmtId="177" fontId="47" fillId="0" borderId="0" xfId="0" applyNumberFormat="1" applyFont="1" applyFill="1" applyAlignment="1">
      <alignment/>
    </xf>
    <xf numFmtId="0" fontId="49" fillId="0" borderId="0" xfId="58" applyFont="1">
      <alignment/>
      <protection/>
    </xf>
    <xf numFmtId="0" fontId="14" fillId="0" borderId="0" xfId="58" applyFont="1" applyFill="1" applyAlignment="1">
      <alignment vertical="center"/>
      <protection/>
    </xf>
    <xf numFmtId="0" fontId="0" fillId="0" borderId="0" xfId="0" applyAlignment="1">
      <alignment/>
    </xf>
    <xf numFmtId="0" fontId="49" fillId="0" borderId="0" xfId="57" applyFont="1">
      <alignment/>
      <protection/>
    </xf>
    <xf numFmtId="206" fontId="14" fillId="0" borderId="0" xfId="58" applyNumberFormat="1" applyFont="1">
      <alignment/>
      <protection/>
    </xf>
    <xf numFmtId="5" fontId="26" fillId="25" borderId="0" xfId="44" applyNumberFormat="1" applyFont="1" applyFill="1" applyBorder="1" applyAlignment="1">
      <alignment horizontal="left"/>
    </xf>
    <xf numFmtId="5" fontId="26" fillId="25" borderId="0" xfId="58" applyNumberFormat="1" applyFont="1" applyFill="1" applyBorder="1" applyAlignment="1">
      <alignment horizontal="left"/>
      <protection/>
    </xf>
    <xf numFmtId="206" fontId="5" fillId="25" borderId="0" xfId="0" applyNumberFormat="1" applyFont="1" applyFill="1" applyAlignment="1">
      <alignment/>
    </xf>
    <xf numFmtId="206" fontId="35" fillId="24" borderId="18" xfId="0" applyNumberFormat="1" applyFont="1" applyFill="1" applyBorder="1" applyAlignment="1">
      <alignment/>
    </xf>
    <xf numFmtId="177" fontId="51" fillId="0" borderId="0" xfId="0" applyNumberFormat="1" applyFont="1" applyAlignment="1">
      <alignment/>
    </xf>
    <xf numFmtId="177" fontId="36" fillId="0" borderId="0" xfId="0" applyNumberFormat="1" applyFont="1" applyAlignment="1">
      <alignment/>
    </xf>
    <xf numFmtId="177" fontId="51" fillId="0" borderId="0" xfId="0" applyNumberFormat="1" applyFont="1" applyAlignment="1">
      <alignment/>
    </xf>
    <xf numFmtId="177" fontId="36" fillId="0" borderId="0" xfId="0" applyNumberFormat="1" applyFont="1" applyAlignment="1">
      <alignment/>
    </xf>
    <xf numFmtId="3" fontId="51" fillId="24" borderId="0" xfId="0" applyNumberFormat="1" applyFont="1" applyFill="1" applyAlignment="1">
      <alignment/>
    </xf>
    <xf numFmtId="3" fontId="53" fillId="24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177" fontId="52" fillId="0" borderId="0" xfId="0" applyNumberFormat="1" applyFont="1" applyAlignment="1">
      <alignment/>
    </xf>
    <xf numFmtId="177" fontId="54" fillId="0" borderId="0" xfId="0" applyNumberFormat="1" applyFont="1" applyAlignment="1">
      <alignment/>
    </xf>
    <xf numFmtId="0" fontId="52" fillId="0" borderId="0" xfId="0" applyFont="1" applyAlignment="1">
      <alignment/>
    </xf>
    <xf numFmtId="177" fontId="34" fillId="22" borderId="0" xfId="0" applyNumberFormat="1" applyFont="1" applyFill="1" applyBorder="1" applyAlignment="1">
      <alignment vertical="top" wrapText="1"/>
    </xf>
    <xf numFmtId="177" fontId="56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7" fontId="14" fillId="0" borderId="0" xfId="0" applyNumberFormat="1" applyFont="1" applyFill="1" applyAlignment="1">
      <alignment/>
    </xf>
    <xf numFmtId="177" fontId="14" fillId="22" borderId="0" xfId="0" applyNumberFormat="1" applyFont="1" applyFill="1" applyAlignment="1">
      <alignment horizontal="center" wrapText="1"/>
    </xf>
    <xf numFmtId="0" fontId="14" fillId="22" borderId="0" xfId="0" applyFont="1" applyFill="1" applyAlignment="1">
      <alignment wrapText="1"/>
    </xf>
    <xf numFmtId="0" fontId="14" fillId="22" borderId="0" xfId="0" applyFont="1" applyFill="1" applyBorder="1" applyAlignment="1">
      <alignment wrapText="1"/>
    </xf>
    <xf numFmtId="177" fontId="14" fillId="22" borderId="0" xfId="0" applyNumberFormat="1" applyFont="1" applyFill="1" applyAlignment="1">
      <alignment/>
    </xf>
    <xf numFmtId="0" fontId="14" fillId="22" borderId="0" xfId="0" applyFont="1" applyFill="1" applyBorder="1" applyAlignment="1">
      <alignment/>
    </xf>
    <xf numFmtId="37" fontId="6" fillId="0" borderId="21" xfId="0" applyNumberFormat="1" applyFont="1" applyBorder="1" applyAlignment="1">
      <alignment/>
    </xf>
    <xf numFmtId="37" fontId="6" fillId="0" borderId="20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37" fontId="6" fillId="0" borderId="33" xfId="0" applyNumberFormat="1" applyFont="1" applyBorder="1" applyAlignment="1">
      <alignment/>
    </xf>
    <xf numFmtId="37" fontId="6" fillId="0" borderId="34" xfId="0" applyNumberFormat="1" applyFont="1" applyBorder="1" applyAlignment="1">
      <alignment/>
    </xf>
    <xf numFmtId="37" fontId="20" fillId="0" borderId="35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20" fillId="0" borderId="36" xfId="0" applyNumberFormat="1" applyFont="1" applyBorder="1" applyAlignment="1">
      <alignment/>
    </xf>
    <xf numFmtId="37" fontId="6" fillId="0" borderId="37" xfId="0" applyNumberFormat="1" applyFont="1" applyBorder="1" applyAlignment="1">
      <alignment/>
    </xf>
    <xf numFmtId="37" fontId="20" fillId="0" borderId="12" xfId="0" applyNumberFormat="1" applyFont="1" applyBorder="1" applyAlignment="1">
      <alignment/>
    </xf>
    <xf numFmtId="5" fontId="20" fillId="0" borderId="12" xfId="0" applyNumberFormat="1" applyFont="1" applyBorder="1" applyAlignment="1">
      <alignment/>
    </xf>
    <xf numFmtId="3" fontId="14" fillId="0" borderId="0" xfId="58" applyNumberFormat="1" applyFont="1">
      <alignment/>
      <protection/>
    </xf>
    <xf numFmtId="3" fontId="14" fillId="0" borderId="16" xfId="42" applyNumberFormat="1" applyFont="1" applyBorder="1" applyAlignment="1">
      <alignment/>
    </xf>
    <xf numFmtId="3" fontId="14" fillId="0" borderId="14" xfId="42" applyNumberFormat="1" applyFont="1" applyBorder="1" applyAlignment="1">
      <alignment/>
    </xf>
    <xf numFmtId="3" fontId="26" fillId="0" borderId="16" xfId="42" applyNumberFormat="1" applyFont="1" applyBorder="1" applyAlignment="1">
      <alignment/>
    </xf>
    <xf numFmtId="3" fontId="26" fillId="0" borderId="14" xfId="42" applyNumberFormat="1" applyFont="1" applyBorder="1" applyAlignment="1">
      <alignment/>
    </xf>
    <xf numFmtId="37" fontId="14" fillId="0" borderId="16" xfId="58" applyNumberFormat="1" applyFont="1" applyBorder="1">
      <alignment/>
      <protection/>
    </xf>
    <xf numFmtId="37" fontId="14" fillId="0" borderId="15" xfId="58" applyNumberFormat="1" applyFont="1" applyBorder="1">
      <alignment/>
      <protection/>
    </xf>
    <xf numFmtId="37" fontId="14" fillId="0" borderId="0" xfId="58" applyNumberFormat="1" applyFont="1">
      <alignment/>
      <protection/>
    </xf>
    <xf numFmtId="37" fontId="14" fillId="0" borderId="0" xfId="58" applyNumberFormat="1" applyFont="1" applyBorder="1">
      <alignment/>
      <protection/>
    </xf>
    <xf numFmtId="37" fontId="14" fillId="0" borderId="16" xfId="58" applyNumberFormat="1" applyFont="1" applyBorder="1" applyAlignment="1">
      <alignment/>
      <protection/>
    </xf>
    <xf numFmtId="37" fontId="14" fillId="0" borderId="15" xfId="58" applyNumberFormat="1" applyFont="1" applyBorder="1" applyAlignment="1">
      <alignment/>
      <protection/>
    </xf>
    <xf numFmtId="37" fontId="14" fillId="0" borderId="13" xfId="42" applyNumberFormat="1" applyFont="1" applyBorder="1" applyAlignment="1">
      <alignment/>
    </xf>
    <xf numFmtId="37" fontId="14" fillId="0" borderId="11" xfId="42" applyNumberFormat="1" applyFont="1" applyBorder="1" applyAlignment="1">
      <alignment/>
    </xf>
    <xf numFmtId="37" fontId="14" fillId="0" borderId="16" xfId="42" applyNumberFormat="1" applyFont="1" applyBorder="1" applyAlignment="1">
      <alignment/>
    </xf>
    <xf numFmtId="37" fontId="14" fillId="0" borderId="14" xfId="42" applyNumberFormat="1" applyFont="1" applyBorder="1" applyAlignment="1">
      <alignment/>
    </xf>
    <xf numFmtId="37" fontId="14" fillId="0" borderId="10" xfId="42" applyNumberFormat="1" applyFont="1" applyBorder="1" applyAlignment="1">
      <alignment/>
    </xf>
    <xf numFmtId="37" fontId="14" fillId="0" borderId="11" xfId="58" applyNumberFormat="1" applyFont="1" applyBorder="1">
      <alignment/>
      <protection/>
    </xf>
    <xf numFmtId="37" fontId="26" fillId="0" borderId="13" xfId="42" applyNumberFormat="1" applyFont="1" applyBorder="1" applyAlignment="1">
      <alignment/>
    </xf>
    <xf numFmtId="37" fontId="26" fillId="0" borderId="11" xfId="42" applyNumberFormat="1" applyFont="1" applyBorder="1" applyAlignment="1">
      <alignment/>
    </xf>
    <xf numFmtId="37" fontId="26" fillId="0" borderId="16" xfId="42" applyNumberFormat="1" applyFont="1" applyBorder="1" applyAlignment="1">
      <alignment/>
    </xf>
    <xf numFmtId="37" fontId="26" fillId="0" borderId="14" xfId="42" applyNumberFormat="1" applyFont="1" applyBorder="1" applyAlignment="1">
      <alignment/>
    </xf>
    <xf numFmtId="37" fontId="26" fillId="0" borderId="38" xfId="42" applyNumberFormat="1" applyFont="1" applyBorder="1" applyAlignment="1">
      <alignment/>
    </xf>
    <xf numFmtId="37" fontId="26" fillId="0" borderId="10" xfId="42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37" fontId="5" fillId="0" borderId="13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37" fontId="32" fillId="0" borderId="13" xfId="0" applyNumberFormat="1" applyFont="1" applyBorder="1" applyAlignment="1">
      <alignment/>
    </xf>
    <xf numFmtId="37" fontId="32" fillId="0" borderId="10" xfId="0" applyNumberFormat="1" applyFont="1" applyBorder="1" applyAlignment="1">
      <alignment/>
    </xf>
    <xf numFmtId="37" fontId="26" fillId="25" borderId="0" xfId="58" applyNumberFormat="1" applyFont="1" applyFill="1" applyBorder="1" applyAlignment="1">
      <alignment horizontal="left"/>
      <protection/>
    </xf>
    <xf numFmtId="37" fontId="19" fillId="25" borderId="0" xfId="57" applyNumberFormat="1" applyFill="1">
      <alignment/>
      <protection/>
    </xf>
    <xf numFmtId="37" fontId="19" fillId="6" borderId="0" xfId="57" applyNumberFormat="1" applyFont="1" applyFill="1">
      <alignment/>
      <protection/>
    </xf>
    <xf numFmtId="37" fontId="6" fillId="25" borderId="0" xfId="0" applyNumberFormat="1" applyFont="1" applyFill="1" applyAlignment="1">
      <alignment/>
    </xf>
    <xf numFmtId="37" fontId="12" fillId="24" borderId="20" xfId="0" applyNumberFormat="1" applyFont="1" applyFill="1" applyBorder="1" applyAlignment="1">
      <alignment/>
    </xf>
    <xf numFmtId="37" fontId="30" fillId="24" borderId="39" xfId="0" applyNumberFormat="1" applyFont="1" applyFill="1" applyBorder="1" applyAlignment="1">
      <alignment/>
    </xf>
    <xf numFmtId="37" fontId="30" fillId="24" borderId="40" xfId="0" applyNumberFormat="1" applyFont="1" applyFill="1" applyBorder="1" applyAlignment="1">
      <alignment/>
    </xf>
    <xf numFmtId="37" fontId="30" fillId="24" borderId="41" xfId="0" applyNumberFormat="1" applyFont="1" applyFill="1" applyBorder="1" applyAlignment="1">
      <alignment/>
    </xf>
    <xf numFmtId="37" fontId="30" fillId="24" borderId="42" xfId="0" applyNumberFormat="1" applyFont="1" applyFill="1" applyBorder="1" applyAlignment="1">
      <alignment/>
    </xf>
    <xf numFmtId="37" fontId="30" fillId="24" borderId="43" xfId="0" applyNumberFormat="1" applyFont="1" applyFill="1" applyBorder="1" applyAlignment="1">
      <alignment/>
    </xf>
    <xf numFmtId="37" fontId="30" fillId="24" borderId="44" xfId="0" applyNumberFormat="1" applyFont="1" applyFill="1" applyBorder="1" applyAlignment="1">
      <alignment/>
    </xf>
    <xf numFmtId="37" fontId="30" fillId="24" borderId="45" xfId="0" applyNumberFormat="1" applyFont="1" applyFill="1" applyBorder="1" applyAlignment="1">
      <alignment/>
    </xf>
    <xf numFmtId="37" fontId="30" fillId="24" borderId="46" xfId="0" applyNumberFormat="1" applyFont="1" applyFill="1" applyBorder="1" applyAlignment="1">
      <alignment/>
    </xf>
    <xf numFmtId="37" fontId="30" fillId="24" borderId="47" xfId="0" applyNumberFormat="1" applyFont="1" applyFill="1" applyBorder="1" applyAlignment="1">
      <alignment/>
    </xf>
    <xf numFmtId="37" fontId="30" fillId="24" borderId="48" xfId="0" applyNumberFormat="1" applyFont="1" applyFill="1" applyBorder="1" applyAlignment="1">
      <alignment/>
    </xf>
    <xf numFmtId="37" fontId="30" fillId="24" borderId="0" xfId="0" applyNumberFormat="1" applyFont="1" applyFill="1" applyBorder="1" applyAlignment="1">
      <alignment/>
    </xf>
    <xf numFmtId="37" fontId="30" fillId="24" borderId="49" xfId="0" applyNumberFormat="1" applyFont="1" applyFill="1" applyBorder="1" applyAlignment="1">
      <alignment/>
    </xf>
    <xf numFmtId="37" fontId="30" fillId="24" borderId="50" xfId="0" applyNumberFormat="1" applyFont="1" applyFill="1" applyBorder="1" applyAlignment="1">
      <alignment/>
    </xf>
    <xf numFmtId="37" fontId="30" fillId="24" borderId="51" xfId="0" applyNumberFormat="1" applyFont="1" applyFill="1" applyBorder="1" applyAlignment="1">
      <alignment/>
    </xf>
    <xf numFmtId="37" fontId="30" fillId="24" borderId="52" xfId="0" applyNumberFormat="1" applyFont="1" applyFill="1" applyBorder="1" applyAlignment="1">
      <alignment/>
    </xf>
    <xf numFmtId="37" fontId="30" fillId="24" borderId="53" xfId="0" applyNumberFormat="1" applyFont="1" applyFill="1" applyBorder="1" applyAlignment="1">
      <alignment/>
    </xf>
    <xf numFmtId="37" fontId="12" fillId="24" borderId="18" xfId="0" applyNumberFormat="1" applyFont="1" applyFill="1" applyBorder="1" applyAlignment="1">
      <alignment/>
    </xf>
    <xf numFmtId="37" fontId="12" fillId="24" borderId="19" xfId="0" applyNumberFormat="1" applyFont="1" applyFill="1" applyBorder="1" applyAlignment="1">
      <alignment/>
    </xf>
    <xf numFmtId="37" fontId="12" fillId="0" borderId="18" xfId="0" applyNumberFormat="1" applyFont="1" applyFill="1" applyBorder="1" applyAlignment="1">
      <alignment/>
    </xf>
    <xf numFmtId="37" fontId="12" fillId="0" borderId="19" xfId="0" applyNumberFormat="1" applyFont="1" applyFill="1" applyBorder="1" applyAlignment="1">
      <alignment/>
    </xf>
    <xf numFmtId="37" fontId="12" fillId="0" borderId="20" xfId="0" applyNumberFormat="1" applyFont="1" applyFill="1" applyBorder="1" applyAlignment="1">
      <alignment/>
    </xf>
    <xf numFmtId="37" fontId="13" fillId="24" borderId="18" xfId="0" applyNumberFormat="1" applyFont="1" applyFill="1" applyBorder="1" applyAlignment="1">
      <alignment/>
    </xf>
    <xf numFmtId="37" fontId="13" fillId="24" borderId="19" xfId="0" applyNumberFormat="1" applyFont="1" applyFill="1" applyBorder="1" applyAlignment="1">
      <alignment/>
    </xf>
    <xf numFmtId="37" fontId="13" fillId="24" borderId="20" xfId="0" applyNumberFormat="1" applyFont="1" applyFill="1" applyBorder="1" applyAlignment="1">
      <alignment/>
    </xf>
    <xf numFmtId="37" fontId="12" fillId="24" borderId="16" xfId="0" applyNumberFormat="1" applyFont="1" applyFill="1" applyBorder="1" applyAlignment="1">
      <alignment/>
    </xf>
    <xf numFmtId="37" fontId="12" fillId="24" borderId="0" xfId="0" applyNumberFormat="1" applyFont="1" applyFill="1" applyBorder="1" applyAlignment="1">
      <alignment/>
    </xf>
    <xf numFmtId="37" fontId="12" fillId="24" borderId="15" xfId="0" applyNumberFormat="1" applyFont="1" applyFill="1" applyBorder="1" applyAlignment="1">
      <alignment/>
    </xf>
    <xf numFmtId="37" fontId="12" fillId="24" borderId="38" xfId="0" applyNumberFormat="1" applyFont="1" applyFill="1" applyBorder="1" applyAlignment="1">
      <alignment/>
    </xf>
    <xf numFmtId="37" fontId="12" fillId="24" borderId="54" xfId="0" applyNumberFormat="1" applyFont="1" applyFill="1" applyBorder="1" applyAlignment="1">
      <alignment/>
    </xf>
    <xf numFmtId="37" fontId="12" fillId="24" borderId="55" xfId="0" applyNumberFormat="1" applyFont="1" applyFill="1" applyBorder="1" applyAlignment="1">
      <alignment/>
    </xf>
    <xf numFmtId="37" fontId="35" fillId="0" borderId="56" xfId="0" applyNumberFormat="1" applyFont="1" applyFill="1" applyBorder="1" applyAlignment="1">
      <alignment/>
    </xf>
    <xf numFmtId="37" fontId="35" fillId="0" borderId="57" xfId="0" applyNumberFormat="1" applyFont="1" applyFill="1" applyBorder="1" applyAlignment="1">
      <alignment/>
    </xf>
    <xf numFmtId="37" fontId="35" fillId="0" borderId="58" xfId="0" applyNumberFormat="1" applyFont="1" applyFill="1" applyBorder="1" applyAlignment="1">
      <alignment/>
    </xf>
    <xf numFmtId="37" fontId="14" fillId="0" borderId="15" xfId="44" applyNumberFormat="1" applyFont="1" applyBorder="1" applyAlignment="1">
      <alignment/>
    </xf>
    <xf numFmtId="37" fontId="14" fillId="0" borderId="59" xfId="58" applyNumberFormat="1" applyFont="1" applyBorder="1">
      <alignment/>
      <protection/>
    </xf>
    <xf numFmtId="0" fontId="14" fillId="0" borderId="0" xfId="58" applyNumberFormat="1" applyFont="1">
      <alignment/>
      <protection/>
    </xf>
    <xf numFmtId="37" fontId="14" fillId="0" borderId="60" xfId="58" applyNumberFormat="1" applyFont="1" applyBorder="1">
      <alignment/>
      <protection/>
    </xf>
    <xf numFmtId="3" fontId="6" fillId="0" borderId="38" xfId="0" applyNumberFormat="1" applyFont="1" applyBorder="1" applyAlignment="1">
      <alignment/>
    </xf>
    <xf numFmtId="0" fontId="26" fillId="0" borderId="61" xfId="57" applyFont="1" applyBorder="1">
      <alignment/>
      <protection/>
    </xf>
    <xf numFmtId="0" fontId="19" fillId="0" borderId="54" xfId="57" applyBorder="1">
      <alignment/>
      <protection/>
    </xf>
    <xf numFmtId="37" fontId="26" fillId="0" borderId="38" xfId="57" applyNumberFormat="1" applyFont="1" applyBorder="1">
      <alignment/>
      <protection/>
    </xf>
    <xf numFmtId="37" fontId="26" fillId="0" borderId="54" xfId="57" applyNumberFormat="1" applyFont="1" applyBorder="1">
      <alignment/>
      <protection/>
    </xf>
    <xf numFmtId="0" fontId="47" fillId="0" borderId="0" xfId="0" applyFont="1" applyAlignment="1">
      <alignment/>
    </xf>
    <xf numFmtId="177" fontId="20" fillId="0" borderId="59" xfId="0" applyNumberFormat="1" applyFont="1" applyBorder="1" applyAlignment="1">
      <alignment/>
    </xf>
    <xf numFmtId="177" fontId="20" fillId="0" borderId="22" xfId="0" applyNumberFormat="1" applyFont="1" applyBorder="1" applyAlignment="1">
      <alignment/>
    </xf>
    <xf numFmtId="177" fontId="20" fillId="0" borderId="16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77" fontId="20" fillId="0" borderId="24" xfId="0" applyNumberFormat="1" applyFont="1" applyBorder="1" applyAlignment="1">
      <alignment/>
    </xf>
    <xf numFmtId="177" fontId="20" fillId="0" borderId="17" xfId="0" applyNumberFormat="1" applyFont="1" applyBorder="1" applyAlignment="1">
      <alignment/>
    </xf>
    <xf numFmtId="177" fontId="20" fillId="0" borderId="24" xfId="0" applyNumberFormat="1" applyFont="1" applyBorder="1" applyAlignment="1">
      <alignment horizontal="right"/>
    </xf>
    <xf numFmtId="177" fontId="20" fillId="0" borderId="17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7" fontId="30" fillId="24" borderId="15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 horizontal="left" indent="4"/>
    </xf>
    <xf numFmtId="3" fontId="6" fillId="0" borderId="29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177" fontId="6" fillId="0" borderId="62" xfId="0" applyNumberFormat="1" applyFont="1" applyBorder="1" applyAlignment="1">
      <alignment/>
    </xf>
    <xf numFmtId="37" fontId="6" fillId="0" borderId="30" xfId="0" applyNumberFormat="1" applyFont="1" applyBorder="1" applyAlignment="1">
      <alignment/>
    </xf>
    <xf numFmtId="37" fontId="6" fillId="0" borderId="64" xfId="0" applyNumberFormat="1" applyFont="1" applyBorder="1" applyAlignment="1">
      <alignment/>
    </xf>
    <xf numFmtId="3" fontId="6" fillId="0" borderId="29" xfId="0" applyNumberFormat="1" applyFont="1" applyBorder="1" applyAlignment="1">
      <alignment horizontal="left" indent="2"/>
    </xf>
    <xf numFmtId="177" fontId="6" fillId="0" borderId="29" xfId="0" applyNumberFormat="1" applyFont="1" applyBorder="1" applyAlignment="1">
      <alignment/>
    </xf>
    <xf numFmtId="0" fontId="6" fillId="0" borderId="62" xfId="0" applyFont="1" applyBorder="1" applyAlignment="1">
      <alignment horizontal="left" indent="4"/>
    </xf>
    <xf numFmtId="0" fontId="6" fillId="0" borderId="62" xfId="0" applyFont="1" applyBorder="1" applyAlignment="1">
      <alignment horizontal="left" indent="2"/>
    </xf>
    <xf numFmtId="0" fontId="6" fillId="0" borderId="64" xfId="0" applyFont="1" applyBorder="1" applyAlignment="1">
      <alignment horizontal="left" indent="2"/>
    </xf>
    <xf numFmtId="3" fontId="6" fillId="0" borderId="65" xfId="0" applyNumberFormat="1" applyFont="1" applyBorder="1" applyAlignment="1">
      <alignment/>
    </xf>
    <xf numFmtId="37" fontId="20" fillId="0" borderId="66" xfId="0" applyNumberFormat="1" applyFont="1" applyBorder="1" applyAlignment="1">
      <alignment/>
    </xf>
    <xf numFmtId="37" fontId="20" fillId="0" borderId="33" xfId="0" applyNumberFormat="1" applyFont="1" applyBorder="1" applyAlignment="1">
      <alignment/>
    </xf>
    <xf numFmtId="37" fontId="6" fillId="0" borderId="67" xfId="0" applyNumberFormat="1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 indent="2"/>
    </xf>
    <xf numFmtId="0" fontId="6" fillId="0" borderId="69" xfId="0" applyFont="1" applyBorder="1" applyAlignment="1">
      <alignment horizontal="left" indent="2"/>
    </xf>
    <xf numFmtId="37" fontId="6" fillId="0" borderId="19" xfId="0" applyNumberFormat="1" applyFont="1" applyBorder="1" applyAlignment="1">
      <alignment/>
    </xf>
    <xf numFmtId="37" fontId="6" fillId="0" borderId="18" xfId="0" applyNumberFormat="1" applyFont="1" applyBorder="1" applyAlignment="1">
      <alignment/>
    </xf>
    <xf numFmtId="177" fontId="6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 vertical="top" wrapText="1"/>
    </xf>
    <xf numFmtId="0" fontId="6" fillId="2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77" fontId="6" fillId="0" borderId="24" xfId="0" applyNumberFormat="1" applyFont="1" applyBorder="1" applyAlignment="1">
      <alignment horizontal="right"/>
    </xf>
    <xf numFmtId="177" fontId="6" fillId="0" borderId="17" xfId="0" applyNumberFormat="1" applyFont="1" applyBorder="1" applyAlignment="1">
      <alignment horizontal="center"/>
    </xf>
    <xf numFmtId="177" fontId="6" fillId="0" borderId="17" xfId="0" applyNumberFormat="1" applyFont="1" applyBorder="1" applyAlignment="1">
      <alignment horizontal="right"/>
    </xf>
    <xf numFmtId="37" fontId="6" fillId="0" borderId="29" xfId="0" applyNumberFormat="1" applyFont="1" applyBorder="1" applyAlignment="1">
      <alignment/>
    </xf>
    <xf numFmtId="37" fontId="6" fillId="0" borderId="62" xfId="0" applyNumberFormat="1" applyFont="1" applyBorder="1" applyAlignment="1">
      <alignment/>
    </xf>
    <xf numFmtId="177" fontId="6" fillId="0" borderId="64" xfId="0" applyNumberFormat="1" applyFont="1" applyBorder="1" applyAlignment="1">
      <alignment/>
    </xf>
    <xf numFmtId="37" fontId="6" fillId="0" borderId="6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left" indent="2"/>
    </xf>
    <xf numFmtId="0" fontId="6" fillId="0" borderId="63" xfId="0" applyFont="1" applyBorder="1" applyAlignment="1">
      <alignment horizontal="left"/>
    </xf>
    <xf numFmtId="37" fontId="6" fillId="0" borderId="32" xfId="0" applyNumberFormat="1" applyFont="1" applyBorder="1" applyAlignment="1">
      <alignment/>
    </xf>
    <xf numFmtId="37" fontId="6" fillId="0" borderId="63" xfId="0" applyNumberFormat="1" applyFont="1" applyBorder="1" applyAlignment="1">
      <alignment/>
    </xf>
    <xf numFmtId="177" fontId="6" fillId="0" borderId="63" xfId="0" applyNumberFormat="1" applyFont="1" applyBorder="1" applyAlignment="1">
      <alignment/>
    </xf>
    <xf numFmtId="37" fontId="6" fillId="0" borderId="63" xfId="0" applyNumberFormat="1" applyFont="1" applyBorder="1" applyAlignment="1">
      <alignment horizontal="right"/>
    </xf>
    <xf numFmtId="37" fontId="6" fillId="0" borderId="69" xfId="0" applyNumberFormat="1" applyFont="1" applyBorder="1" applyAlignment="1">
      <alignment/>
    </xf>
    <xf numFmtId="37" fontId="20" fillId="0" borderId="1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" fontId="6" fillId="22" borderId="0" xfId="0" applyNumberFormat="1" applyFont="1" applyFill="1" applyAlignment="1">
      <alignment wrapText="1"/>
    </xf>
    <xf numFmtId="3" fontId="6" fillId="0" borderId="70" xfId="0" applyNumberFormat="1" applyFont="1" applyBorder="1" applyAlignment="1">
      <alignment/>
    </xf>
    <xf numFmtId="0" fontId="0" fillId="0" borderId="71" xfId="0" applyBorder="1" applyAlignment="1">
      <alignment/>
    </xf>
    <xf numFmtId="0" fontId="19" fillId="0" borderId="30" xfId="57" applyFont="1" applyBorder="1">
      <alignment/>
      <protection/>
    </xf>
    <xf numFmtId="0" fontId="34" fillId="0" borderId="0" xfId="57" applyFont="1">
      <alignment/>
      <protection/>
    </xf>
    <xf numFmtId="0" fontId="6" fillId="0" borderId="0" xfId="0" applyFont="1" applyBorder="1" applyAlignment="1">
      <alignment/>
    </xf>
    <xf numFmtId="177" fontId="6" fillId="0" borderId="63" xfId="0" applyNumberFormat="1" applyFont="1" applyBorder="1" applyAlignment="1">
      <alignment horizontal="fill"/>
    </xf>
    <xf numFmtId="0" fontId="26" fillId="0" borderId="0" xfId="57" applyFont="1" applyBorder="1" applyAlignment="1">
      <alignment horizontal="center"/>
      <protection/>
    </xf>
    <xf numFmtId="0" fontId="26" fillId="0" borderId="15" xfId="57" applyFont="1" applyBorder="1" applyAlignment="1">
      <alignment horizontal="center"/>
      <protection/>
    </xf>
    <xf numFmtId="37" fontId="14" fillId="0" borderId="19" xfId="0" applyNumberFormat="1" applyFont="1" applyBorder="1" applyAlignment="1">
      <alignment/>
    </xf>
    <xf numFmtId="0" fontId="14" fillId="0" borderId="72" xfId="57" applyFont="1" applyBorder="1" applyAlignment="1">
      <alignment horizontal="center"/>
      <protection/>
    </xf>
    <xf numFmtId="37" fontId="14" fillId="0" borderId="20" xfId="0" applyNumberFormat="1" applyFont="1" applyBorder="1" applyAlignment="1">
      <alignment horizontal="right"/>
    </xf>
    <xf numFmtId="5" fontId="26" fillId="0" borderId="54" xfId="57" applyNumberFormat="1" applyFont="1" applyBorder="1" applyAlignment="1">
      <alignment horizontal="right"/>
      <protection/>
    </xf>
    <xf numFmtId="177" fontId="0" fillId="0" borderId="29" xfId="0" applyNumberFormat="1" applyFont="1" applyBorder="1" applyAlignment="1">
      <alignment/>
    </xf>
    <xf numFmtId="0" fontId="0" fillId="0" borderId="64" xfId="0" applyFont="1" applyBorder="1" applyAlignment="1">
      <alignment/>
    </xf>
    <xf numFmtId="177" fontId="52" fillId="0" borderId="62" xfId="0" applyNumberFormat="1" applyFont="1" applyBorder="1" applyAlignment="1">
      <alignment/>
    </xf>
    <xf numFmtId="177" fontId="6" fillId="0" borderId="62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0" fontId="26" fillId="0" borderId="38" xfId="57" applyFont="1" applyBorder="1" applyAlignment="1">
      <alignment horizontal="left"/>
      <protection/>
    </xf>
    <xf numFmtId="0" fontId="26" fillId="0" borderId="61" xfId="57" applyFont="1" applyBorder="1" applyAlignment="1">
      <alignment horizontal="center"/>
      <protection/>
    </xf>
    <xf numFmtId="37" fontId="6" fillId="0" borderId="64" xfId="0" applyNumberFormat="1" applyFont="1" applyBorder="1" applyAlignment="1">
      <alignment horizontal="right"/>
    </xf>
    <xf numFmtId="37" fontId="6" fillId="0" borderId="69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/>
    </xf>
    <xf numFmtId="3" fontId="20" fillId="0" borderId="29" xfId="0" applyNumberFormat="1" applyFont="1" applyBorder="1" applyAlignment="1">
      <alignment horizontal="centerContinuous"/>
    </xf>
    <xf numFmtId="177" fontId="20" fillId="0" borderId="29" xfId="0" applyNumberFormat="1" applyFont="1" applyBorder="1" applyAlignment="1">
      <alignment horizontal="centerContinuous"/>
    </xf>
    <xf numFmtId="177" fontId="20" fillId="0" borderId="62" xfId="0" applyNumberFormat="1" applyFont="1" applyBorder="1" applyAlignment="1">
      <alignment horizontal="centerContinuous"/>
    </xf>
    <xf numFmtId="177" fontId="20" fillId="0" borderId="64" xfId="0" applyNumberFormat="1" applyFont="1" applyBorder="1" applyAlignment="1">
      <alignment horizontal="centerContinuous"/>
    </xf>
    <xf numFmtId="3" fontId="20" fillId="0" borderId="70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5" fontId="20" fillId="0" borderId="71" xfId="0" applyNumberFormat="1" applyFont="1" applyBorder="1" applyAlignment="1">
      <alignment/>
    </xf>
    <xf numFmtId="37" fontId="20" fillId="0" borderId="70" xfId="0" applyNumberFormat="1" applyFont="1" applyBorder="1" applyAlignment="1">
      <alignment/>
    </xf>
    <xf numFmtId="37" fontId="20" fillId="0" borderId="71" xfId="0" applyNumberFormat="1" applyFont="1" applyBorder="1" applyAlignment="1">
      <alignment/>
    </xf>
    <xf numFmtId="5" fontId="20" fillId="0" borderId="73" xfId="0" applyNumberFormat="1" applyFont="1" applyBorder="1" applyAlignment="1">
      <alignment/>
    </xf>
    <xf numFmtId="177" fontId="52" fillId="0" borderId="0" xfId="0" applyNumberFormat="1" applyFont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7" fontId="30" fillId="24" borderId="74" xfId="0" applyNumberFormat="1" applyFont="1" applyFill="1" applyBorder="1" applyAlignment="1">
      <alignment/>
    </xf>
    <xf numFmtId="37" fontId="30" fillId="24" borderId="75" xfId="0" applyNumberFormat="1" applyFont="1" applyFill="1" applyBorder="1" applyAlignment="1">
      <alignment/>
    </xf>
    <xf numFmtId="37" fontId="30" fillId="24" borderId="76" xfId="0" applyNumberFormat="1" applyFont="1" applyFill="1" applyBorder="1" applyAlignment="1">
      <alignment/>
    </xf>
    <xf numFmtId="37" fontId="30" fillId="24" borderId="77" xfId="0" applyNumberFormat="1" applyFont="1" applyFill="1" applyBorder="1" applyAlignment="1">
      <alignment/>
    </xf>
    <xf numFmtId="0" fontId="6" fillId="0" borderId="54" xfId="0" applyFont="1" applyBorder="1" applyAlignment="1">
      <alignment/>
    </xf>
    <xf numFmtId="3" fontId="20" fillId="0" borderId="38" xfId="0" applyNumberFormat="1" applyFont="1" applyBorder="1" applyAlignment="1">
      <alignment/>
    </xf>
    <xf numFmtId="5" fontId="20" fillId="0" borderId="11" xfId="0" applyNumberFormat="1" applyFont="1" applyBorder="1" applyAlignment="1">
      <alignment/>
    </xf>
    <xf numFmtId="5" fontId="6" fillId="0" borderId="11" xfId="0" applyNumberFormat="1" applyFont="1" applyBorder="1" applyAlignment="1">
      <alignment/>
    </xf>
    <xf numFmtId="0" fontId="20" fillId="0" borderId="54" xfId="0" applyFont="1" applyBorder="1" applyAlignment="1">
      <alignment/>
    </xf>
    <xf numFmtId="3" fontId="20" fillId="0" borderId="54" xfId="0" applyNumberFormat="1" applyFont="1" applyBorder="1" applyAlignment="1">
      <alignment/>
    </xf>
    <xf numFmtId="37" fontId="5" fillId="0" borderId="78" xfId="0" applyNumberFormat="1" applyFont="1" applyBorder="1" applyAlignment="1">
      <alignment/>
    </xf>
    <xf numFmtId="0" fontId="0" fillId="24" borderId="0" xfId="0" applyFill="1" applyBorder="1" applyAlignment="1">
      <alignment/>
    </xf>
    <xf numFmtId="0" fontId="26" fillId="0" borderId="79" xfId="57" applyFont="1" applyBorder="1" applyAlignment="1">
      <alignment horizontal="center"/>
      <protection/>
    </xf>
    <xf numFmtId="3" fontId="14" fillId="0" borderId="80" xfId="57" applyNumberFormat="1" applyFont="1" applyBorder="1" applyAlignment="1">
      <alignment horizontal="right"/>
      <protection/>
    </xf>
    <xf numFmtId="0" fontId="26" fillId="0" borderId="71" xfId="57" applyFont="1" applyBorder="1" applyAlignment="1">
      <alignment horizontal="center"/>
      <protection/>
    </xf>
    <xf numFmtId="3" fontId="14" fillId="0" borderId="73" xfId="57" applyNumberFormat="1" applyFont="1" applyBorder="1" applyAlignment="1">
      <alignment horizontal="right"/>
      <protection/>
    </xf>
    <xf numFmtId="0" fontId="6" fillId="0" borderId="29" xfId="0" applyFont="1" applyBorder="1" applyAlignment="1">
      <alignment horizontal="left" indent="4"/>
    </xf>
    <xf numFmtId="177" fontId="6" fillId="0" borderId="62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7" fontId="6" fillId="0" borderId="29" xfId="0" applyNumberFormat="1" applyFont="1" applyFill="1" applyBorder="1" applyAlignment="1">
      <alignment/>
    </xf>
    <xf numFmtId="37" fontId="6" fillId="0" borderId="62" xfId="0" applyNumberFormat="1" applyFont="1" applyFill="1" applyBorder="1" applyAlignment="1">
      <alignment/>
    </xf>
    <xf numFmtId="37" fontId="6" fillId="0" borderId="62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177" fontId="52" fillId="0" borderId="62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 horizontal="right"/>
    </xf>
    <xf numFmtId="37" fontId="30" fillId="24" borderId="10" xfId="0" applyNumberFormat="1" applyFont="1" applyFill="1" applyBorder="1" applyAlignment="1">
      <alignment/>
    </xf>
    <xf numFmtId="3" fontId="31" fillId="24" borderId="60" xfId="0" applyNumberFormat="1" applyFont="1" applyFill="1" applyBorder="1" applyAlignment="1">
      <alignment horizontal="right"/>
    </xf>
    <xf numFmtId="37" fontId="30" fillId="24" borderId="81" xfId="0" applyNumberFormat="1" applyFont="1" applyFill="1" applyBorder="1" applyAlignment="1">
      <alignment/>
    </xf>
    <xf numFmtId="3" fontId="31" fillId="24" borderId="82" xfId="0" applyNumberFormat="1" applyFont="1" applyFill="1" applyBorder="1" applyAlignment="1">
      <alignment horizontal="right"/>
    </xf>
    <xf numFmtId="3" fontId="6" fillId="0" borderId="6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6" fillId="0" borderId="14" xfId="0" applyNumberFormat="1" applyFont="1" applyFill="1" applyBorder="1" applyAlignment="1">
      <alignment/>
    </xf>
    <xf numFmtId="37" fontId="6" fillId="0" borderId="15" xfId="0" applyNumberFormat="1" applyFont="1" applyFill="1" applyBorder="1" applyAlignment="1">
      <alignment/>
    </xf>
    <xf numFmtId="0" fontId="6" fillId="0" borderId="68" xfId="0" applyFont="1" applyFill="1" applyBorder="1" applyAlignment="1">
      <alignment/>
    </xf>
    <xf numFmtId="37" fontId="20" fillId="0" borderId="66" xfId="0" applyNumberFormat="1" applyFont="1" applyFill="1" applyBorder="1" applyAlignment="1">
      <alignment/>
    </xf>
    <xf numFmtId="37" fontId="6" fillId="0" borderId="67" xfId="0" applyNumberFormat="1" applyFont="1" applyFill="1" applyBorder="1" applyAlignment="1">
      <alignment/>
    </xf>
    <xf numFmtId="37" fontId="20" fillId="0" borderId="83" xfId="0" applyNumberFormat="1" applyFont="1" applyFill="1" applyBorder="1" applyAlignment="1">
      <alignment/>
    </xf>
    <xf numFmtId="37" fontId="6" fillId="0" borderId="84" xfId="0" applyNumberFormat="1" applyFont="1" applyFill="1" applyBorder="1" applyAlignment="1">
      <alignment/>
    </xf>
    <xf numFmtId="0" fontId="0" fillId="0" borderId="62" xfId="0" applyFont="1" applyBorder="1" applyAlignment="1">
      <alignment horizontal="left"/>
    </xf>
    <xf numFmtId="177" fontId="0" fillId="0" borderId="29" xfId="0" applyNumberFormat="1" applyFont="1" applyBorder="1" applyAlignment="1">
      <alignment horizontal="left" indent="2"/>
    </xf>
    <xf numFmtId="3" fontId="6" fillId="0" borderId="19" xfId="0" applyNumberFormat="1" applyFont="1" applyBorder="1" applyAlignment="1">
      <alignment horizontal="right"/>
    </xf>
    <xf numFmtId="177" fontId="6" fillId="0" borderId="29" xfId="0" applyNumberFormat="1" applyFont="1" applyBorder="1" applyAlignment="1">
      <alignment/>
    </xf>
    <xf numFmtId="177" fontId="6" fillId="0" borderId="62" xfId="0" applyNumberFormat="1" applyFont="1" applyBorder="1" applyAlignment="1">
      <alignment/>
    </xf>
    <xf numFmtId="177" fontId="6" fillId="0" borderId="29" xfId="0" applyNumberFormat="1" applyFont="1" applyFill="1" applyBorder="1" applyAlignment="1">
      <alignment/>
    </xf>
    <xf numFmtId="177" fontId="6" fillId="0" borderId="62" xfId="0" applyNumberFormat="1" applyFont="1" applyFill="1" applyBorder="1" applyAlignment="1">
      <alignment/>
    </xf>
    <xf numFmtId="37" fontId="5" fillId="0" borderId="73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3" fontId="14" fillId="0" borderId="72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0" fontId="14" fillId="0" borderId="36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177" fontId="0" fillId="0" borderId="29" xfId="0" applyNumberFormat="1" applyFont="1" applyFill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177" fontId="0" fillId="0" borderId="32" xfId="0" applyNumberFormat="1" applyFont="1" applyBorder="1" applyAlignment="1">
      <alignment/>
    </xf>
    <xf numFmtId="177" fontId="0" fillId="24" borderId="29" xfId="0" applyNumberFormat="1" applyFont="1" applyFill="1" applyBorder="1" applyAlignment="1">
      <alignment/>
    </xf>
    <xf numFmtId="37" fontId="31" fillId="24" borderId="85" xfId="0" applyNumberFormat="1" applyFont="1" applyFill="1" applyBorder="1" applyAlignment="1">
      <alignment/>
    </xf>
    <xf numFmtId="206" fontId="31" fillId="24" borderId="85" xfId="0" applyNumberFormat="1" applyFont="1" applyFill="1" applyBorder="1" applyAlignment="1">
      <alignment/>
    </xf>
    <xf numFmtId="5" fontId="31" fillId="24" borderId="86" xfId="0" applyNumberFormat="1" applyFont="1" applyFill="1" applyBorder="1" applyAlignment="1">
      <alignment/>
    </xf>
    <xf numFmtId="206" fontId="31" fillId="24" borderId="60" xfId="0" applyNumberFormat="1" applyFont="1" applyFill="1" applyBorder="1" applyAlignment="1">
      <alignment/>
    </xf>
    <xf numFmtId="37" fontId="31" fillId="24" borderId="60" xfId="0" applyNumberFormat="1" applyFont="1" applyFill="1" applyBorder="1" applyAlignment="1">
      <alignment/>
    </xf>
    <xf numFmtId="5" fontId="31" fillId="24" borderId="60" xfId="0" applyNumberFormat="1" applyFont="1" applyFill="1" applyBorder="1" applyAlignment="1">
      <alignment/>
    </xf>
    <xf numFmtId="177" fontId="10" fillId="24" borderId="0" xfId="0" applyNumberFormat="1" applyFont="1" applyFill="1" applyBorder="1" applyAlignment="1">
      <alignment horizontal="centerContinuous"/>
    </xf>
    <xf numFmtId="177" fontId="11" fillId="24" borderId="0" xfId="0" applyNumberFormat="1" applyFont="1" applyFill="1" applyBorder="1" applyAlignment="1">
      <alignment horizontal="centerContinuous"/>
    </xf>
    <xf numFmtId="177" fontId="24" fillId="24" borderId="0" xfId="0" applyNumberFormat="1" applyFont="1" applyFill="1" applyBorder="1" applyAlignment="1">
      <alignment horizontal="centerContinuous"/>
    </xf>
    <xf numFmtId="3" fontId="31" fillId="24" borderId="87" xfId="0" applyNumberFormat="1" applyFont="1" applyFill="1" applyBorder="1" applyAlignment="1">
      <alignment horizontal="right"/>
    </xf>
    <xf numFmtId="37" fontId="30" fillId="24" borderId="88" xfId="0" applyNumberFormat="1" applyFont="1" applyFill="1" applyBorder="1" applyAlignment="1">
      <alignment/>
    </xf>
    <xf numFmtId="37" fontId="31" fillId="24" borderId="89" xfId="0" applyNumberFormat="1" applyFont="1" applyFill="1" applyBorder="1" applyAlignment="1">
      <alignment/>
    </xf>
    <xf numFmtId="3" fontId="30" fillId="24" borderId="90" xfId="0" applyNumberFormat="1" applyFont="1" applyFill="1" applyBorder="1" applyAlignment="1">
      <alignment horizontal="left"/>
    </xf>
    <xf numFmtId="3" fontId="30" fillId="24" borderId="91" xfId="0" applyNumberFormat="1" applyFont="1" applyFill="1" applyBorder="1" applyAlignment="1">
      <alignment horizontal="left"/>
    </xf>
    <xf numFmtId="3" fontId="30" fillId="24" borderId="92" xfId="0" applyNumberFormat="1" applyFont="1" applyFill="1" applyBorder="1" applyAlignment="1">
      <alignment horizontal="left"/>
    </xf>
    <xf numFmtId="0" fontId="0" fillId="24" borderId="92" xfId="0" applyFill="1" applyBorder="1" applyAlignment="1">
      <alignment/>
    </xf>
    <xf numFmtId="3" fontId="30" fillId="24" borderId="93" xfId="0" applyNumberFormat="1" applyFont="1" applyFill="1" applyBorder="1" applyAlignment="1">
      <alignment horizontal="left"/>
    </xf>
    <xf numFmtId="3" fontId="30" fillId="24" borderId="94" xfId="0" applyNumberFormat="1" applyFont="1" applyFill="1" applyBorder="1" applyAlignment="1">
      <alignment horizontal="left"/>
    </xf>
    <xf numFmtId="3" fontId="31" fillId="24" borderId="95" xfId="0" applyNumberFormat="1" applyFont="1" applyFill="1" applyBorder="1" applyAlignment="1">
      <alignment horizontal="left"/>
    </xf>
    <xf numFmtId="3" fontId="40" fillId="0" borderId="0" xfId="0" applyNumberFormat="1" applyFont="1" applyBorder="1" applyAlignment="1">
      <alignment/>
    </xf>
    <xf numFmtId="3" fontId="41" fillId="24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7" fontId="6" fillId="0" borderId="29" xfId="0" applyNumberFormat="1" applyFont="1" applyBorder="1" applyAlignment="1">
      <alignment horizontal="left" indent="3"/>
    </xf>
    <xf numFmtId="0" fontId="26" fillId="0" borderId="96" xfId="58" applyFont="1" applyBorder="1" applyAlignment="1">
      <alignment horizontal="right"/>
      <protection/>
    </xf>
    <xf numFmtId="37" fontId="26" fillId="0" borderId="97" xfId="58" applyNumberFormat="1" applyFont="1" applyBorder="1" applyAlignment="1">
      <alignment horizontal="right"/>
      <protection/>
    </xf>
    <xf numFmtId="5" fontId="26" fillId="0" borderId="98" xfId="44" applyNumberFormat="1" applyFont="1" applyBorder="1" applyAlignment="1">
      <alignment horizontal="right"/>
    </xf>
    <xf numFmtId="0" fontId="49" fillId="0" borderId="0" xfId="58" applyFont="1" applyAlignment="1">
      <alignment horizontal="right"/>
      <protection/>
    </xf>
    <xf numFmtId="183" fontId="26" fillId="0" borderId="0" xfId="58" applyNumberFormat="1" applyFont="1" applyBorder="1" applyAlignment="1">
      <alignment horizontal="right"/>
      <protection/>
    </xf>
    <xf numFmtId="185" fontId="26" fillId="0" borderId="0" xfId="44" applyNumberFormat="1" applyFont="1" applyBorder="1" applyAlignment="1">
      <alignment horizontal="right"/>
    </xf>
    <xf numFmtId="0" fontId="1" fillId="0" borderId="0" xfId="58" applyFont="1" applyAlignment="1">
      <alignment horizontal="right"/>
      <protection/>
    </xf>
    <xf numFmtId="177" fontId="52" fillId="0" borderId="0" xfId="0" applyNumberFormat="1" applyFont="1" applyAlignment="1">
      <alignment/>
    </xf>
    <xf numFmtId="177" fontId="6" fillId="0" borderId="59" xfId="0" applyNumberFormat="1" applyFont="1" applyBorder="1" applyAlignment="1">
      <alignment/>
    </xf>
    <xf numFmtId="177" fontId="6" fillId="0" borderId="99" xfId="0" applyNumberFormat="1" applyFont="1" applyBorder="1" applyAlignment="1">
      <alignment/>
    </xf>
    <xf numFmtId="0" fontId="6" fillId="0" borderId="64" xfId="0" applyFont="1" applyBorder="1" applyAlignment="1">
      <alignment/>
    </xf>
    <xf numFmtId="37" fontId="6" fillId="0" borderId="19" xfId="0" applyNumberFormat="1" applyFont="1" applyBorder="1" applyAlignment="1">
      <alignment horizontal="right"/>
    </xf>
    <xf numFmtId="37" fontId="6" fillId="0" borderId="19" xfId="0" applyNumberFormat="1" applyFont="1" applyFill="1" applyBorder="1" applyAlignment="1">
      <alignment horizontal="right"/>
    </xf>
    <xf numFmtId="37" fontId="6" fillId="0" borderId="20" xfId="0" applyNumberFormat="1" applyFont="1" applyBorder="1" applyAlignment="1">
      <alignment horizontal="right"/>
    </xf>
    <xf numFmtId="177" fontId="6" fillId="0" borderId="29" xfId="0" applyNumberFormat="1" applyFont="1" applyFill="1" applyBorder="1" applyAlignment="1">
      <alignment/>
    </xf>
    <xf numFmtId="0" fontId="6" fillId="0" borderId="62" xfId="0" applyFont="1" applyFill="1" applyBorder="1" applyAlignment="1">
      <alignment/>
    </xf>
    <xf numFmtId="177" fontId="6" fillId="0" borderId="70" xfId="0" applyNumberFormat="1" applyFont="1" applyBorder="1" applyAlignment="1">
      <alignment/>
    </xf>
    <xf numFmtId="177" fontId="6" fillId="0" borderId="100" xfId="0" applyNumberFormat="1" applyFont="1" applyBorder="1" applyAlignment="1">
      <alignment/>
    </xf>
    <xf numFmtId="177" fontId="6" fillId="0" borderId="101" xfId="0" applyNumberFormat="1" applyFont="1" applyBorder="1" applyAlignment="1">
      <alignment/>
    </xf>
    <xf numFmtId="177" fontId="6" fillId="0" borderId="102" xfId="0" applyNumberFormat="1" applyFont="1" applyBorder="1" applyAlignment="1">
      <alignment/>
    </xf>
    <xf numFmtId="37" fontId="20" fillId="0" borderId="38" xfId="0" applyNumberFormat="1" applyFont="1" applyBorder="1" applyAlignment="1">
      <alignment/>
    </xf>
    <xf numFmtId="37" fontId="20" fillId="0" borderId="54" xfId="0" applyNumberFormat="1" applyFont="1" applyBorder="1" applyAlignment="1">
      <alignment/>
    </xf>
    <xf numFmtId="5" fontId="20" fillId="0" borderId="54" xfId="0" applyNumberFormat="1" applyFont="1" applyBorder="1" applyAlignment="1">
      <alignment/>
    </xf>
    <xf numFmtId="177" fontId="20" fillId="0" borderId="54" xfId="0" applyNumberFormat="1" applyFont="1" applyBorder="1" applyAlignment="1">
      <alignment/>
    </xf>
    <xf numFmtId="5" fontId="20" fillId="0" borderId="55" xfId="0" applyNumberFormat="1" applyFont="1" applyBorder="1" applyAlignment="1">
      <alignment/>
    </xf>
    <xf numFmtId="37" fontId="6" fillId="0" borderId="38" xfId="0" applyNumberFormat="1" applyFont="1" applyBorder="1" applyAlignment="1">
      <alignment/>
    </xf>
    <xf numFmtId="37" fontId="6" fillId="0" borderId="54" xfId="0" applyNumberFormat="1" applyFont="1" applyBorder="1" applyAlignment="1">
      <alignment/>
    </xf>
    <xf numFmtId="37" fontId="6" fillId="0" borderId="55" xfId="0" applyNumberFormat="1" applyFont="1" applyBorder="1" applyAlignment="1">
      <alignment/>
    </xf>
    <xf numFmtId="5" fontId="6" fillId="0" borderId="10" xfId="0" applyNumberFormat="1" applyFont="1" applyBorder="1" applyAlignment="1">
      <alignment/>
    </xf>
    <xf numFmtId="177" fontId="54" fillId="0" borderId="0" xfId="0" applyNumberFormat="1" applyFont="1" applyAlignment="1">
      <alignment/>
    </xf>
    <xf numFmtId="177" fontId="42" fillId="22" borderId="0" xfId="0" applyNumberFormat="1" applyFont="1" applyFill="1" applyAlignment="1">
      <alignment horizontal="center" wrapText="1"/>
    </xf>
    <xf numFmtId="0" fontId="27" fillId="22" borderId="0" xfId="0" applyFont="1" applyFill="1" applyBorder="1" applyAlignment="1">
      <alignment wrapText="1"/>
    </xf>
    <xf numFmtId="0" fontId="6" fillId="22" borderId="0" xfId="0" applyFont="1" applyFill="1" applyBorder="1" applyAlignment="1">
      <alignment wrapText="1"/>
    </xf>
    <xf numFmtId="177" fontId="6" fillId="22" borderId="0" xfId="0" applyNumberFormat="1" applyFont="1" applyFill="1" applyAlignment="1">
      <alignment/>
    </xf>
    <xf numFmtId="0" fontId="27" fillId="22" borderId="0" xfId="0" applyFont="1" applyFill="1" applyBorder="1" applyAlignment="1">
      <alignment/>
    </xf>
    <xf numFmtId="0" fontId="6" fillId="22" borderId="0" xfId="0" applyFont="1" applyFill="1" applyBorder="1" applyAlignment="1">
      <alignment/>
    </xf>
    <xf numFmtId="177" fontId="47" fillId="0" borderId="62" xfId="0" applyNumberFormat="1" applyFont="1" applyBorder="1" applyAlignment="1">
      <alignment/>
    </xf>
    <xf numFmtId="177" fontId="47" fillId="0" borderId="101" xfId="0" applyNumberFormat="1" applyFont="1" applyBorder="1" applyAlignment="1">
      <alignment/>
    </xf>
    <xf numFmtId="177" fontId="47" fillId="0" borderId="22" xfId="0" applyNumberFormat="1" applyFont="1" applyBorder="1" applyAlignment="1">
      <alignment/>
    </xf>
    <xf numFmtId="5" fontId="20" fillId="24" borderId="55" xfId="0" applyNumberFormat="1" applyFont="1" applyFill="1" applyBorder="1" applyAlignment="1">
      <alignment/>
    </xf>
    <xf numFmtId="37" fontId="6" fillId="0" borderId="103" xfId="0" applyNumberFormat="1" applyFont="1" applyBorder="1" applyAlignment="1">
      <alignment/>
    </xf>
    <xf numFmtId="37" fontId="6" fillId="0" borderId="104" xfId="0" applyNumberFormat="1" applyFont="1" applyBorder="1" applyAlignment="1">
      <alignment/>
    </xf>
    <xf numFmtId="37" fontId="14" fillId="0" borderId="59" xfId="0" applyNumberFormat="1" applyFont="1" applyBorder="1" applyAlignment="1">
      <alignment/>
    </xf>
    <xf numFmtId="37" fontId="14" fillId="0" borderId="70" xfId="0" applyNumberFormat="1" applyFont="1" applyBorder="1" applyAlignment="1">
      <alignment/>
    </xf>
    <xf numFmtId="37" fontId="14" fillId="0" borderId="13" xfId="0" applyNumberFormat="1" applyFont="1" applyBorder="1" applyAlignment="1">
      <alignment/>
    </xf>
    <xf numFmtId="0" fontId="14" fillId="0" borderId="10" xfId="58" applyFont="1" applyFill="1" applyBorder="1" applyAlignment="1">
      <alignment/>
      <protection/>
    </xf>
    <xf numFmtId="3" fontId="6" fillId="0" borderId="0" xfId="0" applyNumberFormat="1" applyFont="1" applyBorder="1" applyAlignment="1">
      <alignment/>
    </xf>
    <xf numFmtId="177" fontId="6" fillId="0" borderId="105" xfId="0" applyNumberFormat="1" applyFont="1" applyBorder="1" applyAlignment="1">
      <alignment horizontal="right"/>
    </xf>
    <xf numFmtId="37" fontId="14" fillId="0" borderId="72" xfId="0" applyNumberFormat="1" applyFont="1" applyBorder="1" applyAlignment="1">
      <alignment/>
    </xf>
    <xf numFmtId="0" fontId="19" fillId="0" borderId="29" xfId="57" applyFont="1" applyBorder="1">
      <alignment/>
      <protection/>
    </xf>
    <xf numFmtId="37" fontId="14" fillId="0" borderId="29" xfId="0" applyNumberFormat="1" applyFont="1" applyBorder="1" applyAlignment="1">
      <alignment/>
    </xf>
    <xf numFmtId="37" fontId="14" fillId="0" borderId="18" xfId="0" applyNumberFormat="1" applyFont="1" applyBorder="1" applyAlignment="1">
      <alignment/>
    </xf>
    <xf numFmtId="37" fontId="14" fillId="0" borderId="19" xfId="0" applyNumberFormat="1" applyFont="1" applyBorder="1" applyAlignment="1">
      <alignment horizontal="right"/>
    </xf>
    <xf numFmtId="37" fontId="14" fillId="0" borderId="20" xfId="0" applyNumberFormat="1" applyFont="1" applyBorder="1" applyAlignment="1">
      <alignment/>
    </xf>
    <xf numFmtId="37" fontId="19" fillId="0" borderId="72" xfId="57" applyNumberFormat="1" applyBorder="1">
      <alignment/>
      <protection/>
    </xf>
    <xf numFmtId="37" fontId="19" fillId="0" borderId="30" xfId="57" applyNumberFormat="1" applyBorder="1">
      <alignment/>
      <protection/>
    </xf>
    <xf numFmtId="37" fontId="19" fillId="0" borderId="21" xfId="57" applyNumberFormat="1" applyBorder="1">
      <alignment/>
      <protection/>
    </xf>
    <xf numFmtId="37" fontId="19" fillId="0" borderId="14" xfId="57" applyNumberFormat="1" applyBorder="1">
      <alignment/>
      <protection/>
    </xf>
    <xf numFmtId="37" fontId="14" fillId="0" borderId="61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0" fontId="6" fillId="0" borderId="29" xfId="0" applyFont="1" applyBorder="1" applyAlignment="1">
      <alignment horizontal="left" indent="2"/>
    </xf>
    <xf numFmtId="3" fontId="6" fillId="0" borderId="29" xfId="0" applyNumberFormat="1" applyFont="1" applyBorder="1" applyAlignment="1">
      <alignment/>
    </xf>
    <xf numFmtId="0" fontId="6" fillId="0" borderId="62" xfId="0" applyFont="1" applyBorder="1" applyAlignment="1">
      <alignment/>
    </xf>
    <xf numFmtId="177" fontId="6" fillId="0" borderId="5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20" fillId="0" borderId="70" xfId="0" applyNumberFormat="1" applyFont="1" applyBorder="1" applyAlignment="1">
      <alignment horizontal="left" indent="4"/>
    </xf>
    <xf numFmtId="0" fontId="6" fillId="0" borderId="71" xfId="0" applyFont="1" applyBorder="1" applyAlignment="1">
      <alignment horizontal="left" indent="4"/>
    </xf>
    <xf numFmtId="0" fontId="6" fillId="0" borderId="73" xfId="0" applyFont="1" applyBorder="1" applyAlignment="1">
      <alignment horizontal="left" indent="4"/>
    </xf>
    <xf numFmtId="3" fontId="6" fillId="0" borderId="38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6" fillId="0" borderId="0" xfId="0" applyFont="1" applyAlignment="1">
      <alignment vertical="top" wrapText="1"/>
    </xf>
    <xf numFmtId="3" fontId="59" fillId="22" borderId="0" xfId="0" applyNumberFormat="1" applyFont="1" applyFill="1" applyAlignment="1">
      <alignment horizontal="center"/>
    </xf>
    <xf numFmtId="0" fontId="6" fillId="22" borderId="0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3" fontId="6" fillId="22" borderId="0" xfId="0" applyNumberFormat="1" applyFont="1" applyFill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" fontId="6" fillId="22" borderId="0" xfId="0" applyNumberFormat="1" applyFont="1" applyFill="1" applyAlignment="1">
      <alignment wrapText="1"/>
    </xf>
    <xf numFmtId="0" fontId="6" fillId="0" borderId="0" xfId="0" applyFont="1" applyBorder="1" applyAlignment="1">
      <alignment wrapText="1"/>
    </xf>
    <xf numFmtId="3" fontId="20" fillId="22" borderId="0" xfId="0" applyNumberFormat="1" applyFont="1" applyFill="1" applyAlignment="1">
      <alignment vertical="top" wrapText="1"/>
    </xf>
    <xf numFmtId="0" fontId="6" fillId="0" borderId="64" xfId="0" applyFont="1" applyBorder="1" applyAlignment="1">
      <alignment horizontal="left" indent="2"/>
    </xf>
    <xf numFmtId="177" fontId="6" fillId="0" borderId="5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left" indent="2"/>
    </xf>
    <xf numFmtId="3" fontId="6" fillId="0" borderId="108" xfId="0" applyNumberFormat="1" applyFont="1" applyBorder="1" applyAlignment="1">
      <alignment/>
    </xf>
    <xf numFmtId="0" fontId="6" fillId="0" borderId="109" xfId="0" applyFont="1" applyBorder="1" applyAlignment="1">
      <alignment/>
    </xf>
    <xf numFmtId="177" fontId="20" fillId="0" borderId="31" xfId="0" applyNumberFormat="1" applyFont="1" applyBorder="1" applyAlignment="1">
      <alignment horizontal="center" wrapText="1"/>
    </xf>
    <xf numFmtId="0" fontId="6" fillId="0" borderId="110" xfId="0" applyFont="1" applyBorder="1" applyAlignment="1">
      <alignment horizontal="center" wrapText="1"/>
    </xf>
    <xf numFmtId="3" fontId="20" fillId="0" borderId="111" xfId="0" applyNumberFormat="1" applyFont="1" applyBorder="1" applyAlignment="1">
      <alignment horizontal="left" indent="2"/>
    </xf>
    <xf numFmtId="0" fontId="6" fillId="0" borderId="112" xfId="0" applyFont="1" applyBorder="1" applyAlignment="1">
      <alignment horizontal="left" indent="2"/>
    </xf>
    <xf numFmtId="3" fontId="6" fillId="0" borderId="113" xfId="0" applyNumberFormat="1" applyFont="1" applyFill="1" applyBorder="1" applyAlignment="1">
      <alignment/>
    </xf>
    <xf numFmtId="0" fontId="6" fillId="0" borderId="114" xfId="0" applyFont="1" applyFill="1" applyBorder="1" applyAlignment="1">
      <alignment/>
    </xf>
    <xf numFmtId="3" fontId="20" fillId="0" borderId="115" xfId="0" applyNumberFormat="1" applyFont="1" applyBorder="1" applyAlignment="1">
      <alignment horizontal="left" indent="2"/>
    </xf>
    <xf numFmtId="0" fontId="6" fillId="0" borderId="110" xfId="0" applyFont="1" applyBorder="1" applyAlignment="1">
      <alignment/>
    </xf>
    <xf numFmtId="177" fontId="20" fillId="0" borderId="31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left" indent="4"/>
    </xf>
    <xf numFmtId="3" fontId="6" fillId="0" borderId="62" xfId="0" applyNumberFormat="1" applyFont="1" applyBorder="1" applyAlignment="1">
      <alignment horizontal="left" indent="4"/>
    </xf>
    <xf numFmtId="3" fontId="6" fillId="0" borderId="29" xfId="0" applyNumberFormat="1" applyFont="1" applyBorder="1" applyAlignment="1">
      <alignment horizontal="left" indent="2"/>
    </xf>
    <xf numFmtId="3" fontId="6" fillId="0" borderId="62" xfId="0" applyNumberFormat="1" applyFont="1" applyBorder="1" applyAlignment="1">
      <alignment horizontal="left" indent="2"/>
    </xf>
    <xf numFmtId="0" fontId="6" fillId="0" borderId="62" xfId="0" applyFont="1" applyBorder="1" applyAlignment="1">
      <alignment horizontal="left" indent="4"/>
    </xf>
    <xf numFmtId="0" fontId="6" fillId="0" borderId="62" xfId="0" applyFont="1" applyBorder="1" applyAlignment="1">
      <alignment horizontal="left" indent="2"/>
    </xf>
    <xf numFmtId="3" fontId="21" fillId="0" borderId="0" xfId="0" applyNumberFormat="1" applyFont="1" applyAlignment="1">
      <alignment/>
    </xf>
    <xf numFmtId="0" fontId="58" fillId="0" borderId="0" xfId="0" applyFont="1" applyAlignment="1">
      <alignment/>
    </xf>
    <xf numFmtId="3" fontId="20" fillId="0" borderId="116" xfId="0" applyNumberFormat="1" applyFont="1" applyBorder="1" applyAlignment="1">
      <alignment/>
    </xf>
    <xf numFmtId="0" fontId="6" fillId="0" borderId="117" xfId="0" applyFont="1" applyBorder="1" applyAlignment="1">
      <alignment/>
    </xf>
    <xf numFmtId="0" fontId="6" fillId="0" borderId="29" xfId="0" applyFont="1" applyBorder="1" applyAlignment="1">
      <alignment horizontal="left" indent="4"/>
    </xf>
    <xf numFmtId="3" fontId="1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77" fontId="20" fillId="0" borderId="38" xfId="0" applyNumberFormat="1" applyFont="1" applyBorder="1" applyAlignment="1">
      <alignment horizontal="center"/>
    </xf>
    <xf numFmtId="177" fontId="20" fillId="0" borderId="54" xfId="0" applyNumberFormat="1" applyFont="1" applyBorder="1" applyAlignment="1">
      <alignment horizontal="center"/>
    </xf>
    <xf numFmtId="177" fontId="20" fillId="0" borderId="55" xfId="0" applyNumberFormat="1" applyFont="1" applyBorder="1" applyAlignment="1">
      <alignment horizontal="center"/>
    </xf>
    <xf numFmtId="3" fontId="6" fillId="0" borderId="29" xfId="0" applyNumberFormat="1" applyFont="1" applyFill="1" applyBorder="1" applyAlignment="1">
      <alignment horizontal="left" indent="4"/>
    </xf>
    <xf numFmtId="177" fontId="20" fillId="0" borderId="31" xfId="0" applyNumberFormat="1" applyFont="1" applyBorder="1" applyAlignment="1">
      <alignment horizontal="right"/>
    </xf>
    <xf numFmtId="0" fontId="6" fillId="0" borderId="10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20" fillId="0" borderId="59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3" xfId="0" applyFont="1" applyBorder="1" applyAlignment="1">
      <alignment/>
    </xf>
    <xf numFmtId="0" fontId="0" fillId="22" borderId="0" xfId="57" applyFont="1" applyFill="1" applyAlignment="1">
      <alignment horizontal="left"/>
      <protection/>
    </xf>
    <xf numFmtId="0" fontId="57" fillId="0" borderId="0" xfId="0" applyFont="1" applyAlignment="1">
      <alignment/>
    </xf>
    <xf numFmtId="0" fontId="15" fillId="0" borderId="0" xfId="57" applyFont="1" applyAlignment="1">
      <alignment horizontal="center"/>
      <protection/>
    </xf>
    <xf numFmtId="0" fontId="34" fillId="0" borderId="0" xfId="0" applyFont="1" applyAlignment="1">
      <alignment horizontal="center"/>
    </xf>
    <xf numFmtId="3" fontId="16" fillId="0" borderId="0" xfId="57" applyNumberFormat="1" applyFont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14" fillId="0" borderId="0" xfId="5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6" fillId="0" borderId="31" xfId="57" applyFont="1" applyBorder="1" applyAlignment="1">
      <alignment/>
      <protection/>
    </xf>
    <xf numFmtId="0" fontId="0" fillId="0" borderId="12" xfId="0" applyBorder="1" applyAlignment="1">
      <alignment/>
    </xf>
    <xf numFmtId="0" fontId="26" fillId="0" borderId="31" xfId="57" applyFont="1" applyBorder="1" applyAlignment="1">
      <alignment wrapText="1"/>
      <protection/>
    </xf>
    <xf numFmtId="0" fontId="0" fillId="0" borderId="14" xfId="0" applyBorder="1" applyAlignment="1">
      <alignment wrapText="1"/>
    </xf>
    <xf numFmtId="0" fontId="26" fillId="0" borderId="31" xfId="57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2" borderId="0" xfId="0" applyFont="1" applyFill="1" applyBorder="1" applyAlignment="1">
      <alignment vertical="top" wrapText="1"/>
    </xf>
    <xf numFmtId="0" fontId="0" fillId="22" borderId="0" xfId="0" applyFill="1" applyBorder="1" applyAlignment="1">
      <alignment/>
    </xf>
    <xf numFmtId="0" fontId="0" fillId="22" borderId="0" xfId="57" applyFont="1" applyFill="1" applyAlignment="1">
      <alignment horizontal="left" wrapText="1"/>
      <protection/>
    </xf>
    <xf numFmtId="0" fontId="0" fillId="22" borderId="0" xfId="0" applyFill="1" applyAlignment="1">
      <alignment/>
    </xf>
    <xf numFmtId="0" fontId="26" fillId="0" borderId="38" xfId="57" applyFont="1" applyBorder="1" applyAlignment="1">
      <alignment horizontal="center"/>
      <protection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9" fillId="22" borderId="0" xfId="58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19" fillId="2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22" borderId="0" xfId="58" applyFont="1" applyFill="1" applyAlignment="1">
      <alignment horizontal="center"/>
      <protection/>
    </xf>
    <xf numFmtId="0" fontId="19" fillId="22" borderId="0" xfId="0" applyFont="1" applyFill="1" applyBorder="1" applyAlignment="1">
      <alignment/>
    </xf>
    <xf numFmtId="0" fontId="0" fillId="0" borderId="0" xfId="0" applyBorder="1" applyAlignment="1">
      <alignment/>
    </xf>
    <xf numFmtId="1" fontId="26" fillId="0" borderId="118" xfId="58" applyNumberFormat="1" applyFont="1" applyFill="1" applyBorder="1" applyAlignment="1">
      <alignment horizontal="center" vertical="center" wrapText="1"/>
      <protection/>
    </xf>
    <xf numFmtId="0" fontId="0" fillId="0" borderId="1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18" xfId="58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" fontId="26" fillId="0" borderId="120" xfId="58" applyNumberFormat="1" applyFont="1" applyFill="1" applyBorder="1" applyAlignment="1">
      <alignment horizontal="center" vertical="center" wrapText="1"/>
      <protection/>
    </xf>
    <xf numFmtId="0" fontId="0" fillId="0" borderId="12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26" fillId="0" borderId="38" xfId="58" applyFont="1" applyFill="1" applyBorder="1" applyAlignment="1">
      <alignment horizontal="center"/>
      <protection/>
    </xf>
    <xf numFmtId="0" fontId="26" fillId="0" borderId="13" xfId="58" applyFont="1" applyFill="1" applyBorder="1" applyAlignment="1">
      <alignment horizontal="center"/>
      <protection/>
    </xf>
    <xf numFmtId="0" fontId="26" fillId="0" borderId="11" xfId="58" applyFont="1" applyFill="1" applyBorder="1" applyAlignment="1">
      <alignment horizontal="center"/>
      <protection/>
    </xf>
    <xf numFmtId="0" fontId="21" fillId="0" borderId="0" xfId="58" applyFont="1" applyAlignment="1">
      <alignment/>
      <protection/>
    </xf>
    <xf numFmtId="0" fontId="58" fillId="0" borderId="0" xfId="0" applyFont="1" applyBorder="1" applyAlignment="1">
      <alignment/>
    </xf>
    <xf numFmtId="0" fontId="15" fillId="0" borderId="0" xfId="58" applyFont="1" applyAlignment="1">
      <alignment horizontal="center"/>
      <protection/>
    </xf>
    <xf numFmtId="0" fontId="34" fillId="0" borderId="0" xfId="0" applyFont="1" applyBorder="1" applyAlignment="1">
      <alignment horizontal="center"/>
    </xf>
    <xf numFmtId="3" fontId="16" fillId="0" borderId="0" xfId="58" applyNumberFormat="1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/>
    </xf>
    <xf numFmtId="177" fontId="1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77" fontId="47" fillId="0" borderId="0" xfId="0" applyNumberFormat="1" applyFont="1" applyAlignment="1">
      <alignment horizontal="center"/>
    </xf>
    <xf numFmtId="177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7" fontId="16" fillId="0" borderId="0" xfId="0" applyNumberFormat="1" applyFont="1" applyAlignment="1">
      <alignment horizontal="center"/>
    </xf>
    <xf numFmtId="177" fontId="6" fillId="0" borderId="38" xfId="0" applyNumberFormat="1" applyFont="1" applyBorder="1" applyAlignment="1">
      <alignment/>
    </xf>
    <xf numFmtId="0" fontId="6" fillId="0" borderId="55" xfId="0" applyFont="1" applyBorder="1" applyAlignment="1">
      <alignment/>
    </xf>
    <xf numFmtId="177" fontId="6" fillId="0" borderId="123" xfId="0" applyNumberFormat="1" applyFont="1" applyBorder="1" applyAlignment="1">
      <alignment/>
    </xf>
    <xf numFmtId="0" fontId="6" fillId="0" borderId="80" xfId="0" applyFont="1" applyBorder="1" applyAlignment="1">
      <alignment/>
    </xf>
    <xf numFmtId="177" fontId="20" fillId="0" borderId="59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left" indent="3"/>
    </xf>
    <xf numFmtId="0" fontId="6" fillId="0" borderId="64" xfId="0" applyFont="1" applyBorder="1" applyAlignment="1">
      <alignment horizontal="left" indent="3"/>
    </xf>
    <xf numFmtId="0" fontId="27" fillId="22" borderId="0" xfId="0" applyFont="1" applyFill="1" applyBorder="1" applyAlignment="1">
      <alignment wrapText="1"/>
    </xf>
    <xf numFmtId="177" fontId="42" fillId="22" borderId="0" xfId="0" applyNumberFormat="1" applyFont="1" applyFill="1" applyAlignment="1">
      <alignment horizontal="center" wrapText="1"/>
    </xf>
    <xf numFmtId="0" fontId="6" fillId="0" borderId="0" xfId="0" applyFont="1" applyAlignment="1">
      <alignment wrapText="1"/>
    </xf>
    <xf numFmtId="177" fontId="27" fillId="22" borderId="0" xfId="0" applyNumberFormat="1" applyFont="1" applyFill="1" applyAlignment="1">
      <alignment wrapText="1"/>
    </xf>
    <xf numFmtId="0" fontId="6" fillId="22" borderId="0" xfId="0" applyFont="1" applyFill="1" applyBorder="1" applyAlignment="1">
      <alignment wrapText="1"/>
    </xf>
    <xf numFmtId="0" fontId="6" fillId="22" borderId="0" xfId="0" applyFont="1" applyFill="1" applyAlignment="1">
      <alignment wrapText="1"/>
    </xf>
    <xf numFmtId="177" fontId="20" fillId="0" borderId="59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0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77" fontId="6" fillId="0" borderId="78" xfId="0" applyNumberFormat="1" applyFont="1" applyBorder="1" applyAlignment="1">
      <alignment/>
    </xf>
    <xf numFmtId="0" fontId="6" fillId="0" borderId="99" xfId="0" applyFont="1" applyBorder="1" applyAlignment="1">
      <alignment/>
    </xf>
    <xf numFmtId="177" fontId="6" fillId="0" borderId="29" xfId="0" applyNumberFormat="1" applyFont="1" applyBorder="1" applyAlignment="1">
      <alignment/>
    </xf>
    <xf numFmtId="0" fontId="6" fillId="0" borderId="64" xfId="0" applyFont="1" applyBorder="1" applyAlignment="1">
      <alignment/>
    </xf>
    <xf numFmtId="177" fontId="20" fillId="0" borderId="38" xfId="0" applyNumberFormat="1" applyFont="1" applyBorder="1" applyAlignment="1">
      <alignment horizontal="left" indent="3"/>
    </xf>
    <xf numFmtId="0" fontId="6" fillId="0" borderId="55" xfId="0" applyFont="1" applyBorder="1" applyAlignment="1">
      <alignment horizontal="left" indent="3"/>
    </xf>
    <xf numFmtId="177" fontId="6" fillId="0" borderId="70" xfId="0" applyNumberFormat="1" applyFont="1" applyBorder="1" applyAlignment="1">
      <alignment horizontal="left" indent="3"/>
    </xf>
    <xf numFmtId="0" fontId="6" fillId="0" borderId="73" xfId="0" applyFont="1" applyBorder="1" applyAlignment="1">
      <alignment horizontal="left" indent="3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20" fillId="0" borderId="22" xfId="0" applyFont="1" applyBorder="1" applyAlignment="1">
      <alignment horizontal="center" wrapText="1"/>
    </xf>
    <xf numFmtId="0" fontId="20" fillId="0" borderId="106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2" xfId="0" applyFont="1" applyBorder="1" applyAlignment="1">
      <alignment/>
    </xf>
    <xf numFmtId="0" fontId="20" fillId="0" borderId="10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64" xfId="0" applyFont="1" applyBorder="1" applyAlignment="1">
      <alignment/>
    </xf>
    <xf numFmtId="177" fontId="20" fillId="0" borderId="70" xfId="0" applyNumberFormat="1" applyFont="1" applyBorder="1" applyAlignment="1">
      <alignment horizontal="left" indent="3"/>
    </xf>
    <xf numFmtId="0" fontId="20" fillId="0" borderId="73" xfId="0" applyFont="1" applyBorder="1" applyAlignment="1">
      <alignment horizontal="left" indent="3"/>
    </xf>
    <xf numFmtId="177" fontId="0" fillId="0" borderId="78" xfId="0" applyNumberFormat="1" applyFont="1" applyBorder="1" applyAlignment="1">
      <alignment/>
    </xf>
    <xf numFmtId="0" fontId="0" fillId="0" borderId="99" xfId="0" applyFont="1" applyBorder="1" applyAlignment="1">
      <alignment/>
    </xf>
    <xf numFmtId="0" fontId="14" fillId="22" borderId="0" xfId="0" applyFont="1" applyFill="1" applyBorder="1" applyAlignment="1">
      <alignment wrapText="1"/>
    </xf>
    <xf numFmtId="177" fontId="6" fillId="0" borderId="0" xfId="0" applyNumberFormat="1" applyFont="1" applyAlignment="1">
      <alignment horizontal="center"/>
    </xf>
    <xf numFmtId="0" fontId="14" fillId="0" borderId="0" xfId="0" applyFont="1" applyBorder="1" applyAlignment="1">
      <alignment wrapText="1"/>
    </xf>
    <xf numFmtId="177" fontId="14" fillId="22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177" fontId="14" fillId="22" borderId="0" xfId="0" applyNumberFormat="1" applyFont="1" applyFill="1" applyAlignment="1">
      <alignment wrapText="1"/>
    </xf>
    <xf numFmtId="0" fontId="14" fillId="22" borderId="0" xfId="0" applyFont="1" applyFill="1" applyAlignment="1">
      <alignment wrapText="1"/>
    </xf>
    <xf numFmtId="177" fontId="32" fillId="0" borderId="38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0" xfId="0" applyAlignment="1">
      <alignment/>
    </xf>
    <xf numFmtId="177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7" fontId="11" fillId="0" borderId="0" xfId="0" applyNumberFormat="1" applyFont="1" applyAlignment="1">
      <alignment horizontal="center"/>
    </xf>
    <xf numFmtId="177" fontId="32" fillId="0" borderId="59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177" fontId="46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/>
    </xf>
    <xf numFmtId="177" fontId="34" fillId="22" borderId="0" xfId="0" applyNumberFormat="1" applyFont="1" applyFill="1" applyAlignment="1">
      <alignment vertical="top" wrapText="1"/>
    </xf>
    <xf numFmtId="177" fontId="34" fillId="22" borderId="0" xfId="0" applyNumberFormat="1" applyFont="1" applyFill="1" applyBorder="1" applyAlignment="1">
      <alignment vertical="top" wrapText="1"/>
    </xf>
    <xf numFmtId="0" fontId="34" fillId="22" borderId="0" xfId="0" applyFont="1" applyFill="1" applyBorder="1" applyAlignment="1">
      <alignment wrapText="1"/>
    </xf>
    <xf numFmtId="0" fontId="34" fillId="22" borderId="0" xfId="0" applyFont="1" applyFill="1" applyBorder="1" applyAlignment="1">
      <alignment vertical="top" wrapText="1"/>
    </xf>
    <xf numFmtId="3" fontId="30" fillId="24" borderId="124" xfId="0" applyNumberFormat="1" applyFont="1" applyFill="1" applyBorder="1" applyAlignment="1">
      <alignment horizontal="center" wrapText="1"/>
    </xf>
    <xf numFmtId="0" fontId="0" fillId="0" borderId="125" xfId="0" applyFont="1" applyBorder="1" applyAlignment="1">
      <alignment horizontal="center" wrapText="1"/>
    </xf>
    <xf numFmtId="0" fontId="0" fillId="0" borderId="126" xfId="0" applyFont="1" applyBorder="1" applyAlignment="1">
      <alignment horizontal="center" wrapText="1"/>
    </xf>
    <xf numFmtId="3" fontId="31" fillId="24" borderId="127" xfId="0" applyNumberFormat="1" applyFont="1" applyFill="1" applyBorder="1" applyAlignment="1">
      <alignment horizontal="center" wrapText="1"/>
    </xf>
    <xf numFmtId="0" fontId="0" fillId="0" borderId="112" xfId="0" applyBorder="1" applyAlignment="1">
      <alignment horizontal="center" wrapText="1"/>
    </xf>
    <xf numFmtId="3" fontId="31" fillId="24" borderId="45" xfId="0" applyNumberFormat="1" applyFont="1" applyFill="1" applyBorder="1" applyAlignment="1">
      <alignment horizontal="center" wrapText="1"/>
    </xf>
    <xf numFmtId="3" fontId="31" fillId="24" borderId="46" xfId="0" applyNumberFormat="1" applyFont="1" applyFill="1" applyBorder="1" applyAlignment="1">
      <alignment horizontal="center" wrapText="1"/>
    </xf>
    <xf numFmtId="3" fontId="50" fillId="24" borderId="0" xfId="0" applyNumberFormat="1" applyFont="1" applyFill="1" applyBorder="1" applyAlignment="1">
      <alignment horizontal="center"/>
    </xf>
    <xf numFmtId="0" fontId="42" fillId="22" borderId="0" xfId="0" applyFont="1" applyFill="1" applyBorder="1" applyAlignment="1">
      <alignment horizontal="center"/>
    </xf>
    <xf numFmtId="3" fontId="31" fillId="24" borderId="128" xfId="0" applyNumberFormat="1" applyFont="1" applyFill="1" applyBorder="1" applyAlignment="1">
      <alignment horizontal="center" wrapText="1"/>
    </xf>
    <xf numFmtId="0" fontId="0" fillId="0" borderId="129" xfId="0" applyBorder="1" applyAlignment="1">
      <alignment wrapText="1"/>
    </xf>
    <xf numFmtId="3" fontId="31" fillId="24" borderId="43" xfId="0" applyNumberFormat="1" applyFont="1" applyFill="1" applyBorder="1" applyAlignment="1">
      <alignment horizontal="center" wrapText="1"/>
    </xf>
    <xf numFmtId="0" fontId="0" fillId="0" borderId="130" xfId="0" applyBorder="1" applyAlignment="1">
      <alignment wrapText="1"/>
    </xf>
    <xf numFmtId="0" fontId="0" fillId="0" borderId="127" xfId="0" applyBorder="1" applyAlignment="1">
      <alignment wrapText="1"/>
    </xf>
    <xf numFmtId="0" fontId="0" fillId="0" borderId="131" xfId="0" applyBorder="1" applyAlignment="1">
      <alignment wrapText="1"/>
    </xf>
    <xf numFmtId="0" fontId="0" fillId="0" borderId="44" xfId="0" applyBorder="1" applyAlignment="1">
      <alignment horizontal="center" wrapText="1"/>
    </xf>
    <xf numFmtId="3" fontId="31" fillId="24" borderId="112" xfId="0" applyNumberFormat="1" applyFont="1" applyFill="1" applyBorder="1" applyAlignment="1">
      <alignment horizontal="center" wrapText="1"/>
    </xf>
    <xf numFmtId="37" fontId="30" fillId="24" borderId="43" xfId="0" applyNumberFormat="1" applyFont="1" applyFill="1" applyBorder="1" applyAlignment="1">
      <alignment/>
    </xf>
    <xf numFmtId="0" fontId="0" fillId="0" borderId="39" xfId="0" applyBorder="1" applyAlignment="1">
      <alignment/>
    </xf>
    <xf numFmtId="37" fontId="30" fillId="24" borderId="130" xfId="0" applyNumberFormat="1" applyFont="1" applyFill="1" applyBorder="1" applyAlignment="1">
      <alignment/>
    </xf>
    <xf numFmtId="0" fontId="0" fillId="0" borderId="132" xfId="0" applyBorder="1" applyAlignment="1">
      <alignment/>
    </xf>
    <xf numFmtId="37" fontId="30" fillId="24" borderId="74" xfId="0" applyNumberFormat="1" applyFont="1" applyFill="1" applyBorder="1" applyAlignment="1">
      <alignment/>
    </xf>
    <xf numFmtId="37" fontId="30" fillId="24" borderId="88" xfId="0" applyNumberFormat="1" applyFont="1" applyFill="1" applyBorder="1" applyAlignment="1">
      <alignment/>
    </xf>
    <xf numFmtId="37" fontId="30" fillId="24" borderId="45" xfId="0" applyNumberFormat="1" applyFont="1" applyFill="1" applyBorder="1" applyAlignment="1">
      <alignment/>
    </xf>
    <xf numFmtId="0" fontId="0" fillId="0" borderId="127" xfId="0" applyBorder="1" applyAlignment="1">
      <alignment/>
    </xf>
    <xf numFmtId="37" fontId="30" fillId="24" borderId="133" xfId="0" applyNumberFormat="1" applyFont="1" applyFill="1" applyBorder="1" applyAlignment="1">
      <alignment/>
    </xf>
    <xf numFmtId="0" fontId="0" fillId="0" borderId="131" xfId="0" applyBorder="1" applyAlignment="1">
      <alignment/>
    </xf>
    <xf numFmtId="0" fontId="27" fillId="22" borderId="0" xfId="0" applyFont="1" applyFill="1" applyBorder="1" applyAlignment="1">
      <alignment vertical="top" wrapText="1"/>
    </xf>
    <xf numFmtId="3" fontId="31" fillId="24" borderId="134" xfId="0" applyNumberFormat="1" applyFont="1" applyFill="1" applyBorder="1" applyAlignment="1">
      <alignment wrapText="1"/>
    </xf>
    <xf numFmtId="3" fontId="31" fillId="24" borderId="92" xfId="0" applyNumberFormat="1" applyFont="1" applyFill="1" applyBorder="1" applyAlignment="1">
      <alignment wrapText="1"/>
    </xf>
    <xf numFmtId="0" fontId="0" fillId="0" borderId="92" xfId="0" applyBorder="1" applyAlignment="1">
      <alignment wrapText="1"/>
    </xf>
    <xf numFmtId="0" fontId="0" fillId="0" borderId="135" xfId="0" applyBorder="1" applyAlignment="1">
      <alignment wrapText="1"/>
    </xf>
    <xf numFmtId="3" fontId="31" fillId="24" borderId="0" xfId="0" applyNumberFormat="1" applyFont="1" applyFill="1" applyBorder="1" applyAlignment="1">
      <alignment horizontal="center" wrapText="1"/>
    </xf>
    <xf numFmtId="3" fontId="31" fillId="24" borderId="49" xfId="0" applyNumberFormat="1" applyFont="1" applyFill="1" applyBorder="1" applyAlignment="1">
      <alignment horizontal="center" wrapText="1"/>
    </xf>
    <xf numFmtId="3" fontId="31" fillId="24" borderId="16" xfId="0" applyNumberFormat="1" applyFont="1" applyFill="1" applyBorder="1" applyAlignment="1">
      <alignment horizontal="center" wrapText="1"/>
    </xf>
    <xf numFmtId="3" fontId="31" fillId="24" borderId="15" xfId="0" applyNumberFormat="1" applyFont="1" applyFill="1" applyBorder="1" applyAlignment="1">
      <alignment horizontal="center" wrapText="1"/>
    </xf>
    <xf numFmtId="3" fontId="31" fillId="24" borderId="136" xfId="0" applyNumberFormat="1" applyFont="1" applyFill="1" applyBorder="1" applyAlignment="1">
      <alignment horizontal="center" wrapText="1"/>
    </xf>
    <xf numFmtId="0" fontId="0" fillId="0" borderId="137" xfId="0" applyBorder="1" applyAlignment="1">
      <alignment horizontal="center" wrapText="1"/>
    </xf>
    <xf numFmtId="0" fontId="0" fillId="0" borderId="138" xfId="0" applyBorder="1" applyAlignment="1">
      <alignment horizontal="center" wrapText="1"/>
    </xf>
    <xf numFmtId="3" fontId="30" fillId="24" borderId="125" xfId="0" applyNumberFormat="1" applyFont="1" applyFill="1" applyBorder="1" applyAlignment="1">
      <alignment horizontal="center" wrapText="1"/>
    </xf>
    <xf numFmtId="177" fontId="35" fillId="0" borderId="29" xfId="0" applyNumberFormat="1" applyFont="1" applyFill="1" applyBorder="1" applyAlignment="1">
      <alignment horizontal="left" indent="2"/>
    </xf>
    <xf numFmtId="0" fontId="55" fillId="0" borderId="62" xfId="0" applyFont="1" applyBorder="1" applyAlignment="1">
      <alignment horizontal="left" indent="2"/>
    </xf>
    <xf numFmtId="0" fontId="55" fillId="0" borderId="64" xfId="0" applyFont="1" applyBorder="1" applyAlignment="1">
      <alignment horizontal="left" indent="2"/>
    </xf>
    <xf numFmtId="177" fontId="35" fillId="24" borderId="29" xfId="0" applyNumberFormat="1" applyFont="1" applyFill="1" applyBorder="1" applyAlignment="1">
      <alignment horizontal="left" indent="3"/>
    </xf>
    <xf numFmtId="0" fontId="0" fillId="0" borderId="62" xfId="0" applyBorder="1" applyAlignment="1">
      <alignment horizontal="left" indent="3"/>
    </xf>
    <xf numFmtId="0" fontId="0" fillId="0" borderId="64" xfId="0" applyBorder="1" applyAlignment="1">
      <alignment horizontal="left" indent="3"/>
    </xf>
    <xf numFmtId="177" fontId="12" fillId="0" borderId="29" xfId="0" applyNumberFormat="1" applyFont="1" applyFill="1" applyBorder="1" applyAlignment="1">
      <alignment horizontal="left" indent="2"/>
    </xf>
    <xf numFmtId="0" fontId="0" fillId="0" borderId="62" xfId="0" applyBorder="1" applyAlignment="1">
      <alignment horizontal="left" indent="2"/>
    </xf>
    <xf numFmtId="0" fontId="0" fillId="0" borderId="64" xfId="0" applyBorder="1" applyAlignment="1">
      <alignment horizontal="left" indent="2"/>
    </xf>
    <xf numFmtId="177" fontId="12" fillId="24" borderId="29" xfId="0" applyNumberFormat="1" applyFont="1" applyFill="1" applyBorder="1" applyAlignment="1">
      <alignment horizontal="left" indent="2"/>
    </xf>
    <xf numFmtId="177" fontId="16" fillId="0" borderId="0" xfId="0" applyNumberFormat="1" applyFont="1" applyBorder="1" applyAlignment="1">
      <alignment horizontal="center"/>
    </xf>
    <xf numFmtId="177" fontId="12" fillId="24" borderId="59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6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77" fontId="12" fillId="24" borderId="78" xfId="0" applyNumberFormat="1" applyFont="1" applyFill="1" applyBorder="1" applyAlignment="1">
      <alignment horizontal="left" indent="1"/>
    </xf>
    <xf numFmtId="0" fontId="0" fillId="0" borderId="139" xfId="0" applyBorder="1" applyAlignment="1">
      <alignment horizontal="left" indent="1"/>
    </xf>
    <xf numFmtId="0" fontId="0" fillId="0" borderId="99" xfId="0" applyBorder="1" applyAlignment="1">
      <alignment horizontal="left" indent="1"/>
    </xf>
    <xf numFmtId="177" fontId="12" fillId="24" borderId="29" xfId="0" applyNumberFormat="1" applyFont="1" applyFill="1" applyBorder="1" applyAlignment="1">
      <alignment horizontal="left" indent="1"/>
    </xf>
    <xf numFmtId="0" fontId="0" fillId="0" borderId="62" xfId="0" applyBorder="1" applyAlignment="1">
      <alignment horizontal="left" indent="1"/>
    </xf>
    <xf numFmtId="0" fontId="0" fillId="0" borderId="64" xfId="0" applyBorder="1" applyAlignment="1">
      <alignment horizontal="left" indent="1"/>
    </xf>
    <xf numFmtId="177" fontId="14" fillId="0" borderId="0" xfId="0" applyNumberFormat="1" applyFont="1" applyBorder="1" applyAlignment="1">
      <alignment horizontal="center"/>
    </xf>
    <xf numFmtId="177" fontId="35" fillId="24" borderId="38" xfId="0" applyNumberFormat="1" applyFont="1" applyFill="1" applyBorder="1" applyAlignment="1">
      <alignment horizontal="center"/>
    </xf>
    <xf numFmtId="177" fontId="35" fillId="24" borderId="55" xfId="0" applyNumberFormat="1" applyFont="1" applyFill="1" applyBorder="1" applyAlignment="1">
      <alignment horizontal="center"/>
    </xf>
    <xf numFmtId="0" fontId="26" fillId="24" borderId="38" xfId="0" applyFont="1" applyFill="1" applyBorder="1" applyAlignment="1">
      <alignment horizontal="center" wrapText="1"/>
    </xf>
    <xf numFmtId="0" fontId="26" fillId="24" borderId="55" xfId="0" applyFont="1" applyFill="1" applyBorder="1" applyAlignment="1">
      <alignment horizontal="center" wrapText="1"/>
    </xf>
    <xf numFmtId="177" fontId="35" fillId="24" borderId="38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77" fontId="15" fillId="0" borderId="0" xfId="0" applyNumberFormat="1" applyFont="1" applyBorder="1" applyAlignment="1">
      <alignment horizontal="center"/>
    </xf>
    <xf numFmtId="177" fontId="13" fillId="24" borderId="29" xfId="0" applyNumberFormat="1" applyFont="1" applyFill="1" applyBorder="1" applyAlignment="1">
      <alignment horizontal="left" indent="2"/>
    </xf>
    <xf numFmtId="177" fontId="12" fillId="24" borderId="70" xfId="0" applyNumberFormat="1" applyFont="1" applyFill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0" fillId="0" borderId="73" xfId="0" applyBorder="1" applyAlignment="1">
      <alignment horizontal="left" indent="1"/>
    </xf>
    <xf numFmtId="177" fontId="12" fillId="24" borderId="123" xfId="0" applyNumberFormat="1" applyFont="1" applyFill="1" applyBorder="1" applyAlignment="1">
      <alignment horizontal="left" indent="2"/>
    </xf>
    <xf numFmtId="0" fontId="0" fillId="0" borderId="79" xfId="0" applyBorder="1" applyAlignment="1">
      <alignment horizontal="left" indent="2"/>
    </xf>
    <xf numFmtId="0" fontId="0" fillId="0" borderId="80" xfId="0" applyBorder="1" applyAlignment="1">
      <alignment horizontal="left" indent="2"/>
    </xf>
    <xf numFmtId="177" fontId="43" fillId="22" borderId="0" xfId="0" applyNumberFormat="1" applyFont="1" applyFill="1" applyBorder="1" applyAlignment="1">
      <alignment horizontal="center"/>
    </xf>
    <xf numFmtId="177" fontId="47" fillId="0" borderId="0" xfId="0" applyNumberFormat="1" applyFont="1" applyBorder="1" applyAlignment="1">
      <alignment horizontal="center"/>
    </xf>
    <xf numFmtId="0" fontId="33" fillId="22" borderId="0" xfId="0" applyFont="1" applyFill="1" applyBorder="1" applyAlignment="1">
      <alignment vertical="top" wrapText="1"/>
    </xf>
    <xf numFmtId="0" fontId="0" fillId="22" borderId="0" xfId="0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4" fillId="22" borderId="0" xfId="0" applyNumberFormat="1" applyFont="1" applyFill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22" borderId="0" xfId="0" applyFont="1" applyFill="1" applyBorder="1" applyAlignment="1">
      <alignment vertical="top" wrapText="1"/>
    </xf>
    <xf numFmtId="0" fontId="34" fillId="0" borderId="0" xfId="0" applyNumberFormat="1" applyFont="1" applyBorder="1" applyAlignment="1">
      <alignment vertical="top" wrapText="1"/>
    </xf>
    <xf numFmtId="177" fontId="34" fillId="22" borderId="0" xfId="0" applyNumberFormat="1" applyFont="1" applyFill="1" applyBorder="1" applyAlignment="1">
      <alignment vertical="top" wrapText="1"/>
    </xf>
    <xf numFmtId="0" fontId="44" fillId="0" borderId="62" xfId="0" applyFont="1" applyBorder="1" applyAlignment="1">
      <alignment horizontal="left" indent="2"/>
    </xf>
    <xf numFmtId="0" fontId="44" fillId="0" borderId="64" xfId="0" applyFont="1" applyBorder="1" applyAlignment="1">
      <alignment horizontal="left" indent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mprove by DU" xfId="57"/>
    <cellStyle name="Normal_Rsrcs_X_ DOJ Goal  Ob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dget_Staff\napostolides\FY06%20Formulation\05%20OMB%20Budget%20-%20cha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NT\Profiles\debjones\Temporary%20Internet%20Files\OLKD\2006%20Perf%20Budget%20Cong%20Submission%20Exhibits%20Templ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Req"/>
      <sheetName val="ATB Narr"/>
      <sheetName val="2003 XWalk"/>
      <sheetName val="2004 XWalk"/>
      <sheetName val="Perm Positions"/>
      <sheetName val="Positions by Category"/>
      <sheetName val="Sum by Grade"/>
      <sheetName val="Sum by O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R124"/>
  <sheetViews>
    <sheetView showGridLines="0" tabSelected="1" showOutlineSymbols="0" view="pageBreakPreview" zoomScale="60" zoomScalePageLayoutView="0" workbookViewId="0" topLeftCell="A1">
      <selection activeCell="A1" sqref="A1:AB1"/>
    </sheetView>
  </sheetViews>
  <sheetFormatPr defaultColWidth="9.6640625" defaultRowHeight="15"/>
  <cols>
    <col min="1" max="2" width="2.5546875" style="5" customWidth="1"/>
    <col min="3" max="3" width="24.99609375" style="5" customWidth="1"/>
    <col min="4" max="4" width="9.88671875" style="5" customWidth="1"/>
    <col min="5" max="5" width="3.99609375" style="5" customWidth="1"/>
    <col min="6" max="6" width="2.88671875" style="5" customWidth="1"/>
    <col min="7" max="7" width="10.3359375" style="5" customWidth="1"/>
    <col min="8" max="8" width="6.88671875" style="10" customWidth="1"/>
    <col min="9" max="9" width="6.21484375" style="10" customWidth="1"/>
    <col min="10" max="10" width="12.10546875" style="10" customWidth="1"/>
    <col min="11" max="11" width="5.6640625" style="10" customWidth="1"/>
    <col min="12" max="12" width="6.21484375" style="10" customWidth="1"/>
    <col min="13" max="13" width="12.6640625" style="10" customWidth="1"/>
    <col min="14" max="15" width="5.6640625" style="10" customWidth="1"/>
    <col min="16" max="16" width="12.77734375" style="10" customWidth="1"/>
    <col min="17" max="17" width="5.6640625" style="10" customWidth="1"/>
    <col min="18" max="18" width="6.10546875" style="10" customWidth="1"/>
    <col min="19" max="19" width="12.88671875" style="10" customWidth="1"/>
    <col min="20" max="21" width="5.6640625" style="10" customWidth="1"/>
    <col min="22" max="22" width="10.4453125" style="10" customWidth="1"/>
    <col min="23" max="23" width="6.10546875" style="10" customWidth="1"/>
    <col min="24" max="24" width="5.6640625" style="10" customWidth="1"/>
    <col min="25" max="25" width="11.21484375" style="10" customWidth="1"/>
    <col min="26" max="26" width="9.5546875" style="10" customWidth="1"/>
    <col min="27" max="27" width="6.21484375" style="10" customWidth="1"/>
    <col min="28" max="28" width="13.5546875" style="10" customWidth="1"/>
    <col min="29" max="29" width="9.3359375" style="5" customWidth="1"/>
    <col min="30" max="30" width="7.6640625" style="5" customWidth="1"/>
    <col min="31" max="16384" width="9.6640625" style="5" customWidth="1"/>
  </cols>
  <sheetData>
    <row r="1" spans="1:28" ht="20.25">
      <c r="A1" s="590" t="s">
        <v>134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</row>
    <row r="4" spans="1:28" ht="18.75">
      <c r="A4" s="595" t="s">
        <v>12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</row>
    <row r="5" spans="1:28" ht="16.5">
      <c r="A5" s="597" t="s">
        <v>39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</row>
    <row r="6" spans="1:28" ht="16.5">
      <c r="A6" s="597" t="s">
        <v>38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</row>
    <row r="7" spans="1:28" ht="15.75">
      <c r="A7" s="600" t="s">
        <v>6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</row>
    <row r="8" spans="1:28" ht="15.75">
      <c r="A8" s="6"/>
      <c r="B8" s="6"/>
      <c r="C8" s="6"/>
      <c r="D8" s="6"/>
      <c r="E8" s="6"/>
      <c r="F8" s="6"/>
      <c r="G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.75">
      <c r="A9" s="6"/>
      <c r="B9" s="6"/>
      <c r="C9" s="6"/>
      <c r="D9" s="6"/>
      <c r="E9" s="6"/>
      <c r="F9" s="6"/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>
      <c r="A10" s="6"/>
      <c r="B10" s="6"/>
      <c r="C10" s="6"/>
      <c r="D10" s="6"/>
      <c r="E10" s="6"/>
      <c r="F10" s="6"/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.75">
      <c r="A11" s="6"/>
      <c r="B11" s="6"/>
      <c r="C11" s="6"/>
      <c r="D11" s="6"/>
      <c r="E11" s="6"/>
      <c r="F11" s="6"/>
      <c r="G11" s="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602" t="s">
        <v>52</v>
      </c>
      <c r="AA11" s="603"/>
      <c r="AB11" s="604"/>
    </row>
    <row r="12" spans="1:28" ht="15.75">
      <c r="A12" s="8"/>
      <c r="B12" s="8"/>
      <c r="C12" s="8"/>
      <c r="D12" s="8"/>
      <c r="E12" s="8"/>
      <c r="F12" s="8"/>
      <c r="G12" s="8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79"/>
      <c r="Z12" s="575" t="s">
        <v>124</v>
      </c>
      <c r="AA12" s="583" t="s">
        <v>165</v>
      </c>
      <c r="AB12" s="606" t="s">
        <v>22</v>
      </c>
    </row>
    <row r="13" spans="1:28" ht="16.5" thickBot="1">
      <c r="A13" s="164"/>
      <c r="B13" s="84"/>
      <c r="C13" s="84"/>
      <c r="D13" s="84"/>
      <c r="E13" s="84"/>
      <c r="F13" s="84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576"/>
      <c r="AA13" s="582"/>
      <c r="AB13" s="582"/>
    </row>
    <row r="14" spans="1:28" ht="15.75">
      <c r="A14" s="592" t="s">
        <v>239</v>
      </c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212"/>
      <c r="AA14" s="212"/>
      <c r="AB14" s="212">
        <v>1008136</v>
      </c>
    </row>
    <row r="15" spans="1:28" ht="15.75">
      <c r="A15" s="329" t="s">
        <v>34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209"/>
      <c r="AA15" s="209"/>
      <c r="AB15" s="210">
        <v>241204</v>
      </c>
    </row>
    <row r="16" spans="1:28" ht="15.75">
      <c r="A16" s="81" t="s">
        <v>290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209"/>
      <c r="AA16" s="209"/>
      <c r="AB16" s="210">
        <v>-55038</v>
      </c>
    </row>
    <row r="17" spans="1:28" s="101" customFormat="1" ht="15.75">
      <c r="A17" s="447" t="s">
        <v>36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2"/>
      <c r="AA17" s="432"/>
      <c r="AB17" s="433">
        <v>-57779</v>
      </c>
    </row>
    <row r="18" spans="1:28" ht="20.25" customHeight="1">
      <c r="A18" s="573" t="s">
        <v>135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23"/>
      <c r="AA18" s="523"/>
      <c r="AB18" s="524">
        <v>0</v>
      </c>
    </row>
    <row r="19" spans="1:28" ht="15.75">
      <c r="A19" s="577" t="s">
        <v>45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211">
        <f>+Z18+Z14</f>
        <v>0</v>
      </c>
      <c r="AA19" s="211">
        <f>+AA18+AA14</f>
        <v>0</v>
      </c>
      <c r="AB19" s="331">
        <f>SUM(AB14:AB18)</f>
        <v>1136523</v>
      </c>
    </row>
    <row r="20" spans="1:28" ht="15.75">
      <c r="A20" s="592" t="s">
        <v>54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212"/>
      <c r="AA20" s="212"/>
      <c r="AB20" s="212">
        <f>1328500</f>
        <v>1328500</v>
      </c>
    </row>
    <row r="21" spans="1:28" ht="18.75" customHeight="1">
      <c r="A21" s="329" t="s">
        <v>34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0"/>
      <c r="AA21" s="330"/>
      <c r="AB21" s="332">
        <v>270500</v>
      </c>
    </row>
    <row r="22" spans="1:28" ht="18.75" customHeight="1">
      <c r="A22" s="329" t="s">
        <v>35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0"/>
      <c r="AA22" s="330"/>
      <c r="AB22" s="332">
        <v>27880</v>
      </c>
    </row>
    <row r="23" spans="1:28" s="101" customFormat="1" ht="18.75" customHeight="1">
      <c r="A23" s="430" t="s">
        <v>36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5"/>
      <c r="AA23" s="435"/>
      <c r="AB23" s="436">
        <v>-75000</v>
      </c>
    </row>
    <row r="24" spans="1:28" s="101" customFormat="1" ht="18.75" customHeight="1">
      <c r="A24" s="579" t="s">
        <v>55</v>
      </c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437"/>
      <c r="AA24" s="437"/>
      <c r="AB24" s="438">
        <v>2765000</v>
      </c>
    </row>
    <row r="25" spans="1:28" s="101" customFormat="1" ht="18.75" customHeight="1">
      <c r="A25" s="430" t="s">
        <v>249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5"/>
      <c r="AA25" s="435"/>
      <c r="AB25" s="436">
        <v>-10000</v>
      </c>
    </row>
    <row r="26" spans="1:28" s="101" customFormat="1" ht="18.75" customHeight="1">
      <c r="A26" s="430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5"/>
      <c r="AA26" s="435"/>
      <c r="AB26" s="436"/>
    </row>
    <row r="27" spans="1:28" ht="15.75">
      <c r="A27" s="581" t="s">
        <v>56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213">
        <f>+Z24+Z20</f>
        <v>0</v>
      </c>
      <c r="AA27" s="213">
        <f>+AA24+AA20</f>
        <v>0</v>
      </c>
      <c r="AB27" s="213">
        <f>SUM(AB20:AB25)</f>
        <v>4306880</v>
      </c>
    </row>
    <row r="28" spans="1:28" ht="15.75">
      <c r="A28" s="573" t="s">
        <v>223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207"/>
      <c r="AA28" s="207"/>
      <c r="AB28" s="208"/>
    </row>
    <row r="29" spans="1:28" ht="15.75">
      <c r="A29" s="594" t="s">
        <v>58</v>
      </c>
      <c r="B29" s="588"/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588"/>
      <c r="Y29" s="588"/>
      <c r="Z29" s="207"/>
      <c r="AA29" s="207"/>
      <c r="AB29" s="208">
        <f>-2755000</f>
        <v>-2755000</v>
      </c>
    </row>
    <row r="30" spans="1:28" ht="15.75">
      <c r="A30" s="594" t="s">
        <v>57</v>
      </c>
      <c r="B30" s="588"/>
      <c r="C30" s="588"/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588"/>
      <c r="Y30" s="588"/>
      <c r="Z30" s="207"/>
      <c r="AA30" s="207"/>
      <c r="AB30" s="208">
        <v>75000</v>
      </c>
    </row>
    <row r="31" spans="1:28" ht="15.75">
      <c r="A31" s="605" t="s">
        <v>250</v>
      </c>
      <c r="B31" s="588"/>
      <c r="C31" s="588"/>
      <c r="D31" s="588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207"/>
      <c r="AA31" s="207"/>
      <c r="AB31" s="208">
        <v>-298380</v>
      </c>
    </row>
    <row r="32" spans="1:28" ht="15.75">
      <c r="A32" s="415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207"/>
      <c r="AA32" s="207"/>
      <c r="AB32" s="208"/>
    </row>
    <row r="33" spans="1:28" ht="15.75">
      <c r="A33" s="586" t="s">
        <v>161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207"/>
      <c r="AA33" s="207"/>
      <c r="AB33" s="208"/>
    </row>
    <row r="34" spans="1:28" ht="15.75">
      <c r="A34" s="584" t="s">
        <v>16</v>
      </c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207">
        <v>0</v>
      </c>
      <c r="AA34" s="207">
        <v>0</v>
      </c>
      <c r="AB34" s="207">
        <v>0</v>
      </c>
    </row>
    <row r="35" spans="1:28" ht="15.75">
      <c r="A35" s="586" t="s">
        <v>162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207"/>
      <c r="AA35" s="207"/>
      <c r="AB35" s="208"/>
    </row>
    <row r="36" spans="1:28" ht="15.75">
      <c r="A36" s="543" t="s">
        <v>160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207">
        <f>+Z34</f>
        <v>0</v>
      </c>
      <c r="AA36" s="207">
        <f>+AA34</f>
        <v>0</v>
      </c>
      <c r="AB36" s="207">
        <f>+AB34</f>
        <v>0</v>
      </c>
    </row>
    <row r="37" spans="1:28" ht="15.75">
      <c r="A37" s="543" t="s">
        <v>159</v>
      </c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207">
        <f>Z36+Z30</f>
        <v>0</v>
      </c>
      <c r="AA37" s="207">
        <f>AA30</f>
        <v>0</v>
      </c>
      <c r="AB37" s="207">
        <f>AB30+AB29+AB31</f>
        <v>-2978380</v>
      </c>
    </row>
    <row r="38" spans="1:28" ht="15.75">
      <c r="A38" s="172" t="s">
        <v>46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216">
        <f>Z20</f>
        <v>0</v>
      </c>
      <c r="AA38" s="216">
        <f>AA37+AA20</f>
        <v>0</v>
      </c>
      <c r="AB38" s="216">
        <f>AB37+AB27</f>
        <v>1328500</v>
      </c>
    </row>
    <row r="39" spans="1:28" ht="15.75">
      <c r="A39" s="544" t="s">
        <v>224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322"/>
      <c r="AA39" s="322"/>
      <c r="AB39" s="323"/>
    </row>
    <row r="40" spans="1:28" s="8" customFormat="1" ht="15.75">
      <c r="A40" s="586" t="s">
        <v>225</v>
      </c>
      <c r="B40" s="589"/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322" t="s">
        <v>21</v>
      </c>
      <c r="AA40" s="322"/>
      <c r="AB40" s="323"/>
    </row>
    <row r="41" spans="1:252" s="320" customFormat="1" ht="15.75">
      <c r="A41" s="360"/>
      <c r="C41" s="320" t="s">
        <v>98</v>
      </c>
      <c r="H41" s="356"/>
      <c r="I41" s="356"/>
      <c r="J41" s="356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22"/>
      <c r="AA41" s="322"/>
      <c r="AB41" s="323">
        <v>20000</v>
      </c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29"/>
      <c r="BI41" s="529"/>
      <c r="BJ41" s="529"/>
      <c r="BK41" s="529"/>
      <c r="BL41" s="529"/>
      <c r="BM41" s="529"/>
      <c r="BN41" s="529"/>
      <c r="BO41" s="529"/>
      <c r="BP41" s="529"/>
      <c r="BQ41" s="529"/>
      <c r="BR41" s="529"/>
      <c r="BS41" s="529"/>
      <c r="BT41" s="529"/>
      <c r="BU41" s="529"/>
      <c r="BV41" s="529"/>
      <c r="BW41" s="529"/>
      <c r="BX41" s="529"/>
      <c r="BY41" s="529"/>
      <c r="BZ41" s="529"/>
      <c r="CA41" s="529"/>
      <c r="CB41" s="529"/>
      <c r="CC41" s="529"/>
      <c r="CD41" s="529"/>
      <c r="CE41" s="529"/>
      <c r="CF41" s="529"/>
      <c r="CG41" s="529"/>
      <c r="CH41" s="529"/>
      <c r="CI41" s="529"/>
      <c r="CJ41" s="529"/>
      <c r="CK41" s="529"/>
      <c r="CL41" s="529"/>
      <c r="CM41" s="529"/>
      <c r="CN41" s="529"/>
      <c r="CO41" s="529"/>
      <c r="CP41" s="529"/>
      <c r="CQ41" s="529"/>
      <c r="CR41" s="529"/>
      <c r="CS41" s="529"/>
      <c r="CT41" s="529"/>
      <c r="CU41" s="529"/>
      <c r="CV41" s="529"/>
      <c r="CW41" s="529"/>
      <c r="CX41" s="529"/>
      <c r="CY41" s="529"/>
      <c r="CZ41" s="529"/>
      <c r="DA41" s="529"/>
      <c r="DB41" s="529"/>
      <c r="DC41" s="529"/>
      <c r="DD41" s="529"/>
      <c r="DE41" s="529"/>
      <c r="DF41" s="529"/>
      <c r="DG41" s="529"/>
      <c r="DH41" s="529"/>
      <c r="DI41" s="529"/>
      <c r="DJ41" s="529"/>
      <c r="DK41" s="529"/>
      <c r="DL41" s="529"/>
      <c r="DM41" s="529"/>
      <c r="DN41" s="529"/>
      <c r="DO41" s="529"/>
      <c r="DP41" s="529"/>
      <c r="DQ41" s="529"/>
      <c r="DR41" s="529"/>
      <c r="DS41" s="529"/>
      <c r="DT41" s="529"/>
      <c r="DU41" s="529"/>
      <c r="DV41" s="529"/>
      <c r="DW41" s="529"/>
      <c r="DX41" s="529"/>
      <c r="DY41" s="529"/>
      <c r="DZ41" s="529"/>
      <c r="EA41" s="529"/>
      <c r="EB41" s="529"/>
      <c r="EC41" s="529"/>
      <c r="ED41" s="529"/>
      <c r="EE41" s="529"/>
      <c r="EF41" s="529"/>
      <c r="EG41" s="529"/>
      <c r="EH41" s="529"/>
      <c r="EI41" s="529"/>
      <c r="EJ41" s="529"/>
      <c r="EK41" s="529"/>
      <c r="EL41" s="529"/>
      <c r="EM41" s="529"/>
      <c r="EN41" s="529"/>
      <c r="EO41" s="529"/>
      <c r="EP41" s="529"/>
      <c r="EQ41" s="529"/>
      <c r="ER41" s="529"/>
      <c r="ES41" s="529"/>
      <c r="ET41" s="529"/>
      <c r="EU41" s="529"/>
      <c r="EV41" s="529"/>
      <c r="EW41" s="529"/>
      <c r="EX41" s="529"/>
      <c r="EY41" s="529"/>
      <c r="EZ41" s="529"/>
      <c r="FA41" s="529"/>
      <c r="FB41" s="529"/>
      <c r="FC41" s="529"/>
      <c r="FD41" s="529"/>
      <c r="FE41" s="529"/>
      <c r="FF41" s="529"/>
      <c r="FG41" s="529"/>
      <c r="FH41" s="529"/>
      <c r="FI41" s="529"/>
      <c r="FJ41" s="529"/>
      <c r="FK41" s="529"/>
      <c r="FL41" s="529"/>
      <c r="FM41" s="529"/>
      <c r="FN41" s="529"/>
      <c r="FO41" s="529"/>
      <c r="FP41" s="529"/>
      <c r="FQ41" s="529"/>
      <c r="FR41" s="529"/>
      <c r="FS41" s="529"/>
      <c r="FT41" s="529"/>
      <c r="FU41" s="529"/>
      <c r="FV41" s="529"/>
      <c r="FW41" s="529"/>
      <c r="FX41" s="529"/>
      <c r="FY41" s="529"/>
      <c r="FZ41" s="529"/>
      <c r="GA41" s="529"/>
      <c r="GB41" s="529"/>
      <c r="GC41" s="529"/>
      <c r="GD41" s="529"/>
      <c r="GE41" s="529"/>
      <c r="GF41" s="529"/>
      <c r="GG41" s="529"/>
      <c r="GH41" s="529"/>
      <c r="GI41" s="529"/>
      <c r="GJ41" s="529"/>
      <c r="GK41" s="529"/>
      <c r="GL41" s="529"/>
      <c r="GM41" s="529"/>
      <c r="GN41" s="529"/>
      <c r="GO41" s="529"/>
      <c r="GP41" s="529"/>
      <c r="GQ41" s="529"/>
      <c r="GR41" s="529"/>
      <c r="GS41" s="529"/>
      <c r="GT41" s="529"/>
      <c r="GU41" s="529"/>
      <c r="GV41" s="529"/>
      <c r="GW41" s="529"/>
      <c r="GX41" s="529"/>
      <c r="GY41" s="529"/>
      <c r="GZ41" s="529"/>
      <c r="HA41" s="529"/>
      <c r="HB41" s="529"/>
      <c r="HC41" s="529"/>
      <c r="HD41" s="529"/>
      <c r="HE41" s="529"/>
      <c r="HF41" s="529"/>
      <c r="HG41" s="529"/>
      <c r="HH41" s="529"/>
      <c r="HI41" s="529"/>
      <c r="HJ41" s="529"/>
      <c r="HK41" s="529"/>
      <c r="HL41" s="529"/>
      <c r="HM41" s="529"/>
      <c r="HN41" s="529"/>
      <c r="HO41" s="529"/>
      <c r="HP41" s="529"/>
      <c r="HQ41" s="529"/>
      <c r="HR41" s="529"/>
      <c r="HS41" s="529"/>
      <c r="HT41" s="529"/>
      <c r="HU41" s="529"/>
      <c r="HV41" s="529"/>
      <c r="HW41" s="529"/>
      <c r="HX41" s="529"/>
      <c r="HY41" s="529"/>
      <c r="HZ41" s="529"/>
      <c r="IA41" s="529"/>
      <c r="IB41" s="529"/>
      <c r="IC41" s="529"/>
      <c r="ID41" s="529"/>
      <c r="IE41" s="529"/>
      <c r="IF41" s="529"/>
      <c r="IG41" s="529"/>
      <c r="IH41" s="529"/>
      <c r="II41" s="529"/>
      <c r="IJ41" s="529"/>
      <c r="IK41" s="529"/>
      <c r="IL41" s="529"/>
      <c r="IM41" s="529"/>
      <c r="IN41" s="529"/>
      <c r="IO41" s="529"/>
      <c r="IP41" s="529"/>
      <c r="IQ41" s="529"/>
      <c r="IR41" s="529"/>
    </row>
    <row r="42" spans="1:28" s="8" customFormat="1" ht="15.75">
      <c r="A42" s="360"/>
      <c r="B42" s="320"/>
      <c r="C42" s="320" t="s">
        <v>265</v>
      </c>
      <c r="D42" s="320"/>
      <c r="E42" s="320"/>
      <c r="F42" s="320"/>
      <c r="G42" s="320"/>
      <c r="H42" s="356"/>
      <c r="I42" s="356"/>
      <c r="J42" s="356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22"/>
      <c r="AA42" s="322"/>
      <c r="AB42" s="323">
        <v>9000</v>
      </c>
    </row>
    <row r="43" spans="1:28" ht="15.75">
      <c r="A43" s="584" t="s">
        <v>227</v>
      </c>
      <c r="B43" s="588"/>
      <c r="C43" s="588"/>
      <c r="D43" s="588"/>
      <c r="E43" s="588"/>
      <c r="F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8"/>
      <c r="V43" s="588"/>
      <c r="W43" s="588"/>
      <c r="X43" s="588"/>
      <c r="Y43" s="588"/>
      <c r="Z43" s="322">
        <f>SUM(Z40:Z42)</f>
        <v>0</v>
      </c>
      <c r="AA43" s="322">
        <f>SUM(AA40:AA42)</f>
        <v>0</v>
      </c>
      <c r="AB43" s="323">
        <f>SUM(AB40:AB42)</f>
        <v>29000</v>
      </c>
    </row>
    <row r="44" spans="1:28" ht="15.75">
      <c r="A44" s="586" t="s">
        <v>26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207"/>
      <c r="AA44" s="207"/>
      <c r="AB44" s="208"/>
    </row>
    <row r="45" spans="1:28" ht="15.75">
      <c r="A45" s="318"/>
      <c r="B45" s="334"/>
      <c r="C45" s="334" t="s">
        <v>85</v>
      </c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207"/>
      <c r="AA45" s="207"/>
      <c r="AB45" s="208">
        <v>-27000</v>
      </c>
    </row>
    <row r="46" spans="1:28" ht="15.75">
      <c r="A46" s="317"/>
      <c r="B46" s="326"/>
      <c r="C46" s="336" t="s">
        <v>88</v>
      </c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207"/>
      <c r="AA46" s="207"/>
      <c r="AB46" s="208">
        <v>-178500</v>
      </c>
    </row>
    <row r="47" spans="1:28" ht="15.75">
      <c r="A47" s="317"/>
      <c r="B47" s="326"/>
      <c r="C47" s="336" t="s">
        <v>86</v>
      </c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207"/>
      <c r="AA47" s="207"/>
      <c r="AB47" s="208">
        <v>-400000</v>
      </c>
    </row>
    <row r="48" spans="1:28" ht="15.75">
      <c r="A48" s="317"/>
      <c r="B48" s="326"/>
      <c r="C48" s="353" t="s">
        <v>92</v>
      </c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207"/>
      <c r="AA48" s="207"/>
      <c r="AB48" s="208">
        <v>-1000</v>
      </c>
    </row>
    <row r="49" spans="1:28" ht="15.75">
      <c r="A49" s="317"/>
      <c r="B49" s="326"/>
      <c r="C49" s="353" t="s">
        <v>101</v>
      </c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207"/>
      <c r="AA49" s="207"/>
      <c r="AB49" s="208">
        <v>-2000</v>
      </c>
    </row>
    <row r="50" spans="1:28" ht="15.75">
      <c r="A50" s="317"/>
      <c r="B50" s="326"/>
      <c r="C50" s="353" t="s">
        <v>93</v>
      </c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207"/>
      <c r="AA50" s="207"/>
      <c r="AB50" s="208">
        <v>-3000</v>
      </c>
    </row>
    <row r="51" spans="1:28" ht="15.75">
      <c r="A51" s="317"/>
      <c r="B51" s="326"/>
      <c r="C51" s="353" t="s">
        <v>103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207"/>
      <c r="AA51" s="207"/>
      <c r="AB51" s="208">
        <v>-18000</v>
      </c>
    </row>
    <row r="52" spans="1:28" ht="15.75">
      <c r="A52" s="584" t="s">
        <v>228</v>
      </c>
      <c r="B52" s="588"/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207">
        <f>SUM(Z45:Z47)</f>
        <v>0</v>
      </c>
      <c r="AA52" s="207">
        <f>SUM(AA45:AA47)</f>
        <v>0</v>
      </c>
      <c r="AB52" s="207">
        <f>SUM(AB45:AB51)</f>
        <v>-629500</v>
      </c>
    </row>
    <row r="53" spans="1:28" ht="15.75">
      <c r="A53" s="364" t="s">
        <v>226</v>
      </c>
      <c r="B53" s="364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217">
        <f>SUM(Z43+Z52)</f>
        <v>0</v>
      </c>
      <c r="AA53" s="217">
        <f>SUM(AA43+AA52)</f>
        <v>0</v>
      </c>
      <c r="AB53" s="217">
        <f>SUM(AB43+AB52)</f>
        <v>-600500</v>
      </c>
    </row>
    <row r="54" spans="1:28" ht="15.75">
      <c r="A54" s="542" t="s">
        <v>231</v>
      </c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218">
        <f>Z38+Z53</f>
        <v>0</v>
      </c>
      <c r="AA54" s="218">
        <f>AA38+AA53</f>
        <v>0</v>
      </c>
      <c r="AB54" s="219">
        <f>AB38+AB53</f>
        <v>728000</v>
      </c>
    </row>
    <row r="55" spans="1:28" ht="15.75">
      <c r="A55" s="404"/>
      <c r="B55" s="403" t="s">
        <v>232</v>
      </c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214">
        <v>0</v>
      </c>
      <c r="AA55" s="214">
        <v>0</v>
      </c>
      <c r="AB55" s="406">
        <v>-31500</v>
      </c>
    </row>
    <row r="56" spans="1:28" ht="15.75">
      <c r="A56" s="404" t="s">
        <v>47</v>
      </c>
      <c r="B56" s="407"/>
      <c r="C56" s="407"/>
      <c r="D56" s="407"/>
      <c r="E56" s="407"/>
      <c r="F56" s="407"/>
      <c r="G56" s="408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218">
        <v>0</v>
      </c>
      <c r="AA56" s="218">
        <v>0</v>
      </c>
      <c r="AB56" s="405">
        <f>AB54+AB55</f>
        <v>696500</v>
      </c>
    </row>
    <row r="57" spans="1:28" ht="15.75">
      <c r="A57" s="552" t="s">
        <v>233</v>
      </c>
      <c r="B57" s="553"/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218"/>
      <c r="AA57" s="218"/>
      <c r="AB57" s="406">
        <f>AB54-AB20</f>
        <v>-600500</v>
      </c>
    </row>
    <row r="58" spans="1:28" ht="15.75">
      <c r="A58" s="552" t="s">
        <v>234</v>
      </c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214">
        <f>Z54-Z20</f>
        <v>0</v>
      </c>
      <c r="AA58" s="214">
        <f>AA54-AA20</f>
        <v>0</v>
      </c>
      <c r="AB58" s="406">
        <f>AB56-AB27</f>
        <v>-3610380</v>
      </c>
    </row>
    <row r="60" ht="15.75">
      <c r="O60" s="176" t="s">
        <v>69</v>
      </c>
    </row>
    <row r="61" spans="1:28" ht="20.25">
      <c r="A61" s="590" t="s">
        <v>134</v>
      </c>
      <c r="B61" s="591"/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</row>
    <row r="63" spans="1:28" ht="18.75">
      <c r="A63" s="595" t="s">
        <v>12</v>
      </c>
      <c r="B63" s="596"/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</row>
    <row r="64" spans="1:28" ht="16.5">
      <c r="A64" s="597" t="s">
        <v>39</v>
      </c>
      <c r="B64" s="598"/>
      <c r="C64" s="598"/>
      <c r="D64" s="598"/>
      <c r="E64" s="598"/>
      <c r="F64" s="598"/>
      <c r="G64" s="598"/>
      <c r="H64" s="598"/>
      <c r="I64" s="598"/>
      <c r="J64" s="598"/>
      <c r="K64" s="598"/>
      <c r="L64" s="598"/>
      <c r="M64" s="598"/>
      <c r="N64" s="598"/>
      <c r="O64" s="598"/>
      <c r="P64" s="598"/>
      <c r="Q64" s="598"/>
      <c r="R64" s="598"/>
      <c r="S64" s="598"/>
      <c r="T64" s="598"/>
      <c r="U64" s="598"/>
      <c r="V64" s="598"/>
      <c r="W64" s="598"/>
      <c r="X64" s="598"/>
      <c r="Y64" s="598"/>
      <c r="Z64" s="598"/>
      <c r="AA64" s="598"/>
      <c r="AB64" s="598"/>
    </row>
    <row r="65" spans="1:28" ht="16.5">
      <c r="A65" s="597" t="s">
        <v>38</v>
      </c>
      <c r="B65" s="599"/>
      <c r="C65" s="599"/>
      <c r="D65" s="599"/>
      <c r="E65" s="599"/>
      <c r="F65" s="599"/>
      <c r="G65" s="599"/>
      <c r="H65" s="599"/>
      <c r="I65" s="599"/>
      <c r="J65" s="599"/>
      <c r="K65" s="599"/>
      <c r="L65" s="599"/>
      <c r="M65" s="599"/>
      <c r="N65" s="599"/>
      <c r="O65" s="599"/>
      <c r="P65" s="599"/>
      <c r="Q65" s="599"/>
      <c r="R65" s="599"/>
      <c r="S65" s="599"/>
      <c r="T65" s="599"/>
      <c r="U65" s="599"/>
      <c r="V65" s="599"/>
      <c r="W65" s="599"/>
      <c r="X65" s="599"/>
      <c r="Y65" s="599"/>
      <c r="Z65" s="599"/>
      <c r="AA65" s="599"/>
      <c r="AB65" s="599"/>
    </row>
    <row r="66" spans="1:28" ht="15.75">
      <c r="A66" s="600" t="s">
        <v>6</v>
      </c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</row>
    <row r="68" ht="18" customHeight="1"/>
    <row r="69" spans="1:28" ht="18" customHeight="1">
      <c r="A69" s="121"/>
      <c r="B69" s="121"/>
      <c r="C69" s="121"/>
      <c r="D69" s="121"/>
      <c r="E69" s="121"/>
      <c r="F69" s="121"/>
      <c r="G69" s="121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</row>
    <row r="70" spans="1:28" ht="18" customHeight="1">
      <c r="A70" s="611" t="s">
        <v>19</v>
      </c>
      <c r="B70" s="612"/>
      <c r="C70" s="612"/>
      <c r="D70" s="612"/>
      <c r="E70" s="612"/>
      <c r="F70" s="612"/>
      <c r="G70" s="613"/>
      <c r="H70" s="566" t="s">
        <v>59</v>
      </c>
      <c r="I70" s="567"/>
      <c r="J70" s="568"/>
      <c r="K70" s="546" t="s">
        <v>53</v>
      </c>
      <c r="L70" s="547"/>
      <c r="M70" s="607"/>
      <c r="N70" s="566" t="s">
        <v>48</v>
      </c>
      <c r="O70" s="567"/>
      <c r="P70" s="568"/>
      <c r="Q70" s="566" t="s">
        <v>46</v>
      </c>
      <c r="R70" s="567"/>
      <c r="S70" s="568"/>
      <c r="T70" s="566" t="s">
        <v>49</v>
      </c>
      <c r="U70" s="559"/>
      <c r="V70" s="559"/>
      <c r="W70" s="566" t="s">
        <v>50</v>
      </c>
      <c r="X70" s="567"/>
      <c r="Y70" s="567"/>
      <c r="Z70" s="566" t="s">
        <v>51</v>
      </c>
      <c r="AA70" s="567"/>
      <c r="AB70" s="568"/>
    </row>
    <row r="71" spans="1:28" ht="28.5" customHeight="1">
      <c r="A71" s="614"/>
      <c r="B71" s="615"/>
      <c r="C71" s="615"/>
      <c r="D71" s="615"/>
      <c r="E71" s="615"/>
      <c r="F71" s="615"/>
      <c r="G71" s="616"/>
      <c r="H71" s="569"/>
      <c r="I71" s="570"/>
      <c r="J71" s="571"/>
      <c r="K71" s="608"/>
      <c r="L71" s="609"/>
      <c r="M71" s="610"/>
      <c r="N71" s="569"/>
      <c r="O71" s="570"/>
      <c r="P71" s="571"/>
      <c r="Q71" s="569"/>
      <c r="R71" s="570"/>
      <c r="S71" s="571"/>
      <c r="T71" s="560"/>
      <c r="U71" s="561"/>
      <c r="V71" s="561"/>
      <c r="W71" s="569"/>
      <c r="X71" s="570"/>
      <c r="Y71" s="570"/>
      <c r="Z71" s="569"/>
      <c r="AA71" s="570"/>
      <c r="AB71" s="571"/>
    </row>
    <row r="72" spans="1:28" s="8" customFormat="1" ht="18" customHeight="1" thickBot="1">
      <c r="A72" s="617"/>
      <c r="B72" s="618"/>
      <c r="C72" s="618"/>
      <c r="D72" s="618"/>
      <c r="E72" s="618"/>
      <c r="F72" s="618"/>
      <c r="G72" s="619"/>
      <c r="H72" s="345" t="s">
        <v>20</v>
      </c>
      <c r="I72" s="346" t="s">
        <v>165</v>
      </c>
      <c r="J72" s="347" t="s">
        <v>22</v>
      </c>
      <c r="K72" s="345" t="s">
        <v>20</v>
      </c>
      <c r="L72" s="346" t="s">
        <v>165</v>
      </c>
      <c r="M72" s="347" t="s">
        <v>22</v>
      </c>
      <c r="N72" s="345" t="s">
        <v>20</v>
      </c>
      <c r="O72" s="346" t="s">
        <v>165</v>
      </c>
      <c r="P72" s="347" t="s">
        <v>22</v>
      </c>
      <c r="Q72" s="345" t="s">
        <v>20</v>
      </c>
      <c r="R72" s="346" t="s">
        <v>165</v>
      </c>
      <c r="S72" s="347" t="s">
        <v>22</v>
      </c>
      <c r="T72" s="345" t="s">
        <v>20</v>
      </c>
      <c r="U72" s="346" t="s">
        <v>165</v>
      </c>
      <c r="V72" s="347" t="s">
        <v>22</v>
      </c>
      <c r="W72" s="345" t="s">
        <v>20</v>
      </c>
      <c r="X72" s="346" t="s">
        <v>165</v>
      </c>
      <c r="Y72" s="347" t="s">
        <v>22</v>
      </c>
      <c r="Z72" s="345" t="s">
        <v>20</v>
      </c>
      <c r="AA72" s="346" t="s">
        <v>165</v>
      </c>
      <c r="AB72" s="530" t="s">
        <v>22</v>
      </c>
    </row>
    <row r="73" spans="1:28" s="529" customFormat="1" ht="18" customHeight="1">
      <c r="A73" s="586" t="s">
        <v>87</v>
      </c>
      <c r="B73" s="589"/>
      <c r="C73" s="589"/>
      <c r="D73" s="589"/>
      <c r="E73" s="589"/>
      <c r="F73" s="589"/>
      <c r="G73" s="565"/>
      <c r="H73" s="348"/>
      <c r="I73" s="349"/>
      <c r="J73" s="349">
        <v>170433</v>
      </c>
      <c r="K73" s="348"/>
      <c r="L73" s="349"/>
      <c r="M73" s="349">
        <v>546000</v>
      </c>
      <c r="N73" s="348"/>
      <c r="O73" s="349"/>
      <c r="P73" s="349"/>
      <c r="Q73" s="348"/>
      <c r="R73" s="349"/>
      <c r="S73" s="349">
        <f>P73+M73</f>
        <v>546000</v>
      </c>
      <c r="T73" s="348"/>
      <c r="U73" s="349"/>
      <c r="V73" s="349"/>
      <c r="W73" s="348"/>
      <c r="X73" s="349"/>
      <c r="Y73" s="349">
        <v>-27000</v>
      </c>
      <c r="Z73" s="348"/>
      <c r="AA73" s="349"/>
      <c r="AB73" s="323">
        <f aca="true" t="shared" si="0" ref="AB73:AB79">Y73+V73+S73</f>
        <v>519000</v>
      </c>
    </row>
    <row r="74" spans="1:28" s="529" customFormat="1" ht="18" customHeight="1">
      <c r="A74" s="324"/>
      <c r="B74" s="327"/>
      <c r="C74" s="336" t="s">
        <v>90</v>
      </c>
      <c r="D74" s="327"/>
      <c r="E74" s="327"/>
      <c r="F74" s="327"/>
      <c r="G74" s="328"/>
      <c r="H74" s="348"/>
      <c r="I74" s="349"/>
      <c r="J74" s="351" t="s">
        <v>94</v>
      </c>
      <c r="K74" s="348"/>
      <c r="L74" s="349"/>
      <c r="M74" s="351" t="s">
        <v>113</v>
      </c>
      <c r="N74" s="348"/>
      <c r="O74" s="349"/>
      <c r="P74" s="349"/>
      <c r="Q74" s="348"/>
      <c r="R74" s="349"/>
      <c r="S74" s="349">
        <v>0</v>
      </c>
      <c r="T74" s="348"/>
      <c r="U74" s="349"/>
      <c r="V74" s="349"/>
      <c r="W74" s="348"/>
      <c r="X74" s="349"/>
      <c r="Y74" s="349"/>
      <c r="Z74" s="348"/>
      <c r="AA74" s="349"/>
      <c r="AB74" s="323">
        <f t="shared" si="0"/>
        <v>0</v>
      </c>
    </row>
    <row r="75" spans="1:28" s="529" customFormat="1" ht="18" customHeight="1">
      <c r="A75" s="324"/>
      <c r="B75" s="327"/>
      <c r="C75" s="336" t="s">
        <v>91</v>
      </c>
      <c r="D75" s="327"/>
      <c r="E75" s="327"/>
      <c r="F75" s="327"/>
      <c r="G75" s="328"/>
      <c r="H75" s="348"/>
      <c r="I75" s="349"/>
      <c r="J75" s="351" t="s">
        <v>94</v>
      </c>
      <c r="K75" s="348"/>
      <c r="L75" s="349"/>
      <c r="M75" s="351" t="s">
        <v>33</v>
      </c>
      <c r="N75" s="348"/>
      <c r="O75" s="349"/>
      <c r="P75" s="349"/>
      <c r="Q75" s="348"/>
      <c r="R75" s="349"/>
      <c r="S75" s="349">
        <v>0</v>
      </c>
      <c r="T75" s="348"/>
      <c r="U75" s="349"/>
      <c r="V75" s="349"/>
      <c r="W75" s="348"/>
      <c r="X75" s="349"/>
      <c r="Y75" s="349"/>
      <c r="Z75" s="348"/>
      <c r="AA75" s="349"/>
      <c r="AB75" s="323">
        <f t="shared" si="0"/>
        <v>0</v>
      </c>
    </row>
    <row r="76" spans="1:28" s="529" customFormat="1" ht="18" customHeight="1">
      <c r="A76" s="324"/>
      <c r="B76" s="327"/>
      <c r="C76" s="336" t="s">
        <v>43</v>
      </c>
      <c r="D76" s="327"/>
      <c r="E76" s="327"/>
      <c r="F76" s="327"/>
      <c r="G76" s="328"/>
      <c r="H76" s="348"/>
      <c r="I76" s="349"/>
      <c r="J76" s="349"/>
      <c r="K76" s="348"/>
      <c r="L76" s="349"/>
      <c r="M76" s="351" t="s">
        <v>114</v>
      </c>
      <c r="N76" s="348"/>
      <c r="O76" s="349"/>
      <c r="P76" s="349"/>
      <c r="Q76" s="348"/>
      <c r="R76" s="349"/>
      <c r="S76" s="349">
        <v>0</v>
      </c>
      <c r="T76" s="348"/>
      <c r="U76" s="349"/>
      <c r="V76" s="349"/>
      <c r="W76" s="348"/>
      <c r="X76" s="349"/>
      <c r="Y76" s="349"/>
      <c r="Z76" s="348"/>
      <c r="AA76" s="349"/>
      <c r="AB76" s="323">
        <f t="shared" si="0"/>
        <v>0</v>
      </c>
    </row>
    <row r="77" spans="1:28" s="529" customFormat="1" ht="18" customHeight="1">
      <c r="A77" s="324"/>
      <c r="B77" s="327"/>
      <c r="C77" s="336" t="s">
        <v>95</v>
      </c>
      <c r="D77" s="327"/>
      <c r="E77" s="327"/>
      <c r="F77" s="327"/>
      <c r="G77" s="328"/>
      <c r="H77" s="348"/>
      <c r="I77" s="349"/>
      <c r="J77" s="349"/>
      <c r="K77" s="348"/>
      <c r="L77" s="349"/>
      <c r="M77" s="351" t="s">
        <v>115</v>
      </c>
      <c r="N77" s="348"/>
      <c r="O77" s="349"/>
      <c r="P77" s="349"/>
      <c r="Q77" s="348"/>
      <c r="R77" s="349"/>
      <c r="S77" s="349">
        <v>0</v>
      </c>
      <c r="T77" s="348"/>
      <c r="U77" s="349"/>
      <c r="V77" s="349"/>
      <c r="W77" s="348"/>
      <c r="X77" s="349"/>
      <c r="Y77" s="349"/>
      <c r="Z77" s="348"/>
      <c r="AA77" s="349"/>
      <c r="AB77" s="323">
        <f t="shared" si="0"/>
        <v>0</v>
      </c>
    </row>
    <row r="78" spans="1:28" s="529" customFormat="1" ht="18" customHeight="1">
      <c r="A78" s="586" t="s">
        <v>88</v>
      </c>
      <c r="B78" s="589"/>
      <c r="C78" s="589"/>
      <c r="D78" s="589"/>
      <c r="E78" s="589"/>
      <c r="F78" s="589"/>
      <c r="G78" s="565"/>
      <c r="H78" s="348"/>
      <c r="I78" s="349"/>
      <c r="J78" s="349">
        <v>187513</v>
      </c>
      <c r="K78" s="348"/>
      <c r="L78" s="349"/>
      <c r="M78" s="349">
        <v>178500</v>
      </c>
      <c r="N78" s="348"/>
      <c r="O78" s="349"/>
      <c r="P78" s="349"/>
      <c r="Q78" s="348"/>
      <c r="R78" s="349"/>
      <c r="S78" s="349">
        <f>P78+M78</f>
        <v>178500</v>
      </c>
      <c r="T78" s="348"/>
      <c r="U78" s="349"/>
      <c r="V78" s="349"/>
      <c r="W78" s="348"/>
      <c r="X78" s="349"/>
      <c r="Y78" s="349">
        <v>-178500</v>
      </c>
      <c r="Z78" s="348"/>
      <c r="AA78" s="349"/>
      <c r="AB78" s="323">
        <f t="shared" si="0"/>
        <v>0</v>
      </c>
    </row>
    <row r="79" spans="1:28" s="529" customFormat="1" ht="18" customHeight="1">
      <c r="A79" s="352"/>
      <c r="B79" s="353" t="s">
        <v>86</v>
      </c>
      <c r="C79" s="320"/>
      <c r="D79" s="337"/>
      <c r="E79" s="337"/>
      <c r="F79" s="337"/>
      <c r="G79" s="338"/>
      <c r="H79" s="354"/>
      <c r="I79" s="355"/>
      <c r="J79" s="355">
        <v>410000</v>
      </c>
      <c r="K79" s="354"/>
      <c r="L79" s="355"/>
      <c r="M79" s="355">
        <v>400000</v>
      </c>
      <c r="N79" s="354"/>
      <c r="O79" s="355"/>
      <c r="P79" s="355"/>
      <c r="Q79" s="348"/>
      <c r="R79" s="349"/>
      <c r="S79" s="349">
        <f>P79+M79</f>
        <v>400000</v>
      </c>
      <c r="T79" s="354"/>
      <c r="U79" s="355"/>
      <c r="V79" s="355"/>
      <c r="W79" s="354"/>
      <c r="X79" s="355"/>
      <c r="Y79" s="355">
        <v>-400000</v>
      </c>
      <c r="Z79" s="348"/>
      <c r="AA79" s="349"/>
      <c r="AB79" s="323">
        <f t="shared" si="0"/>
        <v>0</v>
      </c>
    </row>
    <row r="80" spans="1:28" s="529" customFormat="1" ht="18" customHeight="1">
      <c r="A80" s="352"/>
      <c r="B80" s="353" t="s">
        <v>92</v>
      </c>
      <c r="C80" s="320"/>
      <c r="D80" s="337"/>
      <c r="E80" s="337"/>
      <c r="F80" s="337"/>
      <c r="G80" s="338"/>
      <c r="H80" s="354"/>
      <c r="I80" s="355"/>
      <c r="J80" s="355">
        <v>30080</v>
      </c>
      <c r="K80" s="354"/>
      <c r="L80" s="355"/>
      <c r="M80" s="355">
        <v>31000</v>
      </c>
      <c r="N80" s="354"/>
      <c r="O80" s="355"/>
      <c r="P80" s="355"/>
      <c r="Q80" s="348"/>
      <c r="R80" s="349"/>
      <c r="S80" s="349">
        <f aca="true" t="shared" si="1" ref="S80:S98">P80+M80</f>
        <v>31000</v>
      </c>
      <c r="T80" s="354"/>
      <c r="U80" s="355"/>
      <c r="V80" s="355"/>
      <c r="W80" s="354"/>
      <c r="X80" s="355"/>
      <c r="Y80" s="355">
        <v>-1000</v>
      </c>
      <c r="Z80" s="348"/>
      <c r="AA80" s="349"/>
      <c r="AB80" s="323">
        <f aca="true" t="shared" si="2" ref="AB80:AB98">Y80+V80+S80</f>
        <v>30000</v>
      </c>
    </row>
    <row r="81" spans="1:28" s="529" customFormat="1" ht="18" customHeight="1">
      <c r="A81" s="352"/>
      <c r="B81" s="320" t="s">
        <v>104</v>
      </c>
      <c r="C81" s="320"/>
      <c r="D81" s="337"/>
      <c r="E81" s="337"/>
      <c r="F81" s="337"/>
      <c r="G81" s="338"/>
      <c r="H81" s="354"/>
      <c r="I81" s="355"/>
      <c r="J81" s="355">
        <v>22440</v>
      </c>
      <c r="K81" s="354"/>
      <c r="L81" s="355"/>
      <c r="M81" s="355">
        <v>25000</v>
      </c>
      <c r="N81" s="354"/>
      <c r="O81" s="355"/>
      <c r="P81" s="355"/>
      <c r="Q81" s="348"/>
      <c r="R81" s="349"/>
      <c r="S81" s="349">
        <f>P81+M81</f>
        <v>25000</v>
      </c>
      <c r="T81" s="354"/>
      <c r="U81" s="355"/>
      <c r="V81" s="355"/>
      <c r="W81" s="354"/>
      <c r="X81" s="355"/>
      <c r="Y81" s="355"/>
      <c r="Z81" s="348"/>
      <c r="AA81" s="349"/>
      <c r="AB81" s="323">
        <f>Y81+V81+S81</f>
        <v>25000</v>
      </c>
    </row>
    <row r="82" spans="1:28" s="529" customFormat="1" ht="18" customHeight="1">
      <c r="A82" s="352"/>
      <c r="B82" s="353"/>
      <c r="C82" s="320" t="s">
        <v>105</v>
      </c>
      <c r="D82" s="337"/>
      <c r="E82" s="337"/>
      <c r="F82" s="337"/>
      <c r="G82" s="338"/>
      <c r="H82" s="354"/>
      <c r="I82" s="355"/>
      <c r="J82" s="357" t="s">
        <v>111</v>
      </c>
      <c r="K82" s="354"/>
      <c r="L82" s="355"/>
      <c r="M82" s="357" t="s">
        <v>116</v>
      </c>
      <c r="N82" s="354"/>
      <c r="O82" s="355"/>
      <c r="P82" s="355"/>
      <c r="Q82" s="348"/>
      <c r="R82" s="349"/>
      <c r="S82" s="349">
        <v>0</v>
      </c>
      <c r="T82" s="354"/>
      <c r="U82" s="355"/>
      <c r="V82" s="355"/>
      <c r="W82" s="354"/>
      <c r="X82" s="355"/>
      <c r="Y82" s="355"/>
      <c r="Z82" s="348"/>
      <c r="AA82" s="349"/>
      <c r="AB82" s="384" t="s">
        <v>116</v>
      </c>
    </row>
    <row r="83" spans="1:28" s="529" customFormat="1" ht="18" customHeight="1">
      <c r="A83" s="352"/>
      <c r="B83" s="353"/>
      <c r="C83" s="320" t="s">
        <v>106</v>
      </c>
      <c r="D83" s="337"/>
      <c r="E83" s="337"/>
      <c r="F83" s="337"/>
      <c r="G83" s="338"/>
      <c r="H83" s="354"/>
      <c r="I83" s="355"/>
      <c r="J83" s="357" t="s">
        <v>111</v>
      </c>
      <c r="K83" s="354"/>
      <c r="L83" s="355"/>
      <c r="M83" s="357" t="s">
        <v>117</v>
      </c>
      <c r="N83" s="354"/>
      <c r="O83" s="355"/>
      <c r="P83" s="355"/>
      <c r="Q83" s="348"/>
      <c r="R83" s="349"/>
      <c r="S83" s="349">
        <v>0</v>
      </c>
      <c r="T83" s="354"/>
      <c r="U83" s="355"/>
      <c r="V83" s="355"/>
      <c r="W83" s="354"/>
      <c r="X83" s="355"/>
      <c r="Y83" s="355"/>
      <c r="Z83" s="348"/>
      <c r="AA83" s="349"/>
      <c r="AB83" s="384" t="s">
        <v>117</v>
      </c>
    </row>
    <row r="84" spans="1:28" s="529" customFormat="1" ht="18" customHeight="1">
      <c r="A84" s="352"/>
      <c r="B84" s="353"/>
      <c r="C84" s="319" t="s">
        <v>107</v>
      </c>
      <c r="D84" s="337"/>
      <c r="E84" s="337"/>
      <c r="F84" s="337"/>
      <c r="G84" s="338"/>
      <c r="H84" s="354"/>
      <c r="I84" s="355"/>
      <c r="J84" s="357" t="s">
        <v>112</v>
      </c>
      <c r="K84" s="354"/>
      <c r="L84" s="355"/>
      <c r="M84" s="357" t="s">
        <v>118</v>
      </c>
      <c r="N84" s="354"/>
      <c r="O84" s="355"/>
      <c r="P84" s="355"/>
      <c r="Q84" s="348"/>
      <c r="R84" s="349"/>
      <c r="S84" s="349">
        <v>0</v>
      </c>
      <c r="T84" s="354"/>
      <c r="U84" s="355"/>
      <c r="V84" s="355"/>
      <c r="W84" s="354"/>
      <c r="X84" s="355"/>
      <c r="Y84" s="355"/>
      <c r="Z84" s="348"/>
      <c r="AA84" s="349"/>
      <c r="AB84" s="383" t="s">
        <v>118</v>
      </c>
    </row>
    <row r="85" spans="1:28" s="529" customFormat="1" ht="18" customHeight="1">
      <c r="A85" s="352"/>
      <c r="B85" s="353" t="s">
        <v>97</v>
      </c>
      <c r="C85" s="320"/>
      <c r="D85" s="337"/>
      <c r="E85" s="337"/>
      <c r="F85" s="337"/>
      <c r="G85" s="338"/>
      <c r="H85" s="354"/>
      <c r="I85" s="355"/>
      <c r="J85" s="355">
        <v>9400</v>
      </c>
      <c r="K85" s="354"/>
      <c r="L85" s="355"/>
      <c r="M85" s="355">
        <v>10000</v>
      </c>
      <c r="N85" s="354"/>
      <c r="O85" s="355"/>
      <c r="P85" s="355"/>
      <c r="Q85" s="348"/>
      <c r="R85" s="349"/>
      <c r="S85" s="349">
        <f t="shared" si="1"/>
        <v>10000</v>
      </c>
      <c r="T85" s="354"/>
      <c r="U85" s="355"/>
      <c r="V85" s="355"/>
      <c r="W85" s="354"/>
      <c r="X85" s="355"/>
      <c r="Y85" s="355"/>
      <c r="Z85" s="348"/>
      <c r="AA85" s="349"/>
      <c r="AB85" s="323">
        <f t="shared" si="2"/>
        <v>10000</v>
      </c>
    </row>
    <row r="86" spans="1:28" s="529" customFormat="1" ht="18" customHeight="1">
      <c r="A86" s="352"/>
      <c r="B86" s="353" t="s">
        <v>98</v>
      </c>
      <c r="C86" s="320"/>
      <c r="D86" s="337"/>
      <c r="E86" s="337"/>
      <c r="F86" s="337"/>
      <c r="G86" s="338"/>
      <c r="H86" s="354"/>
      <c r="I86" s="355"/>
      <c r="J86" s="355">
        <v>9400</v>
      </c>
      <c r="K86" s="354"/>
      <c r="L86" s="355"/>
      <c r="M86" s="355">
        <v>10000</v>
      </c>
      <c r="N86" s="354"/>
      <c r="O86" s="355"/>
      <c r="P86" s="355"/>
      <c r="Q86" s="348"/>
      <c r="R86" s="349"/>
      <c r="S86" s="349">
        <f t="shared" si="1"/>
        <v>10000</v>
      </c>
      <c r="T86" s="354"/>
      <c r="U86" s="355"/>
      <c r="V86" s="355">
        <v>20000</v>
      </c>
      <c r="W86" s="354"/>
      <c r="X86" s="355"/>
      <c r="Y86" s="355"/>
      <c r="Z86" s="348"/>
      <c r="AA86" s="349"/>
      <c r="AB86" s="323">
        <f t="shared" si="2"/>
        <v>30000</v>
      </c>
    </row>
    <row r="87" spans="1:28" s="529" customFormat="1" ht="18" customHeight="1">
      <c r="A87" s="352"/>
      <c r="B87" s="353" t="s">
        <v>99</v>
      </c>
      <c r="C87" s="320"/>
      <c r="D87" s="337"/>
      <c r="E87" s="337"/>
      <c r="F87" s="337"/>
      <c r="G87" s="338"/>
      <c r="H87" s="354"/>
      <c r="I87" s="355"/>
      <c r="J87" s="355">
        <v>7050</v>
      </c>
      <c r="K87" s="354"/>
      <c r="L87" s="355"/>
      <c r="M87" s="355">
        <v>7000</v>
      </c>
      <c r="N87" s="354"/>
      <c r="O87" s="355"/>
      <c r="P87" s="355"/>
      <c r="Q87" s="348"/>
      <c r="R87" s="349"/>
      <c r="S87" s="349">
        <f t="shared" si="1"/>
        <v>7000</v>
      </c>
      <c r="T87" s="354"/>
      <c r="U87" s="355"/>
      <c r="V87" s="355"/>
      <c r="W87" s="354"/>
      <c r="X87" s="355"/>
      <c r="Y87" s="355"/>
      <c r="Z87" s="348"/>
      <c r="AA87" s="349"/>
      <c r="AB87" s="323">
        <f t="shared" si="2"/>
        <v>7000</v>
      </c>
    </row>
    <row r="88" spans="1:28" s="529" customFormat="1" ht="18" customHeight="1">
      <c r="A88" s="352"/>
      <c r="B88" s="353" t="s">
        <v>100</v>
      </c>
      <c r="C88" s="320"/>
      <c r="D88" s="337"/>
      <c r="E88" s="337"/>
      <c r="F88" s="337"/>
      <c r="G88" s="338"/>
      <c r="H88" s="354"/>
      <c r="I88" s="355"/>
      <c r="J88" s="355">
        <v>17860</v>
      </c>
      <c r="K88" s="354"/>
      <c r="L88" s="355"/>
      <c r="M88" s="355">
        <v>12500</v>
      </c>
      <c r="N88" s="354"/>
      <c r="O88" s="355"/>
      <c r="P88" s="355"/>
      <c r="Q88" s="348"/>
      <c r="R88" s="349"/>
      <c r="S88" s="349">
        <f t="shared" si="1"/>
        <v>12500</v>
      </c>
      <c r="T88" s="354"/>
      <c r="U88" s="355"/>
      <c r="V88" s="355"/>
      <c r="W88" s="354"/>
      <c r="X88" s="355"/>
      <c r="Y88" s="355"/>
      <c r="Z88" s="348"/>
      <c r="AA88" s="349"/>
      <c r="AB88" s="323">
        <f t="shared" si="2"/>
        <v>12500</v>
      </c>
    </row>
    <row r="89" spans="1:28" s="529" customFormat="1" ht="18" customHeight="1">
      <c r="A89" s="352"/>
      <c r="B89" s="353"/>
      <c r="C89" s="320" t="s">
        <v>108</v>
      </c>
      <c r="D89" s="337"/>
      <c r="E89" s="337"/>
      <c r="F89" s="337"/>
      <c r="G89" s="338"/>
      <c r="H89" s="354"/>
      <c r="I89" s="355"/>
      <c r="J89" s="357" t="s">
        <v>110</v>
      </c>
      <c r="K89" s="354"/>
      <c r="L89" s="355"/>
      <c r="M89" s="355"/>
      <c r="N89" s="354"/>
      <c r="O89" s="355"/>
      <c r="P89" s="355"/>
      <c r="Q89" s="348"/>
      <c r="R89" s="349"/>
      <c r="S89" s="349">
        <f t="shared" si="1"/>
        <v>0</v>
      </c>
      <c r="T89" s="354"/>
      <c r="U89" s="355"/>
      <c r="V89" s="355"/>
      <c r="W89" s="354"/>
      <c r="X89" s="355"/>
      <c r="Y89" s="355"/>
      <c r="Z89" s="348"/>
      <c r="AA89" s="349"/>
      <c r="AB89" s="323">
        <f t="shared" si="2"/>
        <v>0</v>
      </c>
    </row>
    <row r="90" spans="1:28" s="529" customFormat="1" ht="18" customHeight="1">
      <c r="A90" s="352"/>
      <c r="B90" s="353" t="s">
        <v>101</v>
      </c>
      <c r="C90" s="320"/>
      <c r="D90" s="337"/>
      <c r="E90" s="337"/>
      <c r="F90" s="337"/>
      <c r="G90" s="338"/>
      <c r="H90" s="354"/>
      <c r="I90" s="355"/>
      <c r="J90" s="355">
        <v>940</v>
      </c>
      <c r="K90" s="354"/>
      <c r="L90" s="355"/>
      <c r="M90" s="355">
        <v>2000</v>
      </c>
      <c r="N90" s="354"/>
      <c r="O90" s="355"/>
      <c r="P90" s="355"/>
      <c r="Q90" s="348"/>
      <c r="R90" s="349"/>
      <c r="S90" s="349">
        <f t="shared" si="1"/>
        <v>2000</v>
      </c>
      <c r="T90" s="354"/>
      <c r="U90" s="355"/>
      <c r="V90" s="355"/>
      <c r="W90" s="354"/>
      <c r="X90" s="355"/>
      <c r="Y90" s="355">
        <v>-2000</v>
      </c>
      <c r="Z90" s="348"/>
      <c r="AA90" s="349"/>
      <c r="AB90" s="323">
        <f t="shared" si="2"/>
        <v>0</v>
      </c>
    </row>
    <row r="91" spans="1:28" s="529" customFormat="1" ht="18" customHeight="1">
      <c r="A91" s="352"/>
      <c r="B91" s="353" t="s">
        <v>102</v>
      </c>
      <c r="C91" s="320"/>
      <c r="D91" s="337"/>
      <c r="E91" s="337"/>
      <c r="F91" s="337"/>
      <c r="G91" s="338"/>
      <c r="H91" s="354"/>
      <c r="I91" s="355"/>
      <c r="J91" s="355">
        <v>2500</v>
      </c>
      <c r="K91" s="354"/>
      <c r="L91" s="355"/>
      <c r="M91" s="355">
        <v>5500</v>
      </c>
      <c r="N91" s="354"/>
      <c r="O91" s="355"/>
      <c r="P91" s="355"/>
      <c r="Q91" s="348"/>
      <c r="R91" s="349"/>
      <c r="S91" s="349">
        <f t="shared" si="1"/>
        <v>5500</v>
      </c>
      <c r="T91" s="354"/>
      <c r="U91" s="355"/>
      <c r="V91" s="355"/>
      <c r="W91" s="354"/>
      <c r="X91" s="355"/>
      <c r="Y91" s="355"/>
      <c r="Z91" s="348"/>
      <c r="AA91" s="349"/>
      <c r="AB91" s="323">
        <f t="shared" si="2"/>
        <v>5500</v>
      </c>
    </row>
    <row r="92" spans="1:28" s="529" customFormat="1" ht="18" customHeight="1">
      <c r="A92" s="324"/>
      <c r="B92" s="319" t="s">
        <v>96</v>
      </c>
      <c r="C92" s="319"/>
      <c r="D92" s="327"/>
      <c r="E92" s="327"/>
      <c r="F92" s="327"/>
      <c r="G92" s="328"/>
      <c r="H92" s="348"/>
      <c r="I92" s="349"/>
      <c r="J92" s="349">
        <v>100000</v>
      </c>
      <c r="K92" s="348"/>
      <c r="L92" s="349"/>
      <c r="M92" s="349"/>
      <c r="N92" s="348"/>
      <c r="O92" s="349"/>
      <c r="P92" s="349"/>
      <c r="Q92" s="348"/>
      <c r="R92" s="349"/>
      <c r="S92" s="349">
        <f>P92+M92</f>
        <v>0</v>
      </c>
      <c r="T92" s="348"/>
      <c r="U92" s="349"/>
      <c r="V92" s="349"/>
      <c r="W92" s="348"/>
      <c r="X92" s="349"/>
      <c r="Y92" s="349"/>
      <c r="Z92" s="348"/>
      <c r="AA92" s="349"/>
      <c r="AB92" s="323">
        <f>Y92+V92+S92</f>
        <v>0</v>
      </c>
    </row>
    <row r="93" spans="1:28" s="529" customFormat="1" ht="18" customHeight="1">
      <c r="A93" s="352"/>
      <c r="B93" s="353" t="s">
        <v>93</v>
      </c>
      <c r="C93" s="320"/>
      <c r="D93" s="337"/>
      <c r="E93" s="337"/>
      <c r="F93" s="337"/>
      <c r="G93" s="338"/>
      <c r="H93" s="354"/>
      <c r="I93" s="355"/>
      <c r="J93" s="355">
        <v>2820</v>
      </c>
      <c r="K93" s="354"/>
      <c r="L93" s="355"/>
      <c r="M93" s="355">
        <v>3000</v>
      </c>
      <c r="N93" s="354"/>
      <c r="O93" s="355"/>
      <c r="P93" s="355"/>
      <c r="Q93" s="348"/>
      <c r="R93" s="349"/>
      <c r="S93" s="349">
        <f>P93+M93</f>
        <v>3000</v>
      </c>
      <c r="T93" s="354"/>
      <c r="U93" s="355"/>
      <c r="V93" s="355"/>
      <c r="W93" s="354"/>
      <c r="X93" s="355"/>
      <c r="Y93" s="355">
        <v>-3000</v>
      </c>
      <c r="Z93" s="348"/>
      <c r="AA93" s="349"/>
      <c r="AB93" s="323">
        <f>Y93+V93+S93</f>
        <v>0</v>
      </c>
    </row>
    <row r="94" spans="1:28" s="529" customFormat="1" ht="18" customHeight="1">
      <c r="A94" s="324"/>
      <c r="B94" s="336" t="s">
        <v>89</v>
      </c>
      <c r="C94" s="319"/>
      <c r="D94" s="327"/>
      <c r="E94" s="327"/>
      <c r="F94" s="327"/>
      <c r="G94" s="328"/>
      <c r="H94" s="348"/>
      <c r="I94" s="349"/>
      <c r="J94" s="349">
        <v>16000</v>
      </c>
      <c r="K94" s="348"/>
      <c r="L94" s="349"/>
      <c r="M94" s="349">
        <v>30000</v>
      </c>
      <c r="N94" s="348"/>
      <c r="O94" s="349"/>
      <c r="P94" s="349"/>
      <c r="Q94" s="348"/>
      <c r="R94" s="349"/>
      <c r="S94" s="349">
        <f>P94+M94</f>
        <v>30000</v>
      </c>
      <c r="T94" s="348"/>
      <c r="U94" s="349"/>
      <c r="V94" s="349"/>
      <c r="W94" s="348"/>
      <c r="X94" s="349"/>
      <c r="Y94" s="349"/>
      <c r="Z94" s="348"/>
      <c r="AA94" s="349"/>
      <c r="AB94" s="323">
        <f>Y94+V94+S94</f>
        <v>30000</v>
      </c>
    </row>
    <row r="95" spans="1:28" s="529" customFormat="1" ht="18" customHeight="1">
      <c r="A95" s="352"/>
      <c r="B95" s="353" t="s">
        <v>265</v>
      </c>
      <c r="C95" s="320"/>
      <c r="D95" s="337"/>
      <c r="E95" s="337"/>
      <c r="F95" s="337"/>
      <c r="G95" s="338"/>
      <c r="H95" s="354"/>
      <c r="I95" s="355"/>
      <c r="J95" s="355">
        <v>21700</v>
      </c>
      <c r="K95" s="354"/>
      <c r="L95" s="355"/>
      <c r="M95" s="355">
        <v>50000</v>
      </c>
      <c r="N95" s="354"/>
      <c r="O95" s="355"/>
      <c r="P95" s="355"/>
      <c r="Q95" s="348"/>
      <c r="R95" s="349"/>
      <c r="S95" s="349">
        <f>P95+M95</f>
        <v>50000</v>
      </c>
      <c r="T95" s="354"/>
      <c r="U95" s="355"/>
      <c r="V95" s="355">
        <v>9000</v>
      </c>
      <c r="W95" s="354"/>
      <c r="X95" s="355"/>
      <c r="Y95" s="355"/>
      <c r="Z95" s="348"/>
      <c r="AA95" s="349"/>
      <c r="AB95" s="323">
        <f>Y95+V95+S95</f>
        <v>59000</v>
      </c>
    </row>
    <row r="96" spans="1:28" s="529" customFormat="1" ht="18" customHeight="1">
      <c r="A96" s="352"/>
      <c r="B96" s="337" t="s">
        <v>109</v>
      </c>
      <c r="C96" s="320"/>
      <c r="D96" s="337"/>
      <c r="E96" s="337"/>
      <c r="F96" s="337"/>
      <c r="G96" s="338"/>
      <c r="H96" s="354"/>
      <c r="I96" s="355"/>
      <c r="J96" s="357" t="s">
        <v>136</v>
      </c>
      <c r="K96" s="354"/>
      <c r="L96" s="355"/>
      <c r="M96" s="357" t="s">
        <v>138</v>
      </c>
      <c r="N96" s="354"/>
      <c r="O96" s="355"/>
      <c r="P96" s="355"/>
      <c r="Q96" s="348"/>
      <c r="R96" s="349"/>
      <c r="S96" s="349">
        <v>0</v>
      </c>
      <c r="T96" s="354"/>
      <c r="U96" s="355"/>
      <c r="V96" s="355"/>
      <c r="W96" s="354"/>
      <c r="X96" s="355"/>
      <c r="Y96" s="355"/>
      <c r="Z96" s="348"/>
      <c r="AA96" s="349"/>
      <c r="AB96" s="323">
        <f>Y96+V96+S96</f>
        <v>0</v>
      </c>
    </row>
    <row r="97" spans="1:28" s="529" customFormat="1" ht="18" customHeight="1">
      <c r="A97" s="352"/>
      <c r="B97" s="337" t="s">
        <v>37</v>
      </c>
      <c r="C97" s="320"/>
      <c r="D97" s="337"/>
      <c r="E97" s="337"/>
      <c r="F97" s="337"/>
      <c r="G97" s="338"/>
      <c r="H97" s="354"/>
      <c r="I97" s="355"/>
      <c r="J97" s="357" t="s">
        <v>137</v>
      </c>
      <c r="K97" s="354"/>
      <c r="L97" s="355"/>
      <c r="M97" s="357" t="s">
        <v>139</v>
      </c>
      <c r="N97" s="354"/>
      <c r="O97" s="355"/>
      <c r="P97" s="355"/>
      <c r="Q97" s="348"/>
      <c r="R97" s="349"/>
      <c r="S97" s="349">
        <v>0</v>
      </c>
      <c r="T97" s="354"/>
      <c r="U97" s="355"/>
      <c r="V97" s="355"/>
      <c r="W97" s="354"/>
      <c r="X97" s="355"/>
      <c r="Y97" s="355"/>
      <c r="Z97" s="348"/>
      <c r="AA97" s="349"/>
      <c r="AB97" s="323">
        <f t="shared" si="2"/>
        <v>0</v>
      </c>
    </row>
    <row r="98" spans="1:28" s="529" customFormat="1" ht="18" customHeight="1">
      <c r="A98" s="352"/>
      <c r="B98" s="353" t="s">
        <v>103</v>
      </c>
      <c r="C98" s="320"/>
      <c r="D98" s="337"/>
      <c r="E98" s="337"/>
      <c r="F98" s="337"/>
      <c r="G98" s="338"/>
      <c r="H98" s="354"/>
      <c r="I98" s="355"/>
      <c r="J98" s="355"/>
      <c r="K98" s="354"/>
      <c r="L98" s="355"/>
      <c r="M98" s="355">
        <v>18000</v>
      </c>
      <c r="N98" s="354"/>
      <c r="O98" s="355"/>
      <c r="P98" s="355"/>
      <c r="Q98" s="348"/>
      <c r="R98" s="349"/>
      <c r="S98" s="349">
        <f t="shared" si="1"/>
        <v>18000</v>
      </c>
      <c r="T98" s="354"/>
      <c r="U98" s="355"/>
      <c r="V98" s="355"/>
      <c r="W98" s="354"/>
      <c r="X98" s="355"/>
      <c r="Y98" s="355">
        <v>-18000</v>
      </c>
      <c r="Z98" s="348"/>
      <c r="AA98" s="349"/>
      <c r="AB98" s="323">
        <f t="shared" si="2"/>
        <v>0</v>
      </c>
    </row>
    <row r="99" spans="1:28" s="8" customFormat="1" ht="18" customHeight="1">
      <c r="A99" s="386"/>
      <c r="B99" s="319" t="s">
        <v>24</v>
      </c>
      <c r="C99" s="319"/>
      <c r="D99" s="319"/>
      <c r="E99" s="319"/>
      <c r="F99" s="319"/>
      <c r="G99" s="385"/>
      <c r="H99" s="325"/>
      <c r="I99" s="321"/>
      <c r="J99" s="350"/>
      <c r="K99" s="325"/>
      <c r="L99" s="321"/>
      <c r="M99" s="350">
        <v>50000</v>
      </c>
      <c r="N99" s="325"/>
      <c r="O99" s="321"/>
      <c r="P99" s="350">
        <v>-50000</v>
      </c>
      <c r="Q99" s="387"/>
      <c r="R99" s="388"/>
      <c r="S99" s="389"/>
      <c r="T99" s="387"/>
      <c r="U99" s="388"/>
      <c r="V99" s="389"/>
      <c r="W99" s="387"/>
      <c r="X99" s="388"/>
      <c r="Y99" s="389"/>
      <c r="Z99" s="387"/>
      <c r="AA99" s="388"/>
      <c r="AB99" s="389"/>
    </row>
    <row r="100" spans="1:28" s="529" customFormat="1" ht="18" customHeight="1">
      <c r="A100" s="352"/>
      <c r="B100" s="353" t="s">
        <v>257</v>
      </c>
      <c r="C100" s="320"/>
      <c r="D100" s="337"/>
      <c r="E100" s="337"/>
      <c r="F100" s="337"/>
      <c r="G100" s="338"/>
      <c r="H100" s="354"/>
      <c r="I100" s="355"/>
      <c r="J100" s="357"/>
      <c r="K100" s="354"/>
      <c r="L100" s="355"/>
      <c r="M100" s="357">
        <v>2000000</v>
      </c>
      <c r="N100" s="354"/>
      <c r="O100" s="355"/>
      <c r="P100" s="355">
        <v>-2000000</v>
      </c>
      <c r="Q100" s="354"/>
      <c r="R100" s="355"/>
      <c r="S100" s="355"/>
      <c r="T100" s="354"/>
      <c r="U100" s="355"/>
      <c r="V100" s="355"/>
      <c r="W100" s="354"/>
      <c r="X100" s="355"/>
      <c r="Y100" s="355"/>
      <c r="Z100" s="354"/>
      <c r="AA100" s="355"/>
      <c r="AB100" s="358"/>
    </row>
    <row r="101" spans="1:28" s="529" customFormat="1" ht="18" customHeight="1">
      <c r="A101" s="352"/>
      <c r="B101" s="353" t="s">
        <v>258</v>
      </c>
      <c r="C101" s="320"/>
      <c r="D101" s="337"/>
      <c r="E101" s="337"/>
      <c r="F101" s="337"/>
      <c r="G101" s="338"/>
      <c r="H101" s="354"/>
      <c r="I101" s="355"/>
      <c r="J101" s="357"/>
      <c r="K101" s="354"/>
      <c r="L101" s="355"/>
      <c r="M101" s="357">
        <v>225000</v>
      </c>
      <c r="N101" s="354"/>
      <c r="O101" s="355"/>
      <c r="P101" s="355">
        <v>-225000</v>
      </c>
      <c r="Q101" s="354"/>
      <c r="R101" s="355"/>
      <c r="S101" s="355"/>
      <c r="T101" s="354"/>
      <c r="U101" s="355"/>
      <c r="V101" s="355"/>
      <c r="W101" s="354"/>
      <c r="X101" s="355"/>
      <c r="Y101" s="355"/>
      <c r="Z101" s="354"/>
      <c r="AA101" s="355"/>
      <c r="AB101" s="358"/>
    </row>
    <row r="102" spans="1:28" s="529" customFormat="1" ht="18" customHeight="1">
      <c r="A102" s="352"/>
      <c r="B102" s="353" t="s">
        <v>259</v>
      </c>
      <c r="C102" s="320"/>
      <c r="D102" s="337"/>
      <c r="E102" s="337"/>
      <c r="F102" s="337"/>
      <c r="G102" s="338"/>
      <c r="H102" s="354"/>
      <c r="I102" s="355"/>
      <c r="J102" s="357"/>
      <c r="K102" s="354"/>
      <c r="L102" s="355"/>
      <c r="M102" s="357" t="s">
        <v>264</v>
      </c>
      <c r="N102" s="354"/>
      <c r="O102" s="355"/>
      <c r="P102" s="355"/>
      <c r="Q102" s="354"/>
      <c r="R102" s="355"/>
      <c r="S102" s="355"/>
      <c r="T102" s="354"/>
      <c r="U102" s="355"/>
      <c r="V102" s="355"/>
      <c r="W102" s="354"/>
      <c r="X102" s="355"/>
      <c r="Y102" s="355"/>
      <c r="Z102" s="354"/>
      <c r="AA102" s="355"/>
      <c r="AB102" s="358"/>
    </row>
    <row r="103" spans="1:28" s="529" customFormat="1" ht="18" customHeight="1">
      <c r="A103" s="352"/>
      <c r="B103" s="353"/>
      <c r="C103" s="320" t="s">
        <v>105</v>
      </c>
      <c r="D103" s="337"/>
      <c r="E103" s="337"/>
      <c r="F103" s="337"/>
      <c r="G103" s="338"/>
      <c r="H103" s="354"/>
      <c r="I103" s="355"/>
      <c r="J103" s="357"/>
      <c r="K103" s="354"/>
      <c r="L103" s="355"/>
      <c r="M103" s="357">
        <v>225000</v>
      </c>
      <c r="N103" s="354"/>
      <c r="O103" s="355"/>
      <c r="P103" s="355">
        <v>-225000</v>
      </c>
      <c r="Q103" s="354"/>
      <c r="R103" s="355"/>
      <c r="S103" s="355"/>
      <c r="T103" s="354"/>
      <c r="U103" s="355"/>
      <c r="V103" s="355"/>
      <c r="W103" s="354"/>
      <c r="X103" s="355"/>
      <c r="Y103" s="355"/>
      <c r="Z103" s="354"/>
      <c r="AA103" s="355"/>
      <c r="AB103" s="358"/>
    </row>
    <row r="104" spans="1:28" s="529" customFormat="1" ht="18" customHeight="1">
      <c r="A104" s="352"/>
      <c r="B104" s="353" t="s">
        <v>260</v>
      </c>
      <c r="C104" s="320"/>
      <c r="D104" s="337"/>
      <c r="E104" s="337"/>
      <c r="F104" s="337"/>
      <c r="G104" s="338"/>
      <c r="H104" s="354"/>
      <c r="I104" s="355"/>
      <c r="J104" s="357"/>
      <c r="K104" s="354"/>
      <c r="L104" s="355"/>
      <c r="M104" s="357">
        <v>125000</v>
      </c>
      <c r="N104" s="354"/>
      <c r="O104" s="355"/>
      <c r="P104" s="355">
        <v>-125000</v>
      </c>
      <c r="Q104" s="354"/>
      <c r="R104" s="355"/>
      <c r="S104" s="355"/>
      <c r="T104" s="354"/>
      <c r="U104" s="355"/>
      <c r="V104" s="355"/>
      <c r="W104" s="354"/>
      <c r="X104" s="355"/>
      <c r="Y104" s="355"/>
      <c r="Z104" s="354"/>
      <c r="AA104" s="355"/>
      <c r="AB104" s="358"/>
    </row>
    <row r="105" spans="1:28" s="529" customFormat="1" ht="18" customHeight="1">
      <c r="A105" s="352"/>
      <c r="B105" s="353" t="s">
        <v>261</v>
      </c>
      <c r="C105" s="320"/>
      <c r="D105" s="337"/>
      <c r="E105" s="337"/>
      <c r="F105" s="337"/>
      <c r="G105" s="338"/>
      <c r="H105" s="354"/>
      <c r="I105" s="355"/>
      <c r="J105" s="357"/>
      <c r="K105" s="354"/>
      <c r="L105" s="355"/>
      <c r="M105" s="357">
        <v>40000</v>
      </c>
      <c r="N105" s="354"/>
      <c r="O105" s="355"/>
      <c r="P105" s="355">
        <v>-30000</v>
      </c>
      <c r="Q105" s="354"/>
      <c r="R105" s="355"/>
      <c r="S105" s="355"/>
      <c r="T105" s="354"/>
      <c r="U105" s="355"/>
      <c r="V105" s="355"/>
      <c r="W105" s="354"/>
      <c r="X105" s="355"/>
      <c r="Y105" s="355"/>
      <c r="Z105" s="354"/>
      <c r="AA105" s="355"/>
      <c r="AB105" s="358"/>
    </row>
    <row r="106" spans="1:28" s="529" customFormat="1" ht="18" customHeight="1">
      <c r="A106" s="352"/>
      <c r="B106" s="353"/>
      <c r="C106" s="320" t="s">
        <v>262</v>
      </c>
      <c r="D106" s="337"/>
      <c r="E106" s="337"/>
      <c r="F106" s="337"/>
      <c r="G106" s="338"/>
      <c r="H106" s="354"/>
      <c r="I106" s="355"/>
      <c r="J106" s="357"/>
      <c r="K106" s="354"/>
      <c r="L106" s="355"/>
      <c r="M106" s="357">
        <v>-10000</v>
      </c>
      <c r="N106" s="354"/>
      <c r="O106" s="355"/>
      <c r="P106" s="355"/>
      <c r="Q106" s="354"/>
      <c r="R106" s="355"/>
      <c r="S106" s="355"/>
      <c r="T106" s="354"/>
      <c r="U106" s="355"/>
      <c r="V106" s="355"/>
      <c r="W106" s="354"/>
      <c r="X106" s="355"/>
      <c r="Y106" s="355"/>
      <c r="Z106" s="354"/>
      <c r="AA106" s="355"/>
      <c r="AB106" s="358"/>
    </row>
    <row r="107" spans="1:28" s="529" customFormat="1" ht="18" customHeight="1">
      <c r="A107" s="352"/>
      <c r="B107" s="353" t="s">
        <v>263</v>
      </c>
      <c r="C107" s="320"/>
      <c r="D107" s="337"/>
      <c r="E107" s="337"/>
      <c r="F107" s="337"/>
      <c r="G107" s="338"/>
      <c r="H107" s="354"/>
      <c r="I107" s="355"/>
      <c r="J107" s="357"/>
      <c r="K107" s="354"/>
      <c r="L107" s="355"/>
      <c r="M107" s="357">
        <v>100000</v>
      </c>
      <c r="N107" s="354"/>
      <c r="O107" s="355"/>
      <c r="P107" s="355">
        <v>-100000</v>
      </c>
      <c r="Q107" s="354"/>
      <c r="R107" s="355"/>
      <c r="S107" s="355"/>
      <c r="T107" s="354"/>
      <c r="U107" s="355"/>
      <c r="V107" s="355"/>
      <c r="W107" s="354"/>
      <c r="X107" s="355"/>
      <c r="Y107" s="355"/>
      <c r="Z107" s="354"/>
      <c r="AA107" s="355"/>
      <c r="AB107" s="323"/>
    </row>
    <row r="108" spans="1:28" ht="18" customHeight="1">
      <c r="A108" s="549" t="s">
        <v>166</v>
      </c>
      <c r="B108" s="550"/>
      <c r="C108" s="550"/>
      <c r="D108" s="550"/>
      <c r="E108" s="550"/>
      <c r="F108" s="550"/>
      <c r="G108" s="551"/>
      <c r="H108" s="390">
        <f>SUM(H73:H78)</f>
        <v>0</v>
      </c>
      <c r="I108" s="391">
        <f>SUM(H108)</f>
        <v>0</v>
      </c>
      <c r="J108" s="392">
        <f>SUM(J73:J98)</f>
        <v>1008136</v>
      </c>
      <c r="K108" s="393">
        <f>SUM(K73:K78)</f>
        <v>0</v>
      </c>
      <c r="L108" s="394">
        <f>SUM(L73:L78)</f>
        <v>0</v>
      </c>
      <c r="M108" s="392">
        <f>SUM(M73:M107)</f>
        <v>4083500</v>
      </c>
      <c r="N108" s="393">
        <f>SUM(N73:N78)</f>
        <v>0</v>
      </c>
      <c r="O108" s="394">
        <f>SUM(O73:O78)</f>
        <v>0</v>
      </c>
      <c r="P108" s="392">
        <f>SUM(P73:P107)</f>
        <v>-2755000</v>
      </c>
      <c r="Q108" s="393">
        <f>SUM(Q73:Q78)</f>
        <v>0</v>
      </c>
      <c r="R108" s="394">
        <f>SUM(R73:R78)</f>
        <v>0</v>
      </c>
      <c r="S108" s="392">
        <f>SUM(S73:S107)</f>
        <v>1328500</v>
      </c>
      <c r="T108" s="393">
        <f>SUM(T73:T78)</f>
        <v>0</v>
      </c>
      <c r="U108" s="394">
        <f>SUM(U73:U78)</f>
        <v>0</v>
      </c>
      <c r="V108" s="392">
        <f>SUM(V73:V107)</f>
        <v>29000</v>
      </c>
      <c r="W108" s="393">
        <f>SUM(W73:W78)</f>
        <v>0</v>
      </c>
      <c r="X108" s="394">
        <f>SUM(X73:X78)</f>
        <v>0</v>
      </c>
      <c r="Y108" s="392">
        <f>SUM(Y73:Y107)</f>
        <v>-629500</v>
      </c>
      <c r="Z108" s="393">
        <f>SUM(Z73:Z78)</f>
        <v>0</v>
      </c>
      <c r="AA108" s="394">
        <f>SUM(AA73:AA78)</f>
        <v>0</v>
      </c>
      <c r="AB108" s="395">
        <f>SUM(AB73:AB107)</f>
        <v>728000</v>
      </c>
    </row>
    <row r="109" spans="3:6" ht="18" customHeight="1">
      <c r="C109" s="7"/>
      <c r="D109" s="7"/>
      <c r="E109" s="7"/>
      <c r="F109" s="7"/>
    </row>
    <row r="113" spans="3:28" ht="15.75" customHeight="1">
      <c r="C113" s="52"/>
      <c r="D113" s="52"/>
      <c r="E113" s="52"/>
      <c r="F113" s="52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</row>
    <row r="114" spans="3:28" ht="15.75" customHeight="1">
      <c r="C114" s="101"/>
      <c r="D114" s="101"/>
      <c r="E114" s="101"/>
      <c r="F114" s="101"/>
      <c r="G114" s="101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</row>
    <row r="115" spans="1:28" ht="15.75" customHeight="1">
      <c r="A115" s="555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  <c r="V115" s="555"/>
      <c r="W115" s="555"/>
      <c r="X115" s="555"/>
      <c r="Y115" s="555"/>
      <c r="Z115" s="555"/>
      <c r="AA115" s="341"/>
      <c r="AB115" s="341"/>
    </row>
    <row r="116" spans="1:28" ht="15.75" customHeight="1">
      <c r="A116" s="558"/>
      <c r="B116" s="554"/>
      <c r="C116" s="554"/>
      <c r="D116" s="554"/>
      <c r="E116" s="554"/>
      <c r="F116" s="554"/>
      <c r="G116" s="554"/>
      <c r="H116" s="554"/>
      <c r="I116" s="554"/>
      <c r="J116" s="554"/>
      <c r="K116" s="554"/>
      <c r="L116" s="554"/>
      <c r="M116" s="554"/>
      <c r="N116" s="554"/>
      <c r="O116" s="554"/>
      <c r="P116" s="554"/>
      <c r="Q116" s="554"/>
      <c r="R116" s="554"/>
      <c r="S116" s="554"/>
      <c r="T116" s="554"/>
      <c r="U116" s="554"/>
      <c r="V116" s="554"/>
      <c r="W116" s="554"/>
      <c r="X116" s="554"/>
      <c r="Y116" s="554"/>
      <c r="Z116" s="554"/>
      <c r="AA116" s="342"/>
      <c r="AB116" s="342"/>
    </row>
    <row r="117" spans="1:28" ht="15.75" customHeight="1">
      <c r="A117" s="564"/>
      <c r="B117" s="557"/>
      <c r="C117" s="557"/>
      <c r="D117" s="557"/>
      <c r="E117" s="557"/>
      <c r="F117" s="557"/>
      <c r="G117" s="557"/>
      <c r="H117" s="557"/>
      <c r="I117" s="557"/>
      <c r="J117" s="557"/>
      <c r="K117" s="557"/>
      <c r="L117" s="557"/>
      <c r="M117" s="557"/>
      <c r="N117" s="557"/>
      <c r="O117" s="557"/>
      <c r="P117" s="557"/>
      <c r="Q117" s="557"/>
      <c r="R117" s="557"/>
      <c r="S117" s="557"/>
      <c r="T117" s="557"/>
      <c r="U117" s="557"/>
      <c r="V117" s="557"/>
      <c r="W117" s="557"/>
      <c r="X117" s="557"/>
      <c r="Y117" s="557"/>
      <c r="Z117" s="557"/>
      <c r="AA117" s="342"/>
      <c r="AB117" s="342"/>
    </row>
    <row r="118" spans="1:28" ht="15.75" customHeight="1">
      <c r="A118" s="557"/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7"/>
      <c r="M118" s="557"/>
      <c r="N118" s="557"/>
      <c r="O118" s="557"/>
      <c r="P118" s="557"/>
      <c r="Q118" s="557"/>
      <c r="R118" s="557"/>
      <c r="S118" s="557"/>
      <c r="T118" s="557"/>
      <c r="U118" s="557"/>
      <c r="V118" s="557"/>
      <c r="W118" s="557"/>
      <c r="X118" s="557"/>
      <c r="Y118" s="557"/>
      <c r="Z118" s="557"/>
      <c r="AA118" s="342"/>
      <c r="AB118" s="342"/>
    </row>
    <row r="119" spans="1:28" ht="15.75" customHeight="1">
      <c r="A119" s="556"/>
      <c r="B119" s="548"/>
      <c r="C119" s="548"/>
      <c r="D119" s="548"/>
      <c r="E119" s="548"/>
      <c r="F119" s="548"/>
      <c r="G119" s="548"/>
      <c r="H119" s="548"/>
      <c r="I119" s="548"/>
      <c r="J119" s="548"/>
      <c r="K119" s="548"/>
      <c r="L119" s="548"/>
      <c r="M119" s="548"/>
      <c r="N119" s="548"/>
      <c r="O119" s="548"/>
      <c r="P119" s="548"/>
      <c r="Q119" s="548"/>
      <c r="R119" s="548"/>
      <c r="S119" s="548"/>
      <c r="T119" s="548"/>
      <c r="U119" s="548"/>
      <c r="V119" s="548"/>
      <c r="W119" s="548"/>
      <c r="X119" s="548"/>
      <c r="Y119" s="548"/>
      <c r="Z119" s="548"/>
      <c r="AA119" s="342"/>
      <c r="AB119" s="342"/>
    </row>
    <row r="120" spans="1:28" ht="15.75" customHeight="1">
      <c r="A120" s="36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4"/>
      <c r="AB120" s="344"/>
    </row>
    <row r="121" spans="1:28" ht="15.75" customHeight="1">
      <c r="A121" s="556"/>
      <c r="B121" s="548"/>
      <c r="C121" s="548"/>
      <c r="D121" s="548"/>
      <c r="E121" s="548"/>
      <c r="F121" s="548"/>
      <c r="G121" s="548"/>
      <c r="H121" s="548"/>
      <c r="I121" s="548"/>
      <c r="J121" s="548"/>
      <c r="K121" s="548"/>
      <c r="L121" s="548"/>
      <c r="M121" s="548"/>
      <c r="N121" s="548"/>
      <c r="O121" s="548"/>
      <c r="P121" s="548"/>
      <c r="Q121" s="548"/>
      <c r="R121" s="548"/>
      <c r="S121" s="548"/>
      <c r="T121" s="548"/>
      <c r="U121" s="548"/>
      <c r="V121" s="548"/>
      <c r="W121" s="548"/>
      <c r="X121" s="548"/>
      <c r="Y121" s="548"/>
      <c r="Z121" s="548"/>
      <c r="AA121" s="342"/>
      <c r="AB121" s="342"/>
    </row>
    <row r="122" spans="1:28" ht="15.75" customHeight="1">
      <c r="A122" s="562"/>
      <c r="B122" s="563"/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563"/>
      <c r="AA122" s="344"/>
      <c r="AB122" s="344"/>
    </row>
    <row r="123" spans="27:28" ht="15.75" customHeight="1">
      <c r="AA123" s="102"/>
      <c r="AB123" s="178"/>
    </row>
    <row r="124" spans="27:28" ht="15.75" customHeight="1">
      <c r="AA124" s="102"/>
      <c r="AB124" s="102"/>
    </row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54">
    <mergeCell ref="A78:G78"/>
    <mergeCell ref="Z70:AB71"/>
    <mergeCell ref="A37:Y37"/>
    <mergeCell ref="H70:J71"/>
    <mergeCell ref="K70:M71"/>
    <mergeCell ref="N70:P71"/>
    <mergeCell ref="A61:AB61"/>
    <mergeCell ref="A70:G72"/>
    <mergeCell ref="A65:AB65"/>
    <mergeCell ref="A66:AB66"/>
    <mergeCell ref="A108:G108"/>
    <mergeCell ref="A35:Y35"/>
    <mergeCell ref="A44:Y44"/>
    <mergeCell ref="A57:Y57"/>
    <mergeCell ref="A58:Y58"/>
    <mergeCell ref="A54:Y54"/>
    <mergeCell ref="A36:Y36"/>
    <mergeCell ref="A39:Y39"/>
    <mergeCell ref="A63:AB63"/>
    <mergeCell ref="A64:AB64"/>
    <mergeCell ref="A122:Z122"/>
    <mergeCell ref="A117:Z118"/>
    <mergeCell ref="A116:Z116"/>
    <mergeCell ref="A115:Z115"/>
    <mergeCell ref="A121:Z121"/>
    <mergeCell ref="A119:Z119"/>
    <mergeCell ref="A73:G73"/>
    <mergeCell ref="Q70:S71"/>
    <mergeCell ref="T70:V71"/>
    <mergeCell ref="W70:Y71"/>
    <mergeCell ref="A31:Y31"/>
    <mergeCell ref="AB12:AB13"/>
    <mergeCell ref="AA12:AA13"/>
    <mergeCell ref="Z12:Z13"/>
    <mergeCell ref="A19:Y19"/>
    <mergeCell ref="A24:Y24"/>
    <mergeCell ref="A27:Y27"/>
    <mergeCell ref="A28:Y28"/>
    <mergeCell ref="A30:Y30"/>
    <mergeCell ref="A18:Y18"/>
    <mergeCell ref="A1:AB1"/>
    <mergeCell ref="A14:Y14"/>
    <mergeCell ref="A20:Y20"/>
    <mergeCell ref="A29:Y29"/>
    <mergeCell ref="A4:AB4"/>
    <mergeCell ref="A5:AB5"/>
    <mergeCell ref="A6:AB6"/>
    <mergeCell ref="A7:AB7"/>
    <mergeCell ref="Z11:AB11"/>
    <mergeCell ref="A34:Y34"/>
    <mergeCell ref="A33:Y33"/>
    <mergeCell ref="A52:Y52"/>
    <mergeCell ref="A43:Y43"/>
    <mergeCell ref="A40:Y40"/>
  </mergeCells>
  <printOptions horizontalCentered="1"/>
  <pageMargins left="0.75" right="0.75" top="1" bottom="1" header="0.5" footer="0.5"/>
  <pageSetup horizontalDpi="600" verticalDpi="600" orientation="landscape" scale="39" r:id="rId1"/>
  <headerFooter alignWithMargins="0">
    <oddFooter>&amp;RState and Local Law Enforcement Assistance</oddFooter>
  </headerFooter>
  <rowBreaks count="1" manualBreakCount="1">
    <brk id="6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37"/>
  <sheetViews>
    <sheetView view="pageBreakPreview" zoomScale="75" zoomScaleNormal="75" zoomScaleSheetLayoutView="75" zoomScalePageLayoutView="0" workbookViewId="0" topLeftCell="A1">
      <selection activeCell="A46" sqref="A46"/>
    </sheetView>
  </sheetViews>
  <sheetFormatPr defaultColWidth="7.21484375" defaultRowHeight="15"/>
  <cols>
    <col min="1" max="1" width="36.99609375" style="32" customWidth="1"/>
    <col min="2" max="2" width="24.21484375" style="32" customWidth="1"/>
    <col min="3" max="3" width="5.77734375" style="32" customWidth="1"/>
    <col min="4" max="4" width="8.3359375" style="32" customWidth="1"/>
    <col min="5" max="5" width="4.6640625" style="32" customWidth="1"/>
    <col min="6" max="6" width="10.5546875" style="32" customWidth="1"/>
    <col min="7" max="7" width="11.21484375" style="32" customWidth="1"/>
    <col min="8" max="16384" width="7.21484375" style="32" customWidth="1"/>
  </cols>
  <sheetData>
    <row r="1" spans="1:7" ht="20.25">
      <c r="A1" s="590" t="s">
        <v>133</v>
      </c>
      <c r="B1" s="621"/>
      <c r="C1" s="621"/>
      <c r="D1" s="621"/>
      <c r="E1" s="621"/>
      <c r="F1" s="621"/>
      <c r="G1" s="621"/>
    </row>
    <row r="2" ht="20.25">
      <c r="A2" s="26"/>
    </row>
    <row r="4" spans="1:7" s="367" customFormat="1" ht="18.75">
      <c r="A4" s="622" t="s">
        <v>60</v>
      </c>
      <c r="B4" s="623"/>
      <c r="C4" s="623"/>
      <c r="D4" s="623"/>
      <c r="E4" s="623"/>
      <c r="F4" s="623"/>
      <c r="G4" s="623"/>
    </row>
    <row r="5" spans="1:7" s="367" customFormat="1" ht="18">
      <c r="A5" s="624" t="str">
        <f>'B. Summary of Requirements '!A64</f>
        <v>Office of Justice Programs</v>
      </c>
      <c r="B5" s="625"/>
      <c r="C5" s="625"/>
      <c r="D5" s="625"/>
      <c r="E5" s="625"/>
      <c r="F5" s="625"/>
      <c r="G5" s="625"/>
    </row>
    <row r="6" spans="1:7" s="367" customFormat="1" ht="18">
      <c r="A6" s="624" t="s">
        <v>38</v>
      </c>
      <c r="B6" s="625"/>
      <c r="C6" s="625"/>
      <c r="D6" s="625"/>
      <c r="E6" s="625"/>
      <c r="F6" s="625"/>
      <c r="G6" s="625"/>
    </row>
    <row r="7" spans="1:7" s="367" customFormat="1" ht="18">
      <c r="A7" s="626" t="s">
        <v>6</v>
      </c>
      <c r="B7" s="627"/>
      <c r="C7" s="627"/>
      <c r="D7" s="627"/>
      <c r="E7" s="627"/>
      <c r="F7" s="627"/>
      <c r="G7" s="627"/>
    </row>
    <row r="8" spans="1:7" ht="12.75">
      <c r="A8" s="109"/>
      <c r="B8" s="36"/>
      <c r="C8" s="36"/>
      <c r="D8" s="36"/>
      <c r="E8" s="36"/>
      <c r="F8" s="36"/>
      <c r="G8" s="36"/>
    </row>
    <row r="10" spans="1:7" ht="15">
      <c r="A10" s="630" t="s">
        <v>238</v>
      </c>
      <c r="B10" s="632" t="s">
        <v>125</v>
      </c>
      <c r="C10" s="639" t="s">
        <v>40</v>
      </c>
      <c r="D10" s="640"/>
      <c r="E10" s="640"/>
      <c r="F10" s="641"/>
      <c r="G10" s="632" t="s">
        <v>129</v>
      </c>
    </row>
    <row r="11" spans="1:7" ht="12.75">
      <c r="A11" s="631"/>
      <c r="B11" s="633"/>
      <c r="C11" s="370" t="s">
        <v>20</v>
      </c>
      <c r="D11" s="370" t="s">
        <v>76</v>
      </c>
      <c r="E11" s="370" t="s">
        <v>165</v>
      </c>
      <c r="F11" s="371" t="s">
        <v>22</v>
      </c>
      <c r="G11" s="633"/>
    </row>
    <row r="12" spans="1:7" ht="18.75" customHeight="1">
      <c r="A12" s="449" t="s">
        <v>98</v>
      </c>
      <c r="B12" s="373" t="s">
        <v>40</v>
      </c>
      <c r="C12" s="525"/>
      <c r="D12" s="411"/>
      <c r="E12" s="411"/>
      <c r="F12" s="412">
        <v>20000</v>
      </c>
      <c r="G12" s="531">
        <f>+F12</f>
        <v>20000</v>
      </c>
    </row>
    <row r="13" spans="1:7" ht="18.75" customHeight="1">
      <c r="A13" s="450" t="s">
        <v>265</v>
      </c>
      <c r="B13" s="78" t="s">
        <v>40</v>
      </c>
      <c r="C13" s="526"/>
      <c r="D13" s="413"/>
      <c r="E13" s="413"/>
      <c r="F13" s="414">
        <v>9000</v>
      </c>
      <c r="G13" s="536">
        <f>+F13</f>
        <v>9000</v>
      </c>
    </row>
    <row r="14" spans="1:7" ht="18.75" customHeight="1">
      <c r="A14" s="381" t="s">
        <v>13</v>
      </c>
      <c r="B14" s="382"/>
      <c r="C14" s="296">
        <f>SUM(C12:C13)</f>
        <v>0</v>
      </c>
      <c r="D14" s="297">
        <f>SUM(D12:D13)</f>
        <v>0</v>
      </c>
      <c r="E14" s="297">
        <f>SUM(E12:E13)</f>
        <v>0</v>
      </c>
      <c r="F14" s="375">
        <f>SUM(F12:F13)</f>
        <v>29000</v>
      </c>
      <c r="G14" s="541">
        <f>+F14</f>
        <v>29000</v>
      </c>
    </row>
    <row r="15" spans="1:7" ht="18.75" customHeight="1">
      <c r="A15" s="42"/>
      <c r="B15" s="40"/>
      <c r="C15" s="42"/>
      <c r="D15" s="41"/>
      <c r="E15" s="41"/>
      <c r="F15" s="43"/>
      <c r="G15" s="43"/>
    </row>
    <row r="16" spans="1:7" ht="18.75" customHeight="1">
      <c r="A16" s="628" t="s">
        <v>78</v>
      </c>
      <c r="B16" s="632" t="s">
        <v>125</v>
      </c>
      <c r="C16" s="639" t="s">
        <v>40</v>
      </c>
      <c r="D16" s="640"/>
      <c r="E16" s="640"/>
      <c r="F16" s="641"/>
      <c r="G16" s="632" t="s">
        <v>7</v>
      </c>
    </row>
    <row r="17" spans="1:7" ht="18.75" customHeight="1">
      <c r="A17" s="629"/>
      <c r="B17" s="634"/>
      <c r="C17" s="38" t="s">
        <v>20</v>
      </c>
      <c r="D17" s="38" t="s">
        <v>76</v>
      </c>
      <c r="E17" s="38" t="s">
        <v>165</v>
      </c>
      <c r="F17" s="39" t="s">
        <v>22</v>
      </c>
      <c r="G17" s="634"/>
    </row>
    <row r="18" spans="1:7" ht="18.75" customHeight="1">
      <c r="A18" s="119" t="s">
        <v>41</v>
      </c>
      <c r="B18" s="366" t="s">
        <v>40</v>
      </c>
      <c r="C18" s="372"/>
      <c r="D18" s="372"/>
      <c r="E18" s="372"/>
      <c r="F18" s="535">
        <v>-27000</v>
      </c>
      <c r="G18" s="537">
        <f>+F18</f>
        <v>-27000</v>
      </c>
    </row>
    <row r="19" spans="1:7" ht="18.75" customHeight="1">
      <c r="A19" s="119" t="s">
        <v>88</v>
      </c>
      <c r="B19" s="532" t="s">
        <v>40</v>
      </c>
      <c r="C19" s="533"/>
      <c r="D19" s="372"/>
      <c r="E19" s="372"/>
      <c r="F19" s="535">
        <v>-178500</v>
      </c>
      <c r="G19" s="538">
        <f aca="true" t="shared" si="0" ref="G19:G24">+F19</f>
        <v>-178500</v>
      </c>
    </row>
    <row r="20" spans="1:7" ht="18.75" customHeight="1">
      <c r="A20" s="120" t="s">
        <v>42</v>
      </c>
      <c r="B20" s="532" t="s">
        <v>40</v>
      </c>
      <c r="C20" s="534"/>
      <c r="D20" s="372"/>
      <c r="E20" s="372"/>
      <c r="F20" s="535">
        <v>-400000</v>
      </c>
      <c r="G20" s="538">
        <f t="shared" si="0"/>
        <v>-400000</v>
      </c>
    </row>
    <row r="21" spans="1:7" ht="18.75" customHeight="1">
      <c r="A21" s="451" t="s">
        <v>92</v>
      </c>
      <c r="B21" s="532" t="s">
        <v>40</v>
      </c>
      <c r="C21" s="534"/>
      <c r="D21" s="372"/>
      <c r="E21" s="372"/>
      <c r="F21" s="535">
        <v>-1000</v>
      </c>
      <c r="G21" s="538">
        <f t="shared" si="0"/>
        <v>-1000</v>
      </c>
    </row>
    <row r="22" spans="1:7" ht="18.75" customHeight="1">
      <c r="A22" s="451" t="s">
        <v>101</v>
      </c>
      <c r="B22" s="532" t="s">
        <v>40</v>
      </c>
      <c r="C22" s="534"/>
      <c r="D22" s="372"/>
      <c r="E22" s="372"/>
      <c r="F22" s="535">
        <v>-2000</v>
      </c>
      <c r="G22" s="539">
        <f t="shared" si="0"/>
        <v>-2000</v>
      </c>
    </row>
    <row r="23" spans="1:7" ht="18.75" customHeight="1">
      <c r="A23" s="451" t="s">
        <v>93</v>
      </c>
      <c r="B23" s="532" t="s">
        <v>40</v>
      </c>
      <c r="C23" s="534"/>
      <c r="D23" s="372"/>
      <c r="E23" s="372"/>
      <c r="F23" s="535">
        <v>-3000</v>
      </c>
      <c r="G23" s="539">
        <f t="shared" si="0"/>
        <v>-3000</v>
      </c>
    </row>
    <row r="24" spans="1:7" ht="18.75" customHeight="1">
      <c r="A24" s="452" t="s">
        <v>103</v>
      </c>
      <c r="B24" s="366" t="s">
        <v>40</v>
      </c>
      <c r="C24" s="527"/>
      <c r="D24" s="372"/>
      <c r="E24" s="372"/>
      <c r="F24" s="374">
        <v>-18000</v>
      </c>
      <c r="G24" s="540">
        <f t="shared" si="0"/>
        <v>-18000</v>
      </c>
    </row>
    <row r="25" spans="1:7" ht="18.75" customHeight="1">
      <c r="A25" s="294" t="s">
        <v>7</v>
      </c>
      <c r="B25" s="295"/>
      <c r="C25" s="296">
        <f>SUM(C18:C24)</f>
        <v>0</v>
      </c>
      <c r="D25" s="297">
        <f>SUM(D18:D24)</f>
        <v>0</v>
      </c>
      <c r="E25" s="297">
        <f>SUM(E18:E24)</f>
        <v>0</v>
      </c>
      <c r="F25" s="375">
        <f>SUM(F18:F24)</f>
        <v>-629500</v>
      </c>
      <c r="G25" s="531">
        <f>+F25</f>
        <v>-629500</v>
      </c>
    </row>
    <row r="26" spans="1:7" ht="12.75" customHeight="1">
      <c r="A26" s="110"/>
      <c r="B26" s="97"/>
      <c r="C26" s="97"/>
      <c r="D26" s="97"/>
      <c r="E26" s="97"/>
      <c r="F26" s="97"/>
      <c r="G26" s="97"/>
    </row>
    <row r="27" ht="12.75" customHeight="1"/>
    <row r="28" spans="1:7" ht="12.75" customHeight="1">
      <c r="A28" s="59"/>
      <c r="B28" s="56"/>
      <c r="C28" s="252"/>
      <c r="D28" s="252"/>
      <c r="E28" s="252"/>
      <c r="F28" s="252"/>
      <c r="G28" s="252"/>
    </row>
    <row r="29" spans="1:7" ht="12.75" customHeight="1">
      <c r="A29" s="59"/>
      <c r="B29" s="111"/>
      <c r="C29" s="253"/>
      <c r="D29" s="253"/>
      <c r="E29" s="253"/>
      <c r="F29" s="252"/>
      <c r="G29" s="253"/>
    </row>
    <row r="30" spans="1:7" ht="12.75" customHeight="1">
      <c r="A30" s="59"/>
      <c r="B30" s="111"/>
      <c r="C30" s="117"/>
      <c r="D30" s="117"/>
      <c r="E30" s="117"/>
      <c r="F30" s="118"/>
      <c r="G30" s="112"/>
    </row>
    <row r="31" spans="1:6" ht="12.75" customHeight="1">
      <c r="A31" s="136"/>
      <c r="B31" s="137"/>
      <c r="C31" s="137"/>
      <c r="D31" s="137"/>
      <c r="E31" s="137"/>
      <c r="F31" s="137"/>
    </row>
    <row r="32" spans="1:6" ht="12.75" customHeight="1">
      <c r="A32" s="637"/>
      <c r="B32" s="638"/>
      <c r="C32" s="638"/>
      <c r="D32" s="638"/>
      <c r="E32" s="638"/>
      <c r="F32" s="638"/>
    </row>
    <row r="33" spans="1:6" ht="12.75" customHeight="1">
      <c r="A33" s="138"/>
      <c r="B33" s="138"/>
      <c r="C33" s="138"/>
      <c r="D33" s="138"/>
      <c r="E33" s="138"/>
      <c r="F33" s="138"/>
    </row>
    <row r="34" spans="1:6" ht="12.75" customHeight="1">
      <c r="A34" s="635"/>
      <c r="B34" s="636"/>
      <c r="C34" s="636"/>
      <c r="D34" s="636"/>
      <c r="E34" s="636"/>
      <c r="F34" s="636"/>
    </row>
    <row r="35" spans="1:6" ht="12.75" customHeight="1">
      <c r="A35" s="620"/>
      <c r="B35" s="620"/>
      <c r="C35" s="620"/>
      <c r="D35" s="620"/>
      <c r="E35" s="620"/>
      <c r="F35" s="620"/>
    </row>
    <row r="36" spans="1:7" ht="12.75" customHeight="1">
      <c r="A36" s="151"/>
      <c r="B36" s="152"/>
      <c r="C36" s="152"/>
      <c r="D36" s="152"/>
      <c r="E36" s="152"/>
      <c r="F36" s="152"/>
      <c r="G36" s="182"/>
    </row>
    <row r="37" spans="1:6" ht="12.75" customHeight="1">
      <c r="A37" s="152"/>
      <c r="B37" s="152"/>
      <c r="C37" s="152"/>
      <c r="D37" s="152"/>
      <c r="E37" s="152"/>
      <c r="F37" s="152"/>
    </row>
    <row r="38" ht="12.75" customHeight="1"/>
    <row r="39" ht="12.75" customHeight="1"/>
    <row r="40" ht="12.75" customHeight="1"/>
    <row r="41" ht="12.75" customHeight="1"/>
  </sheetData>
  <sheetProtection/>
  <mergeCells count="16">
    <mergeCell ref="B10:B11"/>
    <mergeCell ref="B16:B17"/>
    <mergeCell ref="A34:F34"/>
    <mergeCell ref="A32:F32"/>
    <mergeCell ref="C16:F16"/>
    <mergeCell ref="C10:F10"/>
    <mergeCell ref="A35:F35"/>
    <mergeCell ref="A1:G1"/>
    <mergeCell ref="A4:G4"/>
    <mergeCell ref="A5:G5"/>
    <mergeCell ref="A7:G7"/>
    <mergeCell ref="A6:G6"/>
    <mergeCell ref="A16:A17"/>
    <mergeCell ref="A10:A11"/>
    <mergeCell ref="G10:G11"/>
    <mergeCell ref="G16:G17"/>
  </mergeCells>
  <printOptions horizontalCentered="1"/>
  <pageMargins left="0.75" right="0.75" top="1" bottom="1" header="0.5" footer="0.5"/>
  <pageSetup fitToHeight="1" fitToWidth="1" horizontalDpi="600" verticalDpi="600" orientation="landscape" scale="87" r:id="rId1"/>
  <headerFooter alignWithMargins="0">
    <oddFooter>&amp;RState and Local Law Enforcement Assistance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56"/>
  <sheetViews>
    <sheetView view="pageBreakPreview" zoomScale="70" zoomScaleNormal="75" zoomScaleSheetLayoutView="70" zoomScalePageLayoutView="0" workbookViewId="0" topLeftCell="A16">
      <selection activeCell="A44" sqref="A44"/>
    </sheetView>
  </sheetViews>
  <sheetFormatPr defaultColWidth="7.21484375" defaultRowHeight="15"/>
  <cols>
    <col min="1" max="1" width="49.5546875" style="33" customWidth="1"/>
    <col min="2" max="2" width="1.2265625" style="33" customWidth="1"/>
    <col min="3" max="3" width="10.77734375" style="33" customWidth="1"/>
    <col min="4" max="4" width="10.99609375" style="33" customWidth="1"/>
    <col min="5" max="5" width="1.2265625" style="33" customWidth="1"/>
    <col min="6" max="7" width="11.21484375" style="33" customWidth="1"/>
    <col min="8" max="8" width="1.2265625" style="33" customWidth="1"/>
    <col min="9" max="9" width="7.21484375" style="33" customWidth="1"/>
    <col min="10" max="10" width="10.6640625" style="33" customWidth="1"/>
    <col min="11" max="11" width="6.77734375" style="33" customWidth="1"/>
    <col min="12" max="12" width="9.3359375" style="33" customWidth="1"/>
    <col min="13" max="13" width="6.77734375" style="33" customWidth="1"/>
    <col min="14" max="14" width="9.5546875" style="33" customWidth="1"/>
    <col min="15" max="15" width="6.3359375" style="33" customWidth="1"/>
    <col min="16" max="16" width="9.4453125" style="33" customWidth="1"/>
    <col min="17" max="17" width="1.88671875" style="33" customWidth="1"/>
    <col min="18" max="16384" width="7.21484375" style="33" customWidth="1"/>
  </cols>
  <sheetData>
    <row r="1" spans="1:19" ht="20.25">
      <c r="A1" s="665" t="s">
        <v>132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179"/>
      <c r="R1" s="181"/>
      <c r="S1" s="181"/>
    </row>
    <row r="2" spans="1:20" ht="18.75" customHeight="1">
      <c r="A2" s="37"/>
      <c r="Q2" s="179"/>
      <c r="T2" s="179"/>
    </row>
    <row r="3" spans="1:20" ht="18.75">
      <c r="A3" s="667" t="s">
        <v>77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179"/>
      <c r="R3" s="114"/>
      <c r="S3" s="114"/>
      <c r="T3" s="179"/>
    </row>
    <row r="4" spans="1:19" ht="16.5">
      <c r="A4" s="669" t="str">
        <f>+'B. Summary of Requirements '!A64</f>
        <v>Office of Justice Programs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179"/>
      <c r="R4" s="113"/>
      <c r="S4" s="113"/>
    </row>
    <row r="5" spans="1:19" ht="16.5">
      <c r="A5" s="669" t="s">
        <v>38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179"/>
      <c r="R5" s="113"/>
      <c r="S5" s="113"/>
    </row>
    <row r="6" spans="1:20" ht="15">
      <c r="A6" s="670" t="s">
        <v>6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179"/>
      <c r="R6" s="114"/>
      <c r="S6" s="114"/>
      <c r="T6" s="179"/>
    </row>
    <row r="7" spans="17:20" ht="12.75">
      <c r="Q7" s="179"/>
      <c r="T7" s="179"/>
    </row>
    <row r="8" spans="17:20" ht="13.5" thickBot="1">
      <c r="Q8" s="179"/>
      <c r="T8" s="179"/>
    </row>
    <row r="9" spans="1:20" ht="37.5" customHeight="1">
      <c r="A9" s="123"/>
      <c r="B9" s="44"/>
      <c r="C9" s="656" t="str">
        <f>+'B. Summary of Requirements '!H70</f>
        <v>2008 Appropriation Enacted w/Rescissions and Supplementals</v>
      </c>
      <c r="D9" s="653"/>
      <c r="E9" s="180"/>
      <c r="F9" s="656" t="str">
        <f>+'B. Summary of Requirements '!K70</f>
        <v>2009 Enacted</v>
      </c>
      <c r="G9" s="653"/>
      <c r="H9" s="180"/>
      <c r="I9" s="652" t="str">
        <f>+'B. Summary of Requirements '!Q70</f>
        <v>2010 Current Services</v>
      </c>
      <c r="J9" s="653"/>
      <c r="K9" s="659">
        <v>2010</v>
      </c>
      <c r="L9" s="660"/>
      <c r="M9" s="660"/>
      <c r="N9" s="661"/>
      <c r="O9" s="652" t="str">
        <f>+'B. Summary of Requirements '!Z70</f>
        <v>2010 Request</v>
      </c>
      <c r="P9" s="653"/>
      <c r="Q9" s="179"/>
      <c r="R9" s="157"/>
      <c r="S9" s="158"/>
      <c r="T9" s="179"/>
    </row>
    <row r="10" spans="1:20" ht="14.25" customHeight="1">
      <c r="A10" s="44"/>
      <c r="B10" s="44"/>
      <c r="C10" s="657"/>
      <c r="D10" s="658"/>
      <c r="E10" s="180"/>
      <c r="F10" s="654"/>
      <c r="G10" s="655"/>
      <c r="H10" s="180"/>
      <c r="I10" s="654"/>
      <c r="J10" s="655"/>
      <c r="K10" s="663" t="s">
        <v>23</v>
      </c>
      <c r="L10" s="664"/>
      <c r="M10" s="662" t="s">
        <v>26</v>
      </c>
      <c r="N10" s="641"/>
      <c r="O10" s="654"/>
      <c r="P10" s="655"/>
      <c r="Q10" s="179"/>
      <c r="R10" s="158"/>
      <c r="S10" s="158"/>
      <c r="T10" s="179"/>
    </row>
    <row r="11" spans="1:20" ht="51">
      <c r="A11" s="528"/>
      <c r="B11" s="44"/>
      <c r="C11" s="165" t="s">
        <v>119</v>
      </c>
      <c r="D11" s="166" t="s">
        <v>120</v>
      </c>
      <c r="E11" s="108"/>
      <c r="F11" s="165" t="s">
        <v>119</v>
      </c>
      <c r="G11" s="166" t="s">
        <v>120</v>
      </c>
      <c r="H11" s="108"/>
      <c r="I11" s="165" t="s">
        <v>119</v>
      </c>
      <c r="J11" s="166" t="s">
        <v>120</v>
      </c>
      <c r="K11" s="165" t="s">
        <v>119</v>
      </c>
      <c r="L11" s="166" t="s">
        <v>120</v>
      </c>
      <c r="M11" s="165" t="s">
        <v>119</v>
      </c>
      <c r="N11" s="166" t="s">
        <v>120</v>
      </c>
      <c r="O11" s="165" t="s">
        <v>119</v>
      </c>
      <c r="P11" s="166" t="s">
        <v>120</v>
      </c>
      <c r="Q11" s="179"/>
      <c r="R11" s="159"/>
      <c r="S11" s="159"/>
      <c r="T11" s="179"/>
    </row>
    <row r="12" spans="1:20" ht="12.75">
      <c r="A12" s="167"/>
      <c r="B12" s="44"/>
      <c r="C12" s="225"/>
      <c r="D12" s="226"/>
      <c r="E12" s="220"/>
      <c r="F12" s="225"/>
      <c r="G12" s="226"/>
      <c r="H12" s="220"/>
      <c r="I12" s="225"/>
      <c r="J12" s="226"/>
      <c r="K12" s="225"/>
      <c r="L12" s="228"/>
      <c r="M12" s="290"/>
      <c r="N12" s="226"/>
      <c r="O12" s="225"/>
      <c r="P12" s="226"/>
      <c r="Q12" s="179"/>
      <c r="R12" s="153"/>
      <c r="S12" s="153"/>
      <c r="T12" s="179"/>
    </row>
    <row r="13" spans="1:20" ht="12.75">
      <c r="A13" s="46" t="s">
        <v>79</v>
      </c>
      <c r="B13" s="44"/>
      <c r="C13" s="225"/>
      <c r="D13" s="289"/>
      <c r="E13" s="220"/>
      <c r="F13" s="225"/>
      <c r="G13" s="289"/>
      <c r="H13" s="220"/>
      <c r="I13" s="225"/>
      <c r="J13" s="289"/>
      <c r="K13" s="225"/>
      <c r="L13" s="228"/>
      <c r="M13" s="225"/>
      <c r="N13" s="289"/>
      <c r="O13" s="225"/>
      <c r="P13" s="289"/>
      <c r="Q13" s="179"/>
      <c r="R13" s="154"/>
      <c r="S13" s="160"/>
      <c r="T13" s="179"/>
    </row>
    <row r="14" spans="1:20" ht="12.75">
      <c r="A14" s="168" t="s">
        <v>142</v>
      </c>
      <c r="B14" s="44"/>
      <c r="C14" s="225"/>
      <c r="D14" s="289"/>
      <c r="E14" s="220"/>
      <c r="F14" s="225"/>
      <c r="G14" s="289"/>
      <c r="H14" s="220"/>
      <c r="I14" s="225"/>
      <c r="J14" s="289"/>
      <c r="K14" s="225"/>
      <c r="L14" s="228"/>
      <c r="M14" s="225"/>
      <c r="N14" s="289"/>
      <c r="O14" s="225"/>
      <c r="P14" s="226"/>
      <c r="Q14" s="179"/>
      <c r="R14" s="154"/>
      <c r="S14" s="160"/>
      <c r="T14" s="179"/>
    </row>
    <row r="15" spans="1:20" ht="25.5">
      <c r="A15" s="169" t="s">
        <v>143</v>
      </c>
      <c r="B15" s="44"/>
      <c r="C15" s="225"/>
      <c r="D15" s="289"/>
      <c r="E15" s="220"/>
      <c r="F15" s="225"/>
      <c r="G15" s="289"/>
      <c r="H15" s="220"/>
      <c r="I15" s="225"/>
      <c r="J15" s="289"/>
      <c r="K15" s="225"/>
      <c r="L15" s="228"/>
      <c r="M15" s="225"/>
      <c r="N15" s="289"/>
      <c r="O15" s="225"/>
      <c r="P15" s="226"/>
      <c r="Q15" s="179"/>
      <c r="R15" s="154"/>
      <c r="S15" s="160"/>
      <c r="T15" s="179"/>
    </row>
    <row r="16" spans="1:20" ht="25.5">
      <c r="A16" s="169" t="s">
        <v>123</v>
      </c>
      <c r="B16" s="44"/>
      <c r="C16" s="225"/>
      <c r="D16" s="289"/>
      <c r="E16" s="220"/>
      <c r="F16" s="225"/>
      <c r="G16" s="289"/>
      <c r="H16" s="220"/>
      <c r="I16" s="225"/>
      <c r="J16" s="289"/>
      <c r="K16" s="225"/>
      <c r="L16" s="228"/>
      <c r="M16" s="225"/>
      <c r="N16" s="289"/>
      <c r="O16" s="225"/>
      <c r="P16" s="226"/>
      <c r="Q16" s="179"/>
      <c r="R16" s="154"/>
      <c r="S16" s="160"/>
      <c r="T16" s="179"/>
    </row>
    <row r="17" spans="1:20" ht="13.5" customHeight="1">
      <c r="A17" s="168" t="s">
        <v>144</v>
      </c>
      <c r="B17" s="45"/>
      <c r="C17" s="231"/>
      <c r="D17" s="232"/>
      <c r="E17" s="221"/>
      <c r="F17" s="231"/>
      <c r="G17" s="232"/>
      <c r="H17" s="222"/>
      <c r="I17" s="231"/>
      <c r="J17" s="232"/>
      <c r="K17" s="231"/>
      <c r="L17" s="235"/>
      <c r="M17" s="231"/>
      <c r="N17" s="232"/>
      <c r="O17" s="231"/>
      <c r="P17" s="232"/>
      <c r="Q17" s="179"/>
      <c r="R17" s="155"/>
      <c r="S17" s="155"/>
      <c r="T17" s="179"/>
    </row>
    <row r="18" spans="1:20" s="34" customFormat="1" ht="12.75">
      <c r="A18" s="48" t="s">
        <v>80</v>
      </c>
      <c r="B18" s="46"/>
      <c r="C18" s="237">
        <f>SUM(C14:C17)</f>
        <v>0</v>
      </c>
      <c r="D18" s="238">
        <f>SUM(D14:D17)</f>
        <v>0</v>
      </c>
      <c r="E18" s="223"/>
      <c r="F18" s="237">
        <f>SUM(F14:F17)</f>
        <v>0</v>
      </c>
      <c r="G18" s="238">
        <f>SUM(G14:G17)</f>
        <v>0</v>
      </c>
      <c r="H18" s="224"/>
      <c r="I18" s="237">
        <f aca="true" t="shared" si="0" ref="I18:P18">SUM(I14:I17)</f>
        <v>0</v>
      </c>
      <c r="J18" s="238">
        <f t="shared" si="0"/>
        <v>0</v>
      </c>
      <c r="K18" s="237">
        <f t="shared" si="0"/>
        <v>0</v>
      </c>
      <c r="L18" s="238">
        <f t="shared" si="0"/>
        <v>0</v>
      </c>
      <c r="M18" s="237">
        <f t="shared" si="0"/>
        <v>0</v>
      </c>
      <c r="N18" s="238">
        <f t="shared" si="0"/>
        <v>0</v>
      </c>
      <c r="O18" s="237">
        <f t="shared" si="0"/>
        <v>0</v>
      </c>
      <c r="P18" s="238">
        <f t="shared" si="0"/>
        <v>0</v>
      </c>
      <c r="Q18" s="179"/>
      <c r="R18" s="161"/>
      <c r="S18" s="161"/>
      <c r="T18" s="179"/>
    </row>
    <row r="19" spans="1:20" ht="12.75">
      <c r="A19" s="45"/>
      <c r="B19" s="44"/>
      <c r="C19" s="225"/>
      <c r="D19" s="226"/>
      <c r="E19" s="183"/>
      <c r="F19" s="225"/>
      <c r="G19" s="226"/>
      <c r="H19" s="183"/>
      <c r="I19" s="225"/>
      <c r="J19" s="226"/>
      <c r="K19" s="225"/>
      <c r="L19" s="228"/>
      <c r="M19" s="225"/>
      <c r="N19" s="226"/>
      <c r="O19" s="225"/>
      <c r="P19" s="226"/>
      <c r="Q19" s="179"/>
      <c r="R19" s="153"/>
      <c r="S19" s="153"/>
      <c r="T19" s="179"/>
    </row>
    <row r="20" spans="1:20" ht="25.5">
      <c r="A20" s="47" t="s">
        <v>141</v>
      </c>
      <c r="B20" s="44"/>
      <c r="C20" s="225"/>
      <c r="D20" s="226"/>
      <c r="E20" s="227"/>
      <c r="F20" s="225"/>
      <c r="G20" s="226"/>
      <c r="H20" s="227"/>
      <c r="I20" s="225"/>
      <c r="J20" s="226"/>
      <c r="K20" s="225"/>
      <c r="L20" s="228"/>
      <c r="M20" s="225"/>
      <c r="N20" s="226"/>
      <c r="O20" s="229"/>
      <c r="P20" s="230"/>
      <c r="Q20" s="179"/>
      <c r="R20" s="153"/>
      <c r="S20" s="153"/>
      <c r="T20" s="179"/>
    </row>
    <row r="21" spans="1:20" ht="25.5">
      <c r="A21" s="169" t="s">
        <v>145</v>
      </c>
      <c r="B21" s="44"/>
      <c r="C21" s="225"/>
      <c r="D21" s="226">
        <v>963176</v>
      </c>
      <c r="E21" s="227"/>
      <c r="F21" s="225"/>
      <c r="G21" s="226">
        <f>1260500+(2615000-10000)</f>
        <v>3865500</v>
      </c>
      <c r="H21" s="227"/>
      <c r="I21" s="225"/>
      <c r="J21" s="226">
        <v>1260500</v>
      </c>
      <c r="K21" s="225"/>
      <c r="L21" s="228">
        <v>20000</v>
      </c>
      <c r="M21" s="225"/>
      <c r="N21" s="226">
        <v>-629500</v>
      </c>
      <c r="O21" s="225">
        <f>+I21+K21+M21</f>
        <v>0</v>
      </c>
      <c r="P21" s="226">
        <f>+J21+L21+N21</f>
        <v>651000</v>
      </c>
      <c r="Q21" s="179"/>
      <c r="R21" s="153"/>
      <c r="S21" s="153"/>
      <c r="T21" s="179"/>
    </row>
    <row r="22" spans="1:20" ht="12.75">
      <c r="A22" s="168" t="s">
        <v>146</v>
      </c>
      <c r="B22" s="44"/>
      <c r="C22" s="225"/>
      <c r="D22" s="226"/>
      <c r="E22" s="227"/>
      <c r="F22" s="225"/>
      <c r="G22" s="226"/>
      <c r="H22" s="227"/>
      <c r="I22" s="225"/>
      <c r="J22" s="226"/>
      <c r="K22" s="225"/>
      <c r="L22" s="228"/>
      <c r="M22" s="225"/>
      <c r="N22" s="226"/>
      <c r="O22" s="225"/>
      <c r="P22" s="226"/>
      <c r="Q22" s="179"/>
      <c r="R22" s="153"/>
      <c r="S22" s="153"/>
      <c r="T22" s="179"/>
    </row>
    <row r="23" spans="1:20" ht="12.75">
      <c r="A23" s="168" t="s">
        <v>147</v>
      </c>
      <c r="B23" s="44"/>
      <c r="C23" s="225"/>
      <c r="D23" s="226"/>
      <c r="E23" s="227"/>
      <c r="F23" s="225"/>
      <c r="G23" s="226">
        <v>0</v>
      </c>
      <c r="H23" s="227"/>
      <c r="I23" s="225"/>
      <c r="J23" s="226">
        <v>0</v>
      </c>
      <c r="K23" s="225"/>
      <c r="L23" s="228"/>
      <c r="M23" s="225"/>
      <c r="N23" s="226"/>
      <c r="O23" s="225"/>
      <c r="P23" s="226"/>
      <c r="Q23" s="179"/>
      <c r="R23" s="153"/>
      <c r="S23" s="153"/>
      <c r="T23" s="179"/>
    </row>
    <row r="24" spans="1:20" ht="12.75">
      <c r="A24" s="168" t="s">
        <v>148</v>
      </c>
      <c r="B24" s="44"/>
      <c r="C24" s="225"/>
      <c r="D24" s="226"/>
      <c r="E24" s="227"/>
      <c r="F24" s="225"/>
      <c r="G24" s="226"/>
      <c r="H24" s="227"/>
      <c r="I24" s="225"/>
      <c r="J24" s="226"/>
      <c r="K24" s="225"/>
      <c r="L24" s="228"/>
      <c r="M24" s="225"/>
      <c r="N24" s="226"/>
      <c r="O24" s="225"/>
      <c r="P24" s="226"/>
      <c r="Q24" s="179"/>
      <c r="R24" s="153"/>
      <c r="S24" s="153"/>
      <c r="T24" s="179"/>
    </row>
    <row r="25" spans="1:20" ht="25.5">
      <c r="A25" s="169" t="s">
        <v>149</v>
      </c>
      <c r="B25" s="44"/>
      <c r="C25" s="225"/>
      <c r="D25" s="226"/>
      <c r="E25" s="227"/>
      <c r="F25" s="225"/>
      <c r="G25" s="226">
        <f>0+50000</f>
        <v>50000</v>
      </c>
      <c r="H25" s="227"/>
      <c r="I25" s="225"/>
      <c r="J25" s="226"/>
      <c r="K25" s="225"/>
      <c r="L25" s="228"/>
      <c r="M25" s="225"/>
      <c r="N25" s="226"/>
      <c r="O25" s="225"/>
      <c r="P25" s="226"/>
      <c r="Q25" s="179"/>
      <c r="R25" s="153"/>
      <c r="S25" s="153"/>
      <c r="T25" s="179"/>
    </row>
    <row r="26" spans="1:20" ht="12.75">
      <c r="A26" s="168" t="s">
        <v>150</v>
      </c>
      <c r="B26" s="44"/>
      <c r="C26" s="225"/>
      <c r="D26" s="226"/>
      <c r="E26" s="227"/>
      <c r="F26" s="225"/>
      <c r="G26" s="226"/>
      <c r="H26" s="227"/>
      <c r="I26" s="225"/>
      <c r="J26" s="226"/>
      <c r="K26" s="225"/>
      <c r="L26" s="228"/>
      <c r="M26" s="225"/>
      <c r="N26" s="226"/>
      <c r="O26" s="225"/>
      <c r="P26" s="226"/>
      <c r="Q26" s="179"/>
      <c r="R26" s="153"/>
      <c r="S26" s="153"/>
      <c r="T26" s="179"/>
    </row>
    <row r="27" spans="1:20" ht="25.5">
      <c r="A27" s="169" t="s">
        <v>151</v>
      </c>
      <c r="B27" s="44"/>
      <c r="C27" s="225"/>
      <c r="D27" s="226"/>
      <c r="E27" s="227"/>
      <c r="F27" s="225"/>
      <c r="G27" s="226"/>
      <c r="H27" s="227"/>
      <c r="I27" s="225"/>
      <c r="J27" s="226"/>
      <c r="K27" s="225"/>
      <c r="L27" s="228"/>
      <c r="M27" s="225"/>
      <c r="N27" s="226"/>
      <c r="O27" s="225"/>
      <c r="P27" s="226"/>
      <c r="Q27" s="179"/>
      <c r="R27" s="153"/>
      <c r="S27" s="153"/>
      <c r="T27" s="179"/>
    </row>
    <row r="28" spans="1:20" ht="27.75" customHeight="1">
      <c r="A28" s="169" t="s">
        <v>152</v>
      </c>
      <c r="B28" s="45"/>
      <c r="C28" s="231"/>
      <c r="D28" s="232"/>
      <c r="E28" s="233"/>
      <c r="F28" s="231"/>
      <c r="G28" s="232"/>
      <c r="H28" s="234"/>
      <c r="I28" s="231"/>
      <c r="J28" s="232"/>
      <c r="K28" s="231"/>
      <c r="L28" s="235"/>
      <c r="M28" s="231"/>
      <c r="N28" s="232"/>
      <c r="O28" s="225"/>
      <c r="P28" s="236"/>
      <c r="Q28" s="179"/>
      <c r="R28" s="155"/>
      <c r="S28" s="155"/>
      <c r="T28" s="179"/>
    </row>
    <row r="29" spans="1:20" ht="12.75">
      <c r="A29" s="48" t="s">
        <v>82</v>
      </c>
      <c r="B29" s="46"/>
      <c r="C29" s="237">
        <f>SUM(C21:C28)</f>
        <v>0</v>
      </c>
      <c r="D29" s="238">
        <f>SUM(D21:D28)</f>
        <v>963176</v>
      </c>
      <c r="E29" s="239"/>
      <c r="F29" s="237">
        <f>SUM(F21:F28)</f>
        <v>0</v>
      </c>
      <c r="G29" s="238">
        <f>SUM(G21:G28)</f>
        <v>3915500</v>
      </c>
      <c r="H29" s="240"/>
      <c r="I29" s="237">
        <f aca="true" t="shared" si="1" ref="I29:P29">SUM(I21:I28)</f>
        <v>0</v>
      </c>
      <c r="J29" s="238">
        <f t="shared" si="1"/>
        <v>1260500</v>
      </c>
      <c r="K29" s="241">
        <f t="shared" si="1"/>
        <v>0</v>
      </c>
      <c r="L29" s="242">
        <f t="shared" si="1"/>
        <v>20000</v>
      </c>
      <c r="M29" s="237">
        <f t="shared" si="1"/>
        <v>0</v>
      </c>
      <c r="N29" s="238">
        <f t="shared" si="1"/>
        <v>-629500</v>
      </c>
      <c r="O29" s="241">
        <f t="shared" si="1"/>
        <v>0</v>
      </c>
      <c r="P29" s="238">
        <f t="shared" si="1"/>
        <v>651000</v>
      </c>
      <c r="Q29" s="179"/>
      <c r="R29" s="161"/>
      <c r="S29" s="161"/>
      <c r="T29" s="179"/>
    </row>
    <row r="30" spans="1:20" ht="12.75">
      <c r="A30" s="45"/>
      <c r="B30" s="44"/>
      <c r="C30" s="225"/>
      <c r="D30" s="226"/>
      <c r="E30" s="44"/>
      <c r="F30" s="225"/>
      <c r="G30" s="226"/>
      <c r="H30" s="44"/>
      <c r="I30" s="225"/>
      <c r="J30" s="226"/>
      <c r="K30" s="225"/>
      <c r="L30" s="228"/>
      <c r="M30" s="225"/>
      <c r="N30" s="226"/>
      <c r="O30" s="225"/>
      <c r="P30" s="226"/>
      <c r="Q30" s="179"/>
      <c r="R30" s="153"/>
      <c r="S30" s="153"/>
      <c r="T30" s="179"/>
    </row>
    <row r="31" spans="1:20" ht="32.25" customHeight="1">
      <c r="A31" s="47" t="s">
        <v>302</v>
      </c>
      <c r="B31" s="44"/>
      <c r="C31" s="225"/>
      <c r="D31" s="226"/>
      <c r="E31" s="220"/>
      <c r="F31" s="225"/>
      <c r="G31" s="226"/>
      <c r="H31" s="220"/>
      <c r="I31" s="225"/>
      <c r="J31" s="226"/>
      <c r="K31" s="225"/>
      <c r="L31" s="228"/>
      <c r="M31" s="225"/>
      <c r="N31" s="226"/>
      <c r="O31" s="225"/>
      <c r="P31" s="226"/>
      <c r="Q31" s="179"/>
      <c r="R31" s="153"/>
      <c r="S31" s="153"/>
      <c r="T31" s="179"/>
    </row>
    <row r="32" spans="1:20" ht="38.25">
      <c r="A32" s="169" t="s">
        <v>153</v>
      </c>
      <c r="B32" s="44"/>
      <c r="C32" s="225"/>
      <c r="D32" s="226"/>
      <c r="E32" s="220"/>
      <c r="F32" s="225"/>
      <c r="G32" s="226"/>
      <c r="H32" s="220"/>
      <c r="I32" s="225"/>
      <c r="J32" s="226"/>
      <c r="K32" s="225"/>
      <c r="L32" s="228"/>
      <c r="M32" s="225"/>
      <c r="N32" s="226"/>
      <c r="O32" s="225"/>
      <c r="P32" s="226"/>
      <c r="Q32" s="179"/>
      <c r="R32" s="153"/>
      <c r="S32" s="153"/>
      <c r="T32" s="179"/>
    </row>
    <row r="33" spans="1:20" ht="12.75">
      <c r="A33" s="168" t="s">
        <v>154</v>
      </c>
      <c r="B33" s="44"/>
      <c r="C33" s="225"/>
      <c r="D33" s="226"/>
      <c r="E33" s="220"/>
      <c r="F33" s="225"/>
      <c r="G33" s="226"/>
      <c r="H33" s="220"/>
      <c r="I33" s="225"/>
      <c r="J33" s="226"/>
      <c r="K33" s="225"/>
      <c r="L33" s="228"/>
      <c r="M33" s="225"/>
      <c r="N33" s="226"/>
      <c r="O33" s="225"/>
      <c r="P33" s="226"/>
      <c r="Q33" s="179"/>
      <c r="R33" s="153"/>
      <c r="S33" s="153"/>
      <c r="T33" s="179"/>
    </row>
    <row r="34" spans="1:20" ht="38.25">
      <c r="A34" s="169" t="s">
        <v>229</v>
      </c>
      <c r="B34" s="44"/>
      <c r="C34" s="225"/>
      <c r="D34" s="226"/>
      <c r="E34" s="220"/>
      <c r="F34" s="225"/>
      <c r="G34" s="226"/>
      <c r="H34" s="220"/>
      <c r="I34" s="225"/>
      <c r="J34" s="226"/>
      <c r="K34" s="225"/>
      <c r="L34" s="228"/>
      <c r="M34" s="225"/>
      <c r="N34" s="226"/>
      <c r="O34" s="225"/>
      <c r="P34" s="226"/>
      <c r="Q34" s="179"/>
      <c r="R34" s="153"/>
      <c r="S34" s="153"/>
      <c r="T34" s="179"/>
    </row>
    <row r="35" spans="1:20" ht="38.25">
      <c r="A35" s="169" t="s">
        <v>156</v>
      </c>
      <c r="B35" s="44"/>
      <c r="C35" s="225"/>
      <c r="D35" s="226"/>
      <c r="E35" s="220"/>
      <c r="F35" s="225"/>
      <c r="G35" s="226"/>
      <c r="H35" s="220"/>
      <c r="I35" s="225"/>
      <c r="J35" s="226"/>
      <c r="K35" s="225"/>
      <c r="L35" s="228"/>
      <c r="M35" s="225"/>
      <c r="N35" s="226"/>
      <c r="O35" s="225"/>
      <c r="P35" s="226"/>
      <c r="Q35" s="179"/>
      <c r="R35" s="153"/>
      <c r="S35" s="153"/>
      <c r="T35" s="179"/>
    </row>
    <row r="36" spans="1:20" ht="25.5">
      <c r="A36" s="169" t="s">
        <v>157</v>
      </c>
      <c r="B36" s="44"/>
      <c r="C36" s="225"/>
      <c r="D36" s="226"/>
      <c r="E36" s="220"/>
      <c r="F36" s="225"/>
      <c r="G36" s="226"/>
      <c r="H36" s="220"/>
      <c r="I36" s="225"/>
      <c r="J36" s="226"/>
      <c r="K36" s="225"/>
      <c r="L36" s="228"/>
      <c r="M36" s="225"/>
      <c r="N36" s="226"/>
      <c r="O36" s="225"/>
      <c r="P36" s="226"/>
      <c r="Q36" s="179"/>
      <c r="R36" s="153"/>
      <c r="S36" s="153"/>
      <c r="T36" s="179"/>
    </row>
    <row r="37" spans="1:20" ht="25.5">
      <c r="A37" s="169" t="s">
        <v>230</v>
      </c>
      <c r="B37" s="44"/>
      <c r="C37" s="225"/>
      <c r="D37" s="226">
        <v>35560</v>
      </c>
      <c r="E37" s="220"/>
      <c r="F37" s="225"/>
      <c r="G37" s="226">
        <v>58000</v>
      </c>
      <c r="H37" s="220"/>
      <c r="I37" s="225"/>
      <c r="J37" s="226">
        <v>58000</v>
      </c>
      <c r="K37" s="225"/>
      <c r="L37" s="228">
        <v>9000</v>
      </c>
      <c r="M37" s="225"/>
      <c r="N37" s="226">
        <v>0</v>
      </c>
      <c r="O37" s="225">
        <f>+I37+K37+M37</f>
        <v>0</v>
      </c>
      <c r="P37" s="226">
        <f>+J37+L37+N37</f>
        <v>67000</v>
      </c>
      <c r="Q37" s="179"/>
      <c r="R37" s="153"/>
      <c r="S37" s="153"/>
      <c r="T37" s="179"/>
    </row>
    <row r="38" spans="1:20" ht="12.75">
      <c r="A38" s="168" t="s">
        <v>158</v>
      </c>
      <c r="B38" s="44"/>
      <c r="C38" s="225"/>
      <c r="D38" s="226">
        <v>9400</v>
      </c>
      <c r="E38" s="220"/>
      <c r="F38" s="225"/>
      <c r="G38" s="226">
        <f>10000+100000</f>
        <v>110000</v>
      </c>
      <c r="H38" s="220"/>
      <c r="I38" s="225"/>
      <c r="J38" s="226">
        <v>10000</v>
      </c>
      <c r="K38" s="225"/>
      <c r="L38" s="228"/>
      <c r="M38" s="225"/>
      <c r="N38" s="226"/>
      <c r="O38" s="225">
        <f>+I38+K38+M38</f>
        <v>0</v>
      </c>
      <c r="P38" s="226">
        <f>+J38+L38+N38</f>
        <v>10000</v>
      </c>
      <c r="Q38" s="179"/>
      <c r="R38" s="153"/>
      <c r="S38" s="153"/>
      <c r="T38" s="179"/>
    </row>
    <row r="39" spans="1:20" ht="12.75">
      <c r="A39" s="48" t="s">
        <v>83</v>
      </c>
      <c r="B39" s="46"/>
      <c r="C39" s="237">
        <f>SUM(C32:C38)</f>
        <v>0</v>
      </c>
      <c r="D39" s="238">
        <f>SUM(D32:D38)</f>
        <v>44960</v>
      </c>
      <c r="E39" s="223"/>
      <c r="F39" s="237">
        <f>SUM(F32:F38)</f>
        <v>0</v>
      </c>
      <c r="G39" s="238">
        <f>SUM(G32:G38)</f>
        <v>168000</v>
      </c>
      <c r="H39" s="224"/>
      <c r="I39" s="237">
        <f aca="true" t="shared" si="2" ref="I39:P39">SUM(I32:I38)</f>
        <v>0</v>
      </c>
      <c r="J39" s="238">
        <f t="shared" si="2"/>
        <v>68000</v>
      </c>
      <c r="K39" s="237">
        <f t="shared" si="2"/>
        <v>0</v>
      </c>
      <c r="L39" s="242">
        <f t="shared" si="2"/>
        <v>9000</v>
      </c>
      <c r="M39" s="237">
        <f t="shared" si="2"/>
        <v>0</v>
      </c>
      <c r="N39" s="238">
        <f t="shared" si="2"/>
        <v>0</v>
      </c>
      <c r="O39" s="237">
        <f t="shared" si="2"/>
        <v>0</v>
      </c>
      <c r="P39" s="238">
        <f t="shared" si="2"/>
        <v>77000</v>
      </c>
      <c r="Q39" s="179"/>
      <c r="R39" s="161"/>
      <c r="S39" s="161"/>
      <c r="T39" s="179"/>
    </row>
    <row r="40" spans="1:20" ht="13.5" thickBot="1">
      <c r="A40" s="44" t="s">
        <v>36</v>
      </c>
      <c r="B40" s="44"/>
      <c r="C40" s="44"/>
      <c r="D40" s="227">
        <v>-57779</v>
      </c>
      <c r="E40" s="44"/>
      <c r="F40" s="44"/>
      <c r="G40" s="227">
        <v>-75000</v>
      </c>
      <c r="H40" s="44"/>
      <c r="I40" s="44"/>
      <c r="J40" s="44">
        <v>0</v>
      </c>
      <c r="K40" s="291"/>
      <c r="L40" s="291"/>
      <c r="M40" s="292"/>
      <c r="N40" s="44"/>
      <c r="O40" s="44"/>
      <c r="P40" s="227">
        <v>-31500</v>
      </c>
      <c r="Q40" s="179"/>
      <c r="R40" s="153"/>
      <c r="S40" s="153"/>
      <c r="T40" s="179"/>
    </row>
    <row r="41" spans="1:20" s="489" customFormat="1" ht="13.5" thickBot="1">
      <c r="A41" s="96" t="s">
        <v>84</v>
      </c>
      <c r="B41" s="483"/>
      <c r="C41" s="484">
        <f>C18+C29+C39</f>
        <v>0</v>
      </c>
      <c r="D41" s="485">
        <f>D18+D29+D39+D40</f>
        <v>950357</v>
      </c>
      <c r="E41" s="483"/>
      <c r="F41" s="484">
        <f>F18+F29+F39</f>
        <v>0</v>
      </c>
      <c r="G41" s="485">
        <f>G18+G29+G39+G40</f>
        <v>4008500</v>
      </c>
      <c r="H41" s="483"/>
      <c r="I41" s="484">
        <f>I18+I29+I39</f>
        <v>0</v>
      </c>
      <c r="J41" s="485">
        <f>J18+J29+J39+J40</f>
        <v>1328500</v>
      </c>
      <c r="K41" s="484">
        <f>K18+K29+K39</f>
        <v>0</v>
      </c>
      <c r="L41" s="485">
        <f>L18+L29+L39</f>
        <v>29000</v>
      </c>
      <c r="M41" s="484">
        <f>M18+M29+M39</f>
        <v>0</v>
      </c>
      <c r="N41" s="485">
        <f>N18+N29+N39</f>
        <v>-629500</v>
      </c>
      <c r="O41" s="484">
        <f>O18+O29+O39</f>
        <v>0</v>
      </c>
      <c r="P41" s="485">
        <f>P18+P29+P39+P40</f>
        <v>696500</v>
      </c>
      <c r="Q41" s="486"/>
      <c r="R41" s="487"/>
      <c r="S41" s="488"/>
      <c r="T41" s="486"/>
    </row>
    <row r="42" spans="1:20" ht="12.75">
      <c r="A42" s="49"/>
      <c r="B42" s="49"/>
      <c r="C42" s="50"/>
      <c r="D42" s="51"/>
      <c r="E42" s="49"/>
      <c r="F42" s="50"/>
      <c r="G42" s="51"/>
      <c r="H42" s="49"/>
      <c r="I42" s="50"/>
      <c r="J42" s="51"/>
      <c r="K42" s="35"/>
      <c r="L42" s="35"/>
      <c r="M42" s="35"/>
      <c r="N42" s="35"/>
      <c r="O42" s="35"/>
      <c r="P42" s="35"/>
      <c r="Q42" s="35"/>
      <c r="R42" s="162"/>
      <c r="S42" s="162"/>
      <c r="T42" s="179"/>
    </row>
    <row r="43" spans="1:20" ht="12.75">
      <c r="A43" s="58"/>
      <c r="B43" s="53"/>
      <c r="C43" s="251"/>
      <c r="D43" s="184"/>
      <c r="E43" s="53"/>
      <c r="F43" s="251"/>
      <c r="G43" s="184"/>
      <c r="H43" s="53"/>
      <c r="I43" s="251"/>
      <c r="J43" s="184"/>
      <c r="K43" s="251"/>
      <c r="L43" s="185"/>
      <c r="M43" s="251"/>
      <c r="N43" s="184"/>
      <c r="O43" s="251"/>
      <c r="P43" s="184"/>
      <c r="Q43" s="35"/>
      <c r="R43" s="54"/>
      <c r="S43" s="55"/>
      <c r="T43" s="179"/>
    </row>
    <row r="44" spans="1:19" ht="12.75">
      <c r="A44" s="49"/>
      <c r="B44" s="49"/>
      <c r="C44" s="50"/>
      <c r="D44" s="51"/>
      <c r="E44" s="49"/>
      <c r="F44" s="50"/>
      <c r="G44" s="51"/>
      <c r="H44" s="49"/>
      <c r="I44" s="50"/>
      <c r="J44" s="51"/>
      <c r="K44" s="35"/>
      <c r="L44" s="35"/>
      <c r="M44" s="35"/>
      <c r="N44" s="35"/>
      <c r="O44" s="35"/>
      <c r="P44" s="35"/>
      <c r="Q44" s="35"/>
      <c r="R44" s="162"/>
      <c r="S44" s="162"/>
    </row>
    <row r="46" spans="1:19" ht="15.75">
      <c r="A46" s="649"/>
      <c r="B46" s="649"/>
      <c r="C46" s="649"/>
      <c r="D46" s="649"/>
      <c r="E46" s="649"/>
      <c r="F46" s="649"/>
      <c r="G46" s="649"/>
      <c r="H46" s="649"/>
      <c r="I46" s="144"/>
      <c r="J46" s="145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.75">
      <c r="A47" s="139"/>
      <c r="B47" s="140"/>
      <c r="C47" s="141"/>
      <c r="D47" s="141"/>
      <c r="E47" s="140"/>
      <c r="F47" s="141"/>
      <c r="G47" s="141"/>
      <c r="H47" s="140"/>
      <c r="I47" s="144"/>
      <c r="J47" s="145"/>
      <c r="K47" s="146"/>
      <c r="L47" s="146"/>
      <c r="M47" s="146"/>
      <c r="N47" s="146"/>
      <c r="O47" s="146"/>
      <c r="P47" s="146"/>
      <c r="Q47" s="146"/>
      <c r="R47" s="146"/>
      <c r="S47" s="146"/>
    </row>
    <row r="48" spans="1:19" ht="68.25" customHeight="1">
      <c r="A48" s="645"/>
      <c r="B48" s="646"/>
      <c r="C48" s="646"/>
      <c r="D48" s="646"/>
      <c r="E48" s="646"/>
      <c r="F48" s="646"/>
      <c r="G48" s="646"/>
      <c r="H48" s="128"/>
      <c r="I48" s="147"/>
      <c r="J48" s="148"/>
      <c r="K48" s="148"/>
      <c r="L48" s="148"/>
      <c r="M48" s="148"/>
      <c r="N48" s="148"/>
      <c r="O48" s="148"/>
      <c r="P48" s="148"/>
      <c r="Q48" s="148"/>
      <c r="R48" s="148"/>
      <c r="S48" s="148"/>
    </row>
    <row r="49" spans="1:19" ht="5.25" customHeight="1">
      <c r="A49" s="128"/>
      <c r="B49" s="128"/>
      <c r="C49" s="128"/>
      <c r="D49" s="128"/>
      <c r="E49" s="128"/>
      <c r="F49" s="128"/>
      <c r="G49" s="128"/>
      <c r="H49" s="128"/>
      <c r="I49" s="147"/>
      <c r="J49" s="148"/>
      <c r="K49" s="148"/>
      <c r="L49" s="148"/>
      <c r="M49" s="148"/>
      <c r="N49" s="148"/>
      <c r="O49" s="148"/>
      <c r="P49" s="148"/>
      <c r="Q49" s="148"/>
      <c r="R49" s="148"/>
      <c r="S49" s="148"/>
    </row>
    <row r="50" spans="1:19" ht="15">
      <c r="A50" s="650"/>
      <c r="B50" s="651"/>
      <c r="C50" s="651"/>
      <c r="D50" s="651"/>
      <c r="E50" s="651"/>
      <c r="F50" s="651"/>
      <c r="G50" s="651"/>
      <c r="H50" s="143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</row>
    <row r="51" spans="1:19" ht="12.75">
      <c r="A51" s="142"/>
      <c r="B51" s="142"/>
      <c r="C51" s="142"/>
      <c r="D51" s="142"/>
      <c r="E51" s="142"/>
      <c r="F51" s="142"/>
      <c r="G51" s="142"/>
      <c r="H51" s="142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1:19" ht="47.25" customHeight="1">
      <c r="A52" s="647"/>
      <c r="B52" s="648"/>
      <c r="C52" s="648"/>
      <c r="D52" s="648"/>
      <c r="E52" s="648"/>
      <c r="F52" s="648"/>
      <c r="G52" s="648"/>
      <c r="H52" s="128"/>
      <c r="I52" s="147"/>
      <c r="J52" s="148"/>
      <c r="K52" s="148"/>
      <c r="L52" s="148"/>
      <c r="M52" s="148"/>
      <c r="N52" s="148"/>
      <c r="O52" s="148"/>
      <c r="P52" s="148"/>
      <c r="Q52" s="148"/>
      <c r="R52" s="148"/>
      <c r="S52" s="148"/>
    </row>
    <row r="53" spans="1:19" ht="33.75" customHeight="1">
      <c r="A53" s="647"/>
      <c r="B53" s="648"/>
      <c r="C53" s="648"/>
      <c r="D53" s="648"/>
      <c r="E53" s="648"/>
      <c r="F53" s="648"/>
      <c r="G53" s="648"/>
      <c r="H53" s="128"/>
      <c r="I53" s="147"/>
      <c r="J53" s="148"/>
      <c r="K53" s="148"/>
      <c r="L53" s="148"/>
      <c r="M53" s="148"/>
      <c r="N53" s="148"/>
      <c r="O53" s="148"/>
      <c r="P53" s="148"/>
      <c r="Q53" s="148"/>
      <c r="R53" s="148"/>
      <c r="S53" s="148"/>
    </row>
    <row r="54" spans="1:19" ht="15">
      <c r="A54" s="642"/>
      <c r="B54" s="643"/>
      <c r="C54" s="643"/>
      <c r="D54" s="643"/>
      <c r="E54" s="643"/>
      <c r="F54" s="643"/>
      <c r="G54" s="643"/>
      <c r="H54" s="643"/>
      <c r="I54" s="643"/>
      <c r="J54" s="644"/>
      <c r="K54" s="644"/>
      <c r="L54" s="644"/>
      <c r="M54" s="644"/>
      <c r="N54" s="644"/>
      <c r="O54" s="644"/>
      <c r="P54" s="644"/>
      <c r="Q54" s="644"/>
      <c r="R54" s="644"/>
      <c r="S54" s="644"/>
    </row>
    <row r="55" spans="1:19" ht="15">
      <c r="A55" s="642"/>
      <c r="B55" s="643"/>
      <c r="C55" s="643"/>
      <c r="D55" s="643"/>
      <c r="E55" s="643"/>
      <c r="F55" s="643"/>
      <c r="G55" s="643"/>
      <c r="H55" s="643"/>
      <c r="I55" s="643"/>
      <c r="J55" s="644"/>
      <c r="K55" s="644"/>
      <c r="L55" s="644"/>
      <c r="M55" s="644"/>
      <c r="N55" s="644"/>
      <c r="O55" s="644"/>
      <c r="P55" s="644"/>
      <c r="Q55" s="644"/>
      <c r="R55" s="644"/>
      <c r="S55" s="644"/>
    </row>
    <row r="56" ht="12.75">
      <c r="S56" s="179"/>
    </row>
  </sheetData>
  <sheetProtection/>
  <mergeCells count="19">
    <mergeCell ref="A1:P1"/>
    <mergeCell ref="A3:P3"/>
    <mergeCell ref="A4:P4"/>
    <mergeCell ref="A6:P6"/>
    <mergeCell ref="A5:P5"/>
    <mergeCell ref="A46:H46"/>
    <mergeCell ref="A50:G50"/>
    <mergeCell ref="A52:G52"/>
    <mergeCell ref="O9:P10"/>
    <mergeCell ref="F9:G10"/>
    <mergeCell ref="C9:D10"/>
    <mergeCell ref="K9:N9"/>
    <mergeCell ref="M10:N10"/>
    <mergeCell ref="K10:L10"/>
    <mergeCell ref="I9:J10"/>
    <mergeCell ref="A55:S55"/>
    <mergeCell ref="A54:S54"/>
    <mergeCell ref="A48:G48"/>
    <mergeCell ref="A53:G53"/>
  </mergeCells>
  <printOptions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&amp;RState and Local Law Enforcement Assistance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74"/>
  <sheetViews>
    <sheetView showGridLines="0" showOutlineSymbols="0" view="pageBreakPreview" zoomScale="50" zoomScaleNormal="75" zoomScaleSheetLayoutView="50" zoomScalePageLayoutView="0" workbookViewId="0" topLeftCell="A1">
      <selection activeCell="B18" sqref="B18"/>
    </sheetView>
  </sheetViews>
  <sheetFormatPr defaultColWidth="9.6640625" defaultRowHeight="15"/>
  <cols>
    <col min="1" max="1" width="3.77734375" style="10" customWidth="1"/>
    <col min="2" max="2" width="52.6640625" style="10" customWidth="1"/>
    <col min="3" max="3" width="5.6640625" style="10" customWidth="1"/>
    <col min="4" max="4" width="6.77734375" style="10" customWidth="1"/>
    <col min="5" max="5" width="14.21484375" style="10" customWidth="1"/>
    <col min="6" max="6" width="5.77734375" style="10" customWidth="1"/>
    <col min="7" max="7" width="5.6640625" style="10" customWidth="1"/>
    <col min="8" max="8" width="12.3359375" style="10" customWidth="1"/>
    <col min="9" max="9" width="5.5546875" style="10" customWidth="1"/>
    <col min="10" max="10" width="5.6640625" style="10" customWidth="1"/>
    <col min="11" max="11" width="10.88671875" style="10" customWidth="1"/>
    <col min="12" max="13" width="5.6640625" style="10" customWidth="1"/>
    <col min="14" max="14" width="11.6640625" style="10" customWidth="1"/>
    <col min="15" max="15" width="5.6640625" style="10" customWidth="1"/>
    <col min="16" max="16" width="6.77734375" style="10" customWidth="1"/>
    <col min="17" max="17" width="13.77734375" style="10" customWidth="1"/>
    <col min="18" max="18" width="0.9921875" style="512" customWidth="1"/>
    <col min="19" max="16384" width="9.6640625" style="10" customWidth="1"/>
  </cols>
  <sheetData>
    <row r="1" spans="1:18" ht="20.25">
      <c r="A1" s="590" t="s">
        <v>64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490"/>
    </row>
    <row r="2" ht="15.75">
      <c r="R2" s="490"/>
    </row>
    <row r="3" spans="1:18" ht="18.75">
      <c r="A3" s="676" t="s">
        <v>67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490"/>
    </row>
    <row r="4" spans="1:18" ht="16.5">
      <c r="A4" s="678" t="str">
        <f>+'B. Summary of Requirements '!A5</f>
        <v>Office of Justice Programs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490"/>
    </row>
    <row r="5" spans="1:18" ht="16.5">
      <c r="A5" s="678" t="str">
        <f>+'B. Summary of Requirements '!A6</f>
        <v>State and Local Law Enforcement Assistance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490"/>
    </row>
    <row r="6" spans="1:18" ht="15.75">
      <c r="A6" s="673" t="s">
        <v>6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490"/>
    </row>
    <row r="7" spans="6:18" ht="15.75">
      <c r="F7" s="11"/>
      <c r="G7" s="11"/>
      <c r="H7" s="11"/>
      <c r="I7" s="11"/>
      <c r="J7" s="11"/>
      <c r="K7" s="11"/>
      <c r="R7" s="490"/>
    </row>
    <row r="8" spans="3:18" ht="15.75">
      <c r="C8" s="11"/>
      <c r="D8" s="11"/>
      <c r="E8" s="11"/>
      <c r="F8" s="11"/>
      <c r="G8" s="11"/>
      <c r="H8" s="11"/>
      <c r="I8" s="11"/>
      <c r="J8" s="11"/>
      <c r="K8" s="11"/>
      <c r="P8" s="11"/>
      <c r="Q8" s="11"/>
      <c r="R8" s="176"/>
    </row>
    <row r="9" spans="1:18" ht="15.75">
      <c r="A9" s="491"/>
      <c r="B9" s="80"/>
      <c r="C9" s="692" t="s">
        <v>0</v>
      </c>
      <c r="D9" s="693"/>
      <c r="E9" s="694"/>
      <c r="F9" s="683" t="s">
        <v>14</v>
      </c>
      <c r="G9" s="612"/>
      <c r="H9" s="613"/>
      <c r="I9" s="692" t="s">
        <v>126</v>
      </c>
      <c r="J9" s="693"/>
      <c r="K9" s="694"/>
      <c r="L9" s="692" t="s">
        <v>127</v>
      </c>
      <c r="M9" s="693"/>
      <c r="N9" s="694"/>
      <c r="O9" s="692" t="s">
        <v>68</v>
      </c>
      <c r="P9" s="693"/>
      <c r="Q9" s="694"/>
      <c r="R9" s="176"/>
    </row>
    <row r="10" spans="1:18" ht="15.75">
      <c r="A10" s="308"/>
      <c r="B10" s="156"/>
      <c r="C10" s="695"/>
      <c r="D10" s="696"/>
      <c r="E10" s="697"/>
      <c r="F10" s="614"/>
      <c r="G10" s="615"/>
      <c r="H10" s="616"/>
      <c r="I10" s="695"/>
      <c r="J10" s="696"/>
      <c r="K10" s="697"/>
      <c r="L10" s="695"/>
      <c r="M10" s="696"/>
      <c r="N10" s="697"/>
      <c r="O10" s="695"/>
      <c r="P10" s="696"/>
      <c r="Q10" s="697"/>
      <c r="R10" s="176"/>
    </row>
    <row r="11" spans="1:18" ht="16.5" thickBot="1">
      <c r="A11" s="303" t="s">
        <v>164</v>
      </c>
      <c r="B11" s="86"/>
      <c r="C11" s="305" t="s">
        <v>20</v>
      </c>
      <c r="D11" s="306" t="s">
        <v>165</v>
      </c>
      <c r="E11" s="306" t="s">
        <v>22</v>
      </c>
      <c r="F11" s="305" t="s">
        <v>20</v>
      </c>
      <c r="G11" s="306" t="s">
        <v>165</v>
      </c>
      <c r="H11" s="306" t="s">
        <v>22</v>
      </c>
      <c r="I11" s="305" t="s">
        <v>20</v>
      </c>
      <c r="J11" s="306" t="s">
        <v>165</v>
      </c>
      <c r="K11" s="306" t="s">
        <v>22</v>
      </c>
      <c r="L11" s="305" t="s">
        <v>20</v>
      </c>
      <c r="M11" s="306" t="s">
        <v>165</v>
      </c>
      <c r="N11" s="306" t="s">
        <v>22</v>
      </c>
      <c r="O11" s="305" t="s">
        <v>20</v>
      </c>
      <c r="P11" s="306" t="s">
        <v>165</v>
      </c>
      <c r="Q11" s="87" t="s">
        <v>22</v>
      </c>
      <c r="R11" s="176"/>
    </row>
    <row r="12" spans="1:18" ht="15.75">
      <c r="A12" s="698" t="s">
        <v>87</v>
      </c>
      <c r="B12" s="699"/>
      <c r="C12" s="348"/>
      <c r="D12" s="349"/>
      <c r="E12" s="349">
        <v>170433</v>
      </c>
      <c r="F12" s="340"/>
      <c r="G12" s="339"/>
      <c r="H12" s="339">
        <f>-(608.569+3934.07+5.389)</f>
        <v>-4548.028</v>
      </c>
      <c r="I12" s="340"/>
      <c r="J12" s="339"/>
      <c r="K12" s="492"/>
      <c r="L12" s="340"/>
      <c r="M12" s="339"/>
      <c r="N12" s="339">
        <f>2532.717+608.569+10487.47+198.672+1371.258+5.389</f>
        <v>15204.074999999999</v>
      </c>
      <c r="O12" s="340"/>
      <c r="P12" s="339"/>
      <c r="Q12" s="208">
        <f>E12+H12++K12+N12</f>
        <v>181089.04700000002</v>
      </c>
      <c r="R12" s="176"/>
    </row>
    <row r="13" spans="1:18" ht="15.75">
      <c r="A13" s="325" t="s">
        <v>88</v>
      </c>
      <c r="B13" s="493"/>
      <c r="C13" s="348"/>
      <c r="D13" s="349"/>
      <c r="E13" s="349">
        <v>187513</v>
      </c>
      <c r="F13" s="340"/>
      <c r="G13" s="339"/>
      <c r="H13" s="339">
        <f>-(3617.774+0)</f>
        <v>-3617.774</v>
      </c>
      <c r="I13" s="340"/>
      <c r="J13" s="339"/>
      <c r="K13" s="350"/>
      <c r="L13" s="340"/>
      <c r="M13" s="339"/>
      <c r="N13" s="339">
        <f>1834.729+4201.885+19000+0</f>
        <v>25036.614</v>
      </c>
      <c r="O13" s="340"/>
      <c r="P13" s="339"/>
      <c r="Q13" s="208">
        <f>E13+H13+K13+N13</f>
        <v>208931.84</v>
      </c>
      <c r="R13" s="176"/>
    </row>
    <row r="14" spans="1:18" ht="15.75">
      <c r="A14" s="325" t="s">
        <v>86</v>
      </c>
      <c r="B14" s="493"/>
      <c r="C14" s="354"/>
      <c r="D14" s="355"/>
      <c r="E14" s="355">
        <v>410000</v>
      </c>
      <c r="F14" s="340"/>
      <c r="G14" s="339"/>
      <c r="H14" s="339">
        <v>-103.436</v>
      </c>
      <c r="I14" s="340"/>
      <c r="J14" s="339"/>
      <c r="K14" s="350"/>
      <c r="L14" s="340"/>
      <c r="M14" s="339"/>
      <c r="N14" s="339">
        <f>385444.673+103.436</f>
        <v>385548.109</v>
      </c>
      <c r="O14" s="340"/>
      <c r="P14" s="339"/>
      <c r="Q14" s="208">
        <f aca="true" t="shared" si="0" ref="Q14:Q29">E14+H14+K14+N14</f>
        <v>795444.673</v>
      </c>
      <c r="R14" s="176"/>
    </row>
    <row r="15" spans="1:18" ht="15.75">
      <c r="A15" s="325" t="s">
        <v>92</v>
      </c>
      <c r="B15" s="493"/>
      <c r="C15" s="354"/>
      <c r="D15" s="355"/>
      <c r="E15" s="355">
        <v>30080</v>
      </c>
      <c r="F15" s="340"/>
      <c r="G15" s="339"/>
      <c r="H15" s="339">
        <v>-965.643</v>
      </c>
      <c r="I15" s="340"/>
      <c r="J15" s="339"/>
      <c r="K15" s="350"/>
      <c r="L15" s="340"/>
      <c r="M15" s="339"/>
      <c r="N15" s="339">
        <f>26926.517+965.643</f>
        <v>27892.16</v>
      </c>
      <c r="O15" s="340"/>
      <c r="P15" s="339"/>
      <c r="Q15" s="208">
        <f t="shared" si="0"/>
        <v>57006.517</v>
      </c>
      <c r="R15" s="176"/>
    </row>
    <row r="16" spans="1:18" ht="15.75">
      <c r="A16" s="325" t="s">
        <v>170</v>
      </c>
      <c r="B16" s="493"/>
      <c r="C16" s="354"/>
      <c r="D16" s="355"/>
      <c r="E16" s="355"/>
      <c r="F16" s="340"/>
      <c r="G16" s="339"/>
      <c r="H16" s="339"/>
      <c r="I16" s="340"/>
      <c r="J16" s="339"/>
      <c r="K16" s="350"/>
      <c r="L16" s="340"/>
      <c r="M16" s="339"/>
      <c r="N16" s="339"/>
      <c r="O16" s="340"/>
      <c r="P16" s="339"/>
      <c r="Q16" s="208">
        <f t="shared" si="0"/>
        <v>0</v>
      </c>
      <c r="R16" s="176"/>
    </row>
    <row r="17" spans="1:18" ht="15.75">
      <c r="A17" s="325"/>
      <c r="B17" s="493" t="s">
        <v>105</v>
      </c>
      <c r="C17" s="354"/>
      <c r="D17" s="355"/>
      <c r="E17" s="357">
        <v>8630</v>
      </c>
      <c r="F17" s="340"/>
      <c r="G17" s="339"/>
      <c r="H17" s="339">
        <v>-2017.329</v>
      </c>
      <c r="I17" s="340"/>
      <c r="J17" s="339"/>
      <c r="K17" s="350"/>
      <c r="L17" s="340"/>
      <c r="M17" s="339"/>
      <c r="N17" s="339">
        <f>10138.3+0</f>
        <v>10138.3</v>
      </c>
      <c r="O17" s="340"/>
      <c r="P17" s="339"/>
      <c r="Q17" s="208">
        <f t="shared" si="0"/>
        <v>16750.970999999998</v>
      </c>
      <c r="R17" s="176"/>
    </row>
    <row r="18" spans="1:18" ht="15.75">
      <c r="A18" s="325"/>
      <c r="B18" s="493" t="s">
        <v>106</v>
      </c>
      <c r="C18" s="354"/>
      <c r="D18" s="355"/>
      <c r="E18" s="357">
        <v>8630</v>
      </c>
      <c r="F18" s="340"/>
      <c r="G18" s="339"/>
      <c r="H18" s="339">
        <v>-1703.556</v>
      </c>
      <c r="I18" s="340"/>
      <c r="J18" s="339"/>
      <c r="K18" s="350"/>
      <c r="L18" s="340"/>
      <c r="M18" s="339"/>
      <c r="N18" s="339">
        <f>761.66+941.896</f>
        <v>1703.556</v>
      </c>
      <c r="O18" s="340"/>
      <c r="P18" s="339"/>
      <c r="Q18" s="208">
        <f t="shared" si="0"/>
        <v>8630</v>
      </c>
      <c r="R18" s="176"/>
    </row>
    <row r="19" spans="1:18" ht="15.75">
      <c r="A19" s="325"/>
      <c r="B19" s="493" t="s">
        <v>107</v>
      </c>
      <c r="C19" s="354"/>
      <c r="D19" s="355"/>
      <c r="E19" s="357">
        <v>5180</v>
      </c>
      <c r="F19" s="340"/>
      <c r="G19" s="339"/>
      <c r="H19" s="339">
        <v>-1390.071</v>
      </c>
      <c r="I19" s="340"/>
      <c r="J19" s="339"/>
      <c r="K19" s="350"/>
      <c r="L19" s="340"/>
      <c r="M19" s="339"/>
      <c r="N19" s="339">
        <f>1421.614+0</f>
        <v>1421.614</v>
      </c>
      <c r="O19" s="340"/>
      <c r="P19" s="339"/>
      <c r="Q19" s="208">
        <f t="shared" si="0"/>
        <v>5211.543</v>
      </c>
      <c r="R19" s="176"/>
    </row>
    <row r="20" spans="1:18" ht="15.75">
      <c r="A20" s="325" t="s">
        <v>97</v>
      </c>
      <c r="B20" s="493"/>
      <c r="C20" s="354"/>
      <c r="D20" s="355"/>
      <c r="E20" s="355">
        <v>9400</v>
      </c>
      <c r="F20" s="340"/>
      <c r="G20" s="339"/>
      <c r="H20" s="339">
        <v>-3146.817</v>
      </c>
      <c r="I20" s="340"/>
      <c r="J20" s="339"/>
      <c r="K20" s="350"/>
      <c r="L20" s="340"/>
      <c r="M20" s="339"/>
      <c r="N20" s="339">
        <f>7104.684+192.133</f>
        <v>7296.817</v>
      </c>
      <c r="O20" s="340"/>
      <c r="P20" s="339"/>
      <c r="Q20" s="208">
        <f t="shared" si="0"/>
        <v>13550</v>
      </c>
      <c r="R20" s="176"/>
    </row>
    <row r="21" spans="1:18" ht="15.75">
      <c r="A21" s="325" t="s">
        <v>168</v>
      </c>
      <c r="B21" s="493"/>
      <c r="C21" s="354"/>
      <c r="D21" s="355"/>
      <c r="E21" s="355">
        <v>9400</v>
      </c>
      <c r="F21" s="340"/>
      <c r="G21" s="339"/>
      <c r="H21" s="339">
        <v>-2298.501</v>
      </c>
      <c r="I21" s="340"/>
      <c r="J21" s="339"/>
      <c r="K21" s="350"/>
      <c r="L21" s="340"/>
      <c r="M21" s="339"/>
      <c r="N21" s="339">
        <f>579.678+1718.823</f>
        <v>2298.501</v>
      </c>
      <c r="O21" s="340"/>
      <c r="P21" s="339"/>
      <c r="Q21" s="208">
        <f t="shared" si="0"/>
        <v>9400</v>
      </c>
      <c r="R21" s="176"/>
    </row>
    <row r="22" spans="1:18" ht="15.75">
      <c r="A22" s="325" t="s">
        <v>99</v>
      </c>
      <c r="B22" s="493"/>
      <c r="C22" s="354"/>
      <c r="D22" s="355"/>
      <c r="E22" s="355">
        <v>7050</v>
      </c>
      <c r="F22" s="340"/>
      <c r="G22" s="339"/>
      <c r="H22" s="339">
        <v>-408.151</v>
      </c>
      <c r="I22" s="340"/>
      <c r="J22" s="339"/>
      <c r="K22" s="350"/>
      <c r="L22" s="340"/>
      <c r="M22" s="339"/>
      <c r="N22" s="339">
        <f>1549.664+8.151</f>
        <v>1557.815</v>
      </c>
      <c r="O22" s="340"/>
      <c r="P22" s="339"/>
      <c r="Q22" s="208">
        <f t="shared" si="0"/>
        <v>8199.664</v>
      </c>
      <c r="R22" s="176"/>
    </row>
    <row r="23" spans="1:18" ht="15.75">
      <c r="A23" s="325" t="s">
        <v>100</v>
      </c>
      <c r="B23" s="493"/>
      <c r="C23" s="354"/>
      <c r="D23" s="355"/>
      <c r="E23" s="355">
        <v>17860</v>
      </c>
      <c r="F23" s="340"/>
      <c r="G23" s="339"/>
      <c r="H23" s="339">
        <f>-(107.58+324.318)</f>
        <v>-431.89799999999997</v>
      </c>
      <c r="I23" s="340"/>
      <c r="J23" s="339"/>
      <c r="K23" s="350"/>
      <c r="L23" s="340"/>
      <c r="M23" s="339"/>
      <c r="N23" s="339">
        <f>1763.146+107.59+1112.603+324.318</f>
        <v>3307.657</v>
      </c>
      <c r="O23" s="340"/>
      <c r="P23" s="339"/>
      <c r="Q23" s="208">
        <f t="shared" si="0"/>
        <v>20735.759</v>
      </c>
      <c r="R23" s="176"/>
    </row>
    <row r="24" spans="1:18" ht="15.75">
      <c r="A24" s="325" t="s">
        <v>169</v>
      </c>
      <c r="B24" s="493"/>
      <c r="C24" s="354"/>
      <c r="D24" s="355"/>
      <c r="E24" s="355">
        <v>940</v>
      </c>
      <c r="F24" s="340"/>
      <c r="G24" s="339"/>
      <c r="H24" s="350"/>
      <c r="I24" s="340"/>
      <c r="J24" s="339"/>
      <c r="K24" s="350"/>
      <c r="L24" s="340"/>
      <c r="M24" s="339"/>
      <c r="N24" s="339"/>
      <c r="O24" s="340"/>
      <c r="P24" s="339"/>
      <c r="Q24" s="208">
        <f t="shared" si="0"/>
        <v>940</v>
      </c>
      <c r="R24" s="176"/>
    </row>
    <row r="25" spans="1:18" ht="15.75">
      <c r="A25" s="325" t="s">
        <v>102</v>
      </c>
      <c r="B25" s="493"/>
      <c r="C25" s="354"/>
      <c r="D25" s="355"/>
      <c r="E25" s="355">
        <v>2500</v>
      </c>
      <c r="F25" s="340"/>
      <c r="G25" s="339"/>
      <c r="H25" s="339">
        <v>-124.779</v>
      </c>
      <c r="I25" s="340"/>
      <c r="J25" s="339"/>
      <c r="K25" s="350"/>
      <c r="L25" s="340"/>
      <c r="M25" s="339"/>
      <c r="N25" s="339">
        <f>6.973+117.806</f>
        <v>124.779</v>
      </c>
      <c r="O25" s="340"/>
      <c r="P25" s="339"/>
      <c r="Q25" s="208">
        <f t="shared" si="0"/>
        <v>2500</v>
      </c>
      <c r="R25" s="176"/>
    </row>
    <row r="26" spans="1:18" ht="15.75">
      <c r="A26" s="700" t="s">
        <v>167</v>
      </c>
      <c r="B26" s="701"/>
      <c r="C26" s="348"/>
      <c r="D26" s="349"/>
      <c r="E26" s="349">
        <v>100000</v>
      </c>
      <c r="F26" s="340"/>
      <c r="G26" s="339"/>
      <c r="H26" s="350"/>
      <c r="I26" s="340"/>
      <c r="J26" s="339"/>
      <c r="K26" s="350"/>
      <c r="L26" s="340"/>
      <c r="M26" s="339"/>
      <c r="N26" s="339"/>
      <c r="O26" s="340"/>
      <c r="P26" s="339"/>
      <c r="Q26" s="208">
        <f t="shared" si="0"/>
        <v>100000</v>
      </c>
      <c r="R26" s="176"/>
    </row>
    <row r="27" spans="1:18" ht="15.75">
      <c r="A27" s="325" t="s">
        <v>93</v>
      </c>
      <c r="B27" s="493"/>
      <c r="C27" s="354"/>
      <c r="D27" s="355"/>
      <c r="E27" s="355">
        <v>2820</v>
      </c>
      <c r="F27" s="340"/>
      <c r="G27" s="339"/>
      <c r="H27" s="339"/>
      <c r="I27" s="340"/>
      <c r="J27" s="339"/>
      <c r="K27" s="350"/>
      <c r="L27" s="340"/>
      <c r="M27" s="339"/>
      <c r="N27" s="339"/>
      <c r="O27" s="340"/>
      <c r="P27" s="339"/>
      <c r="Q27" s="208">
        <f t="shared" si="0"/>
        <v>2820</v>
      </c>
      <c r="R27" s="176"/>
    </row>
    <row r="28" spans="1:18" ht="15.75">
      <c r="A28" s="325" t="s">
        <v>89</v>
      </c>
      <c r="B28" s="493"/>
      <c r="C28" s="348"/>
      <c r="D28" s="349"/>
      <c r="E28" s="349">
        <v>16000</v>
      </c>
      <c r="F28" s="340"/>
      <c r="G28" s="339"/>
      <c r="H28" s="339"/>
      <c r="I28" s="340"/>
      <c r="J28" s="339"/>
      <c r="K28" s="350"/>
      <c r="L28" s="340"/>
      <c r="M28" s="339"/>
      <c r="N28" s="339"/>
      <c r="O28" s="340"/>
      <c r="P28" s="339"/>
      <c r="Q28" s="208">
        <f t="shared" si="0"/>
        <v>16000</v>
      </c>
      <c r="R28" s="176"/>
    </row>
    <row r="29" spans="1:18" ht="15.75">
      <c r="A29" s="325" t="s">
        <v>266</v>
      </c>
      <c r="B29" s="493"/>
      <c r="C29" s="354"/>
      <c r="D29" s="355"/>
      <c r="E29" s="355">
        <v>21700</v>
      </c>
      <c r="F29" s="340"/>
      <c r="G29" s="339"/>
      <c r="H29" s="339">
        <f>-(2689.131+76.59)</f>
        <v>-2765.721</v>
      </c>
      <c r="I29" s="340"/>
      <c r="J29" s="339"/>
      <c r="K29" s="350"/>
      <c r="L29" s="340"/>
      <c r="M29" s="339"/>
      <c r="N29" s="339">
        <f>3054.71+1120.289+954.126+48.882</f>
        <v>5178.007</v>
      </c>
      <c r="O29" s="340"/>
      <c r="P29" s="339"/>
      <c r="Q29" s="208">
        <f t="shared" si="0"/>
        <v>24112.286</v>
      </c>
      <c r="R29" s="176"/>
    </row>
    <row r="30" spans="1:18" ht="15.75">
      <c r="A30" s="482" t="s">
        <v>109</v>
      </c>
      <c r="B30" s="493"/>
      <c r="C30" s="354"/>
      <c r="D30" s="355"/>
      <c r="E30" s="357" t="s">
        <v>136</v>
      </c>
      <c r="F30" s="340"/>
      <c r="G30" s="339"/>
      <c r="H30" s="494" t="s">
        <v>267</v>
      </c>
      <c r="I30" s="340"/>
      <c r="J30" s="339"/>
      <c r="K30" s="350"/>
      <c r="L30" s="340"/>
      <c r="M30" s="339"/>
      <c r="N30" s="495" t="s">
        <v>269</v>
      </c>
      <c r="O30" s="340"/>
      <c r="P30" s="339"/>
      <c r="Q30" s="496" t="s">
        <v>271</v>
      </c>
      <c r="R30" s="176"/>
    </row>
    <row r="31" spans="1:18" ht="15.75">
      <c r="A31" s="482" t="s">
        <v>140</v>
      </c>
      <c r="B31" s="493"/>
      <c r="C31" s="354"/>
      <c r="D31" s="355"/>
      <c r="E31" s="357" t="s">
        <v>137</v>
      </c>
      <c r="F31" s="340"/>
      <c r="G31" s="339"/>
      <c r="H31" s="494" t="s">
        <v>268</v>
      </c>
      <c r="I31" s="340"/>
      <c r="J31" s="339"/>
      <c r="K31" s="350"/>
      <c r="L31" s="340"/>
      <c r="M31" s="339"/>
      <c r="N31" s="494" t="s">
        <v>270</v>
      </c>
      <c r="O31" s="340"/>
      <c r="P31" s="339"/>
      <c r="Q31" s="496" t="s">
        <v>272</v>
      </c>
      <c r="R31" s="176"/>
    </row>
    <row r="32" spans="1:18" ht="15.75">
      <c r="A32" s="325" t="s">
        <v>279</v>
      </c>
      <c r="B32" s="493"/>
      <c r="C32" s="354"/>
      <c r="D32" s="355"/>
      <c r="E32" s="355"/>
      <c r="F32" s="340"/>
      <c r="G32" s="339"/>
      <c r="H32" s="339">
        <v>0</v>
      </c>
      <c r="I32" s="340"/>
      <c r="J32" s="339"/>
      <c r="K32" s="350">
        <v>186166</v>
      </c>
      <c r="L32" s="340"/>
      <c r="M32" s="339"/>
      <c r="N32" s="339">
        <v>0</v>
      </c>
      <c r="O32" s="340"/>
      <c r="P32" s="339"/>
      <c r="Q32" s="208">
        <f aca="true" t="shared" si="1" ref="Q32:Q42">E32+H32+K32+N32</f>
        <v>186166</v>
      </c>
      <c r="R32" s="176"/>
    </row>
    <row r="33" spans="1:18" s="321" customFormat="1" ht="15.75">
      <c r="A33" s="497" t="s">
        <v>299</v>
      </c>
      <c r="B33" s="498"/>
      <c r="C33" s="348"/>
      <c r="D33" s="349"/>
      <c r="E33" s="351"/>
      <c r="F33" s="348"/>
      <c r="G33" s="349"/>
      <c r="H33" s="323">
        <v>-414</v>
      </c>
      <c r="I33" s="348"/>
      <c r="J33" s="349"/>
      <c r="K33" s="351"/>
      <c r="L33" s="348"/>
      <c r="M33" s="349"/>
      <c r="N33" s="419">
        <f>61.12+0</f>
        <v>61.12</v>
      </c>
      <c r="O33" s="340"/>
      <c r="P33" s="339"/>
      <c r="Q33" s="208">
        <f t="shared" si="1"/>
        <v>-352.88</v>
      </c>
      <c r="R33" s="519"/>
    </row>
    <row r="34" spans="1:18" s="321" customFormat="1" ht="15.75">
      <c r="A34" s="325" t="s">
        <v>247</v>
      </c>
      <c r="B34" s="334"/>
      <c r="C34" s="348"/>
      <c r="D34" s="349"/>
      <c r="E34" s="351"/>
      <c r="F34" s="348"/>
      <c r="G34" s="349"/>
      <c r="H34" s="323">
        <v>-1422.907</v>
      </c>
      <c r="I34" s="348"/>
      <c r="J34" s="349"/>
      <c r="K34" s="351"/>
      <c r="L34" s="348"/>
      <c r="M34" s="349"/>
      <c r="N34" s="351">
        <f>1367.83+55.077</f>
        <v>1422.907</v>
      </c>
      <c r="O34" s="340"/>
      <c r="P34" s="339"/>
      <c r="Q34" s="208">
        <f t="shared" si="1"/>
        <v>0</v>
      </c>
      <c r="R34" s="519"/>
    </row>
    <row r="35" spans="1:18" s="321" customFormat="1" ht="15.75">
      <c r="A35" s="325" t="s">
        <v>241</v>
      </c>
      <c r="B35" s="334"/>
      <c r="C35" s="348"/>
      <c r="D35" s="349"/>
      <c r="E35" s="351"/>
      <c r="F35" s="348"/>
      <c r="G35" s="349"/>
      <c r="H35" s="323">
        <v>-3996.451</v>
      </c>
      <c r="I35" s="348"/>
      <c r="J35" s="349"/>
      <c r="K35" s="351"/>
      <c r="L35" s="348"/>
      <c r="M35" s="349"/>
      <c r="N35" s="351">
        <f>1564.46+2431.991</f>
        <v>3996.451</v>
      </c>
      <c r="O35" s="340"/>
      <c r="P35" s="339"/>
      <c r="Q35" s="208">
        <f t="shared" si="1"/>
        <v>0</v>
      </c>
      <c r="R35" s="519"/>
    </row>
    <row r="36" spans="1:18" s="321" customFormat="1" ht="15.75">
      <c r="A36" s="325" t="s">
        <v>243</v>
      </c>
      <c r="B36" s="334"/>
      <c r="C36" s="348"/>
      <c r="D36" s="349"/>
      <c r="E36" s="351"/>
      <c r="F36" s="348"/>
      <c r="G36" s="349"/>
      <c r="H36" s="323">
        <v>-3064.414</v>
      </c>
      <c r="I36" s="348"/>
      <c r="J36" s="349"/>
      <c r="K36" s="351"/>
      <c r="L36" s="348"/>
      <c r="M36" s="349"/>
      <c r="N36" s="351">
        <f>3064.368+0.063</f>
        <v>3064.431</v>
      </c>
      <c r="O36" s="340"/>
      <c r="P36" s="339"/>
      <c r="Q36" s="208">
        <f t="shared" si="1"/>
        <v>0.016999999999825377</v>
      </c>
      <c r="R36" s="519"/>
    </row>
    <row r="37" spans="1:18" s="321" customFormat="1" ht="15.75">
      <c r="A37" s="325" t="s">
        <v>242</v>
      </c>
      <c r="B37" s="334"/>
      <c r="C37" s="348"/>
      <c r="D37" s="349"/>
      <c r="E37" s="351"/>
      <c r="F37" s="348"/>
      <c r="G37" s="349"/>
      <c r="H37" s="323">
        <v>-9.605</v>
      </c>
      <c r="I37" s="348"/>
      <c r="J37" s="349"/>
      <c r="K37" s="351"/>
      <c r="L37" s="348"/>
      <c r="M37" s="349"/>
      <c r="N37" s="351">
        <f>9.605+0</f>
        <v>9.605</v>
      </c>
      <c r="O37" s="340"/>
      <c r="P37" s="339"/>
      <c r="Q37" s="208">
        <f t="shared" si="1"/>
        <v>0</v>
      </c>
      <c r="R37" s="519"/>
    </row>
    <row r="38" spans="1:18" s="321" customFormat="1" ht="15.75">
      <c r="A38" s="325" t="s">
        <v>244</v>
      </c>
      <c r="B38" s="334"/>
      <c r="C38" s="348"/>
      <c r="D38" s="349"/>
      <c r="E38" s="351"/>
      <c r="F38" s="348"/>
      <c r="G38" s="349"/>
      <c r="H38" s="323">
        <v>-125.481</v>
      </c>
      <c r="I38" s="348"/>
      <c r="J38" s="349"/>
      <c r="K38" s="351"/>
      <c r="L38" s="348"/>
      <c r="M38" s="349"/>
      <c r="N38" s="351">
        <f>125.481+0</f>
        <v>125.481</v>
      </c>
      <c r="O38" s="340"/>
      <c r="P38" s="339"/>
      <c r="Q38" s="208">
        <f t="shared" si="1"/>
        <v>0</v>
      </c>
      <c r="R38" s="519"/>
    </row>
    <row r="39" spans="1:18" s="321" customFormat="1" ht="15.75">
      <c r="A39" s="325" t="s">
        <v>300</v>
      </c>
      <c r="B39" s="334"/>
      <c r="C39" s="348"/>
      <c r="D39" s="349"/>
      <c r="E39" s="351"/>
      <c r="F39" s="348"/>
      <c r="G39" s="349"/>
      <c r="H39" s="323">
        <v>-203</v>
      </c>
      <c r="I39" s="348"/>
      <c r="J39" s="349"/>
      <c r="K39" s="351"/>
      <c r="L39" s="348"/>
      <c r="M39" s="349"/>
      <c r="N39" s="351"/>
      <c r="O39" s="340"/>
      <c r="P39" s="339"/>
      <c r="Q39" s="208"/>
      <c r="R39" s="519"/>
    </row>
    <row r="40" spans="1:18" s="321" customFormat="1" ht="15.75">
      <c r="A40" s="325" t="s">
        <v>301</v>
      </c>
      <c r="B40" s="334"/>
      <c r="C40" s="348"/>
      <c r="D40" s="349"/>
      <c r="E40" s="351"/>
      <c r="F40" s="348"/>
      <c r="G40" s="349"/>
      <c r="H40" s="323">
        <v>-217</v>
      </c>
      <c r="I40" s="348"/>
      <c r="J40" s="349"/>
      <c r="K40" s="351"/>
      <c r="L40" s="348"/>
      <c r="M40" s="349"/>
      <c r="N40" s="351">
        <f>0+16385.926</f>
        <v>16385.926</v>
      </c>
      <c r="O40" s="340"/>
      <c r="P40" s="339"/>
      <c r="Q40" s="208">
        <f t="shared" si="1"/>
        <v>16168.926</v>
      </c>
      <c r="R40" s="519"/>
    </row>
    <row r="41" spans="1:18" s="321" customFormat="1" ht="15.75">
      <c r="A41" s="325" t="s">
        <v>245</v>
      </c>
      <c r="B41" s="334"/>
      <c r="C41" s="348"/>
      <c r="D41" s="349"/>
      <c r="E41" s="351"/>
      <c r="F41" s="348"/>
      <c r="G41" s="349"/>
      <c r="H41" s="323">
        <f>-8490.085-16299-1</f>
        <v>-24790.085</v>
      </c>
      <c r="I41" s="348"/>
      <c r="J41" s="349"/>
      <c r="K41" s="351"/>
      <c r="L41" s="348"/>
      <c r="M41" s="349"/>
      <c r="N41" s="351">
        <f>0+8490.085</f>
        <v>8490.085</v>
      </c>
      <c r="O41" s="340"/>
      <c r="P41" s="339"/>
      <c r="Q41" s="208">
        <f t="shared" si="1"/>
        <v>-16300</v>
      </c>
      <c r="R41" s="519"/>
    </row>
    <row r="42" spans="1:31" s="502" customFormat="1" ht="15.75">
      <c r="A42" s="499" t="s">
        <v>246</v>
      </c>
      <c r="B42" s="321"/>
      <c r="C42" s="348"/>
      <c r="D42" s="349"/>
      <c r="E42" s="383"/>
      <c r="F42" s="349"/>
      <c r="G42" s="349"/>
      <c r="H42" s="349">
        <v>-14.164</v>
      </c>
      <c r="I42" s="349"/>
      <c r="J42" s="349"/>
      <c r="K42" s="351"/>
      <c r="L42" s="348"/>
      <c r="M42" s="349"/>
      <c r="N42" s="351">
        <f>0+14.164</f>
        <v>14.164</v>
      </c>
      <c r="O42" s="340"/>
      <c r="P42" s="339"/>
      <c r="Q42" s="208">
        <f t="shared" si="1"/>
        <v>0</v>
      </c>
      <c r="R42" s="520"/>
      <c r="S42" s="500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501"/>
    </row>
    <row r="43" spans="1:18" s="80" customFormat="1" ht="15.75">
      <c r="A43" s="702" t="s">
        <v>27</v>
      </c>
      <c r="B43" s="703"/>
      <c r="C43" s="503">
        <f>SUM(C12:C32)</f>
        <v>0</v>
      </c>
      <c r="D43" s="504">
        <f>SUM(D12:D32)</f>
        <v>0</v>
      </c>
      <c r="E43" s="505">
        <f>SUM(E12:E32)</f>
        <v>1008136</v>
      </c>
      <c r="F43" s="503">
        <f>SUM(F12:F32)</f>
        <v>0</v>
      </c>
      <c r="G43" s="504">
        <f>SUM(G12:G32)</f>
        <v>0</v>
      </c>
      <c r="H43" s="522">
        <f>SUM(H12:H42)</f>
        <v>-57778.811</v>
      </c>
      <c r="I43" s="503">
        <f>SUM(I12:I32)</f>
        <v>0</v>
      </c>
      <c r="J43" s="504">
        <f>SUM(J12:J32)</f>
        <v>0</v>
      </c>
      <c r="K43" s="506">
        <f>SUM(K12:K42)</f>
        <v>186166</v>
      </c>
      <c r="L43" s="503">
        <f>SUM(L12:L32)</f>
        <v>0</v>
      </c>
      <c r="M43" s="504">
        <f>SUM(M12:M32)</f>
        <v>0</v>
      </c>
      <c r="N43" s="505">
        <f>SUM(N12:N42)</f>
        <v>520278.1739999999</v>
      </c>
      <c r="O43" s="503">
        <f>SUM(O12:O32)</f>
        <v>0</v>
      </c>
      <c r="P43" s="504">
        <f>SUM(P12:P32)</f>
        <v>0</v>
      </c>
      <c r="Q43" s="507">
        <f>SUM(Q12:Q42)</f>
        <v>1657004.3630000004</v>
      </c>
      <c r="R43" s="521"/>
    </row>
    <row r="44" spans="1:31" ht="15.75" hidden="1">
      <c r="A44" s="679" t="s">
        <v>9</v>
      </c>
      <c r="B44" s="680"/>
      <c r="C44" s="362" t="s">
        <v>21</v>
      </c>
      <c r="D44" s="361"/>
      <c r="E44" s="361"/>
      <c r="F44" s="362"/>
      <c r="G44" s="361"/>
      <c r="H44" s="361"/>
      <c r="I44" s="362"/>
      <c r="J44" s="361"/>
      <c r="K44" s="361"/>
      <c r="L44" s="362"/>
      <c r="M44" s="361"/>
      <c r="N44" s="361" t="s">
        <v>21</v>
      </c>
      <c r="O44" s="362"/>
      <c r="P44" s="361" t="e">
        <f>D44+G44+#REF!+J44+M44</f>
        <v>#REF!</v>
      </c>
      <c r="Q44" s="215"/>
      <c r="R44" s="17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18" ht="15.75" hidden="1">
      <c r="A45" s="679" t="s">
        <v>8</v>
      </c>
      <c r="B45" s="680"/>
      <c r="C45" s="508"/>
      <c r="D45" s="509">
        <f>SUM(D43:D44)</f>
        <v>0</v>
      </c>
      <c r="E45" s="509"/>
      <c r="F45" s="508"/>
      <c r="G45" s="509">
        <f>+G43+G44</f>
        <v>0</v>
      </c>
      <c r="H45" s="509"/>
      <c r="I45" s="508"/>
      <c r="J45" s="509">
        <f>+J43+J44</f>
        <v>0</v>
      </c>
      <c r="K45" s="509"/>
      <c r="L45" s="508"/>
      <c r="M45" s="509">
        <f>+M43+M44</f>
        <v>0</v>
      </c>
      <c r="N45" s="509"/>
      <c r="O45" s="508"/>
      <c r="P45" s="509" t="e">
        <f>SUM(P43:P44)</f>
        <v>#REF!</v>
      </c>
      <c r="Q45" s="510"/>
      <c r="R45" s="176"/>
    </row>
    <row r="46" spans="1:18" ht="15.75" hidden="1">
      <c r="A46" s="681" t="s">
        <v>10</v>
      </c>
      <c r="B46" s="682"/>
      <c r="C46" s="340"/>
      <c r="D46" s="339"/>
      <c r="E46" s="339"/>
      <c r="F46" s="340"/>
      <c r="G46" s="339"/>
      <c r="H46" s="339"/>
      <c r="I46" s="340"/>
      <c r="J46" s="339"/>
      <c r="K46" s="339"/>
      <c r="L46" s="340"/>
      <c r="M46" s="339"/>
      <c r="N46" s="339"/>
      <c r="O46" s="340"/>
      <c r="P46" s="339"/>
      <c r="Q46" s="208"/>
      <c r="R46" s="176"/>
    </row>
    <row r="47" spans="1:18" ht="15.75" hidden="1">
      <c r="A47" s="684" t="s">
        <v>171</v>
      </c>
      <c r="B47" s="685"/>
      <c r="C47" s="340"/>
      <c r="D47" s="339"/>
      <c r="E47" s="339"/>
      <c r="F47" s="340"/>
      <c r="G47" s="339"/>
      <c r="H47" s="339"/>
      <c r="I47" s="340"/>
      <c r="J47" s="339"/>
      <c r="K47" s="339"/>
      <c r="L47" s="340"/>
      <c r="M47" s="339"/>
      <c r="N47" s="339"/>
      <c r="O47" s="340"/>
      <c r="P47" s="339" t="e">
        <f>D47+G47+#REF!+J47+M47</f>
        <v>#REF!</v>
      </c>
      <c r="Q47" s="208"/>
      <c r="R47" s="176"/>
    </row>
    <row r="48" spans="1:18" ht="15.75" hidden="1">
      <c r="A48" s="704" t="s">
        <v>222</v>
      </c>
      <c r="B48" s="705"/>
      <c r="C48" s="362"/>
      <c r="D48" s="361"/>
      <c r="E48" s="361"/>
      <c r="F48" s="362"/>
      <c r="G48" s="361"/>
      <c r="H48" s="361"/>
      <c r="I48" s="362"/>
      <c r="J48" s="361"/>
      <c r="K48" s="361"/>
      <c r="L48" s="362"/>
      <c r="M48" s="361"/>
      <c r="N48" s="361"/>
      <c r="O48" s="362"/>
      <c r="P48" s="361" t="e">
        <f>D48+G48+#REF!+J48+M48</f>
        <v>#REF!</v>
      </c>
      <c r="Q48" s="215"/>
      <c r="R48" s="176"/>
    </row>
    <row r="49" spans="1:18" ht="15.75" hidden="1">
      <c r="A49" s="679" t="s">
        <v>11</v>
      </c>
      <c r="B49" s="680"/>
      <c r="C49" s="362"/>
      <c r="D49" s="361">
        <f>D48+D47+D45</f>
        <v>0</v>
      </c>
      <c r="E49" s="511"/>
      <c r="F49" s="362"/>
      <c r="G49" s="361">
        <f>G48+G47+G45</f>
        <v>0</v>
      </c>
      <c r="H49" s="511"/>
      <c r="I49" s="362"/>
      <c r="J49" s="361">
        <f>J48+J47+J45</f>
        <v>0</v>
      </c>
      <c r="K49" s="511"/>
      <c r="L49" s="362"/>
      <c r="M49" s="361">
        <f>M48+M47+M45</f>
        <v>0</v>
      </c>
      <c r="N49" s="511"/>
      <c r="O49" s="362"/>
      <c r="P49" s="361" t="e">
        <f>P48+P47+P45</f>
        <v>#REF!</v>
      </c>
      <c r="Q49" s="406"/>
      <c r="R49" s="176"/>
    </row>
    <row r="50" ht="15.75">
      <c r="R50" s="176"/>
    </row>
    <row r="51" ht="15.75">
      <c r="R51" s="176"/>
    </row>
    <row r="52" spans="1:18" ht="21" customHeight="1">
      <c r="A52" s="10" t="s">
        <v>292</v>
      </c>
      <c r="R52" s="176"/>
    </row>
    <row r="53" ht="15.75">
      <c r="R53" s="176"/>
    </row>
    <row r="54" spans="1:18" ht="29.25" customHeight="1">
      <c r="A54" s="548" t="s">
        <v>296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R54" s="176"/>
    </row>
    <row r="55" spans="1:18" ht="14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R55" s="176"/>
    </row>
    <row r="56" spans="1:18" ht="15.75">
      <c r="A56" s="10" t="s">
        <v>297</v>
      </c>
      <c r="R56" s="176"/>
    </row>
    <row r="57" spans="1:18" ht="15.75">
      <c r="A57" s="675"/>
      <c r="B57" s="675"/>
      <c r="C57" s="675"/>
      <c r="D57" s="67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675"/>
      <c r="R57" s="176"/>
    </row>
    <row r="58" ht="15.75">
      <c r="R58" s="10"/>
    </row>
    <row r="59" spans="1:8" ht="15.75">
      <c r="A59" s="102"/>
      <c r="B59" s="102"/>
      <c r="C59" s="102"/>
      <c r="D59" s="102"/>
      <c r="E59" s="102"/>
      <c r="F59" s="102"/>
      <c r="G59" s="102"/>
      <c r="H59" s="102"/>
    </row>
    <row r="60" spans="1:8" ht="15.75">
      <c r="A60" s="102"/>
      <c r="B60" s="102"/>
      <c r="C60" s="102"/>
      <c r="D60" s="102"/>
      <c r="E60" s="102"/>
      <c r="F60" s="102"/>
      <c r="G60" s="102"/>
      <c r="H60" s="102"/>
    </row>
    <row r="61" spans="1:17" ht="18.75">
      <c r="A61" s="687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  <c r="P61" s="688"/>
      <c r="Q61" s="688"/>
    </row>
    <row r="62" spans="1:17" ht="18.75">
      <c r="A62" s="51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  <row r="63" spans="1:17" ht="18.75">
      <c r="A63" s="689"/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</row>
    <row r="64" spans="1:17" ht="24" customHeight="1">
      <c r="A64" s="686"/>
      <c r="B64" s="563"/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</row>
    <row r="65" spans="1:17" ht="23.25" customHeight="1">
      <c r="A65" s="689"/>
      <c r="B65" s="690"/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90"/>
      <c r="Q65" s="690"/>
    </row>
    <row r="66" spans="1:17" ht="9.75" customHeight="1">
      <c r="A66" s="516"/>
      <c r="B66" s="516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</row>
    <row r="67" spans="1:17" ht="18.75">
      <c r="A67" s="689"/>
      <c r="B67" s="691"/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1"/>
      <c r="P67" s="691"/>
      <c r="Q67" s="691"/>
    </row>
    <row r="68" spans="1:17" ht="11.25" customHeight="1">
      <c r="A68" s="516"/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6"/>
    </row>
    <row r="69" spans="1:17" ht="18.75">
      <c r="A69" s="686"/>
      <c r="B69" s="690"/>
      <c r="C69" s="690"/>
      <c r="D69" s="690"/>
      <c r="E69" s="690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</row>
    <row r="70" spans="1:17" ht="7.5" customHeight="1">
      <c r="A70" s="514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</row>
    <row r="71" spans="1:17" ht="18.75">
      <c r="A71" s="517"/>
      <c r="B71" s="518"/>
      <c r="C71" s="515"/>
      <c r="D71" s="515"/>
      <c r="E71" s="515"/>
      <c r="F71" s="515"/>
      <c r="G71" s="515"/>
      <c r="H71" s="515"/>
      <c r="I71" s="515"/>
      <c r="J71" s="515"/>
      <c r="K71" s="515"/>
      <c r="L71" s="515"/>
      <c r="M71" s="515"/>
      <c r="N71" s="515"/>
      <c r="O71" s="515"/>
      <c r="P71" s="515"/>
      <c r="Q71" s="515"/>
    </row>
    <row r="72" spans="1:17" ht="11.25" customHeight="1">
      <c r="A72" s="516"/>
      <c r="B72" s="516"/>
      <c r="C72" s="516"/>
      <c r="D72" s="516"/>
      <c r="E72" s="516"/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516"/>
    </row>
    <row r="73" spans="1:17" ht="15" customHeight="1">
      <c r="A73" s="686"/>
      <c r="B73" s="563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</row>
    <row r="74" ht="15.75">
      <c r="Q74" s="176"/>
    </row>
  </sheetData>
  <sheetProtection/>
  <mergeCells count="28">
    <mergeCell ref="I9:K10"/>
    <mergeCell ref="L9:N10"/>
    <mergeCell ref="O9:Q10"/>
    <mergeCell ref="A49:B49"/>
    <mergeCell ref="C9:E10"/>
    <mergeCell ref="A12:B12"/>
    <mergeCell ref="A26:B26"/>
    <mergeCell ref="A44:B44"/>
    <mergeCell ref="A43:B43"/>
    <mergeCell ref="A48:B48"/>
    <mergeCell ref="A64:Q64"/>
    <mergeCell ref="A73:Q73"/>
    <mergeCell ref="A54:N54"/>
    <mergeCell ref="A61:Q61"/>
    <mergeCell ref="A63:Q63"/>
    <mergeCell ref="A65:Q65"/>
    <mergeCell ref="A67:Q67"/>
    <mergeCell ref="A69:Q69"/>
    <mergeCell ref="A6:Q6"/>
    <mergeCell ref="A57:Q57"/>
    <mergeCell ref="A1:Q1"/>
    <mergeCell ref="A3:Q3"/>
    <mergeCell ref="A4:Q4"/>
    <mergeCell ref="A5:Q5"/>
    <mergeCell ref="A45:B45"/>
    <mergeCell ref="A46:B46"/>
    <mergeCell ref="F9:H10"/>
    <mergeCell ref="A47:B47"/>
  </mergeCells>
  <printOptions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&amp;RState and Local Law Enforcement Assistance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H93"/>
  <sheetViews>
    <sheetView view="pageBreakPreview" zoomScale="60" zoomScalePageLayoutView="0" workbookViewId="0" topLeftCell="A1">
      <pane xSplit="2" ySplit="11" topLeftCell="J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V39" sqref="V39"/>
    </sheetView>
  </sheetViews>
  <sheetFormatPr defaultColWidth="8.88671875" defaultRowHeight="15"/>
  <cols>
    <col min="1" max="1" width="6.4453125" style="0" customWidth="1"/>
    <col min="2" max="2" width="52.88671875" style="0" customWidth="1"/>
    <col min="4" max="4" width="8.77734375" style="0" customWidth="1"/>
    <col min="5" max="5" width="10.3359375" style="171" customWidth="1"/>
    <col min="8" max="8" width="9.21484375" style="0" bestFit="1" customWidth="1"/>
    <col min="11" max="11" width="10.10546875" style="0" bestFit="1" customWidth="1"/>
    <col min="14" max="14" width="9.6640625" style="0" customWidth="1"/>
    <col min="20" max="20" width="12.77734375" style="0" customWidth="1"/>
    <col min="22" max="22" width="9.10546875" style="0" bestFit="1" customWidth="1"/>
  </cols>
  <sheetData>
    <row r="1" spans="1:21" ht="20.25">
      <c r="A1" s="706" t="s">
        <v>65</v>
      </c>
      <c r="B1" s="707"/>
      <c r="C1" s="707"/>
      <c r="D1" s="707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298"/>
      <c r="U1" s="197"/>
    </row>
    <row r="2" spans="1:21" ht="15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298"/>
      <c r="U2" s="197"/>
    </row>
    <row r="3" spans="1:21" s="13" customFormat="1" ht="18.75">
      <c r="A3" s="676" t="s">
        <v>61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195"/>
    </row>
    <row r="4" spans="1:21" s="13" customFormat="1" ht="16.5">
      <c r="A4" s="678" t="str">
        <f>+'B. Summary of Requirements '!A5</f>
        <v>Office of Justice Programs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195"/>
    </row>
    <row r="5" spans="1:21" s="13" customFormat="1" ht="16.5">
      <c r="A5" s="678" t="str">
        <f>+'B. Summary of Requirements '!A6</f>
        <v>State and Local Law Enforcement Assistance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195"/>
    </row>
    <row r="6" spans="1:21" s="13" customFormat="1" ht="15.75">
      <c r="A6" s="673" t="s">
        <v>6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195"/>
    </row>
    <row r="7" spans="1:21" s="13" customFormat="1" ht="15.75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0"/>
      <c r="P7" s="10"/>
      <c r="Q7" s="10"/>
      <c r="R7" s="10"/>
      <c r="S7" s="10"/>
      <c r="T7" s="10"/>
      <c r="U7" s="195"/>
    </row>
    <row r="8" spans="1:21" s="13" customFormat="1" ht="15.7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0"/>
      <c r="P8" s="10"/>
      <c r="Q8" s="10"/>
      <c r="R8" s="10"/>
      <c r="S8" s="11"/>
      <c r="T8" s="11"/>
      <c r="U8" s="195"/>
    </row>
    <row r="9" spans="1:21" s="200" customFormat="1" ht="16.5" customHeight="1">
      <c r="A9" s="299"/>
      <c r="B9" s="300"/>
      <c r="C9" s="692" t="s">
        <v>62</v>
      </c>
      <c r="D9" s="709"/>
      <c r="E9" s="710"/>
      <c r="F9" s="683" t="s">
        <v>14</v>
      </c>
      <c r="G9" s="714"/>
      <c r="H9" s="715"/>
      <c r="I9" s="683" t="s">
        <v>15</v>
      </c>
      <c r="J9" s="714"/>
      <c r="K9" s="715"/>
      <c r="L9" s="692" t="s">
        <v>126</v>
      </c>
      <c r="M9" s="709"/>
      <c r="N9" s="710"/>
      <c r="O9" s="692" t="s">
        <v>127</v>
      </c>
      <c r="P9" s="709"/>
      <c r="Q9" s="710"/>
      <c r="R9" s="692" t="s">
        <v>63</v>
      </c>
      <c r="S9" s="709"/>
      <c r="T9" s="710"/>
      <c r="U9" s="199"/>
    </row>
    <row r="10" spans="1:21" s="200" customFormat="1" ht="15.75">
      <c r="A10" s="301"/>
      <c r="B10" s="302"/>
      <c r="C10" s="711"/>
      <c r="D10" s="712"/>
      <c r="E10" s="713"/>
      <c r="F10" s="716"/>
      <c r="G10" s="717"/>
      <c r="H10" s="718"/>
      <c r="I10" s="716"/>
      <c r="J10" s="717"/>
      <c r="K10" s="718"/>
      <c r="L10" s="711"/>
      <c r="M10" s="712"/>
      <c r="N10" s="713"/>
      <c r="O10" s="711"/>
      <c r="P10" s="712"/>
      <c r="Q10" s="713"/>
      <c r="R10" s="711"/>
      <c r="S10" s="712"/>
      <c r="T10" s="713"/>
      <c r="U10" s="199"/>
    </row>
    <row r="11" spans="1:21" s="200" customFormat="1" ht="16.5" thickBot="1">
      <c r="A11" s="303" t="s">
        <v>164</v>
      </c>
      <c r="B11" s="304"/>
      <c r="C11" s="305" t="s">
        <v>20</v>
      </c>
      <c r="D11" s="306" t="s">
        <v>165</v>
      </c>
      <c r="E11" s="306" t="s">
        <v>22</v>
      </c>
      <c r="F11" s="305" t="s">
        <v>20</v>
      </c>
      <c r="G11" s="306" t="s">
        <v>165</v>
      </c>
      <c r="H11" s="306" t="s">
        <v>22</v>
      </c>
      <c r="I11" s="305" t="s">
        <v>20</v>
      </c>
      <c r="J11" s="306" t="s">
        <v>165</v>
      </c>
      <c r="K11" s="306" t="s">
        <v>22</v>
      </c>
      <c r="L11" s="305" t="s">
        <v>20</v>
      </c>
      <c r="M11" s="306" t="s">
        <v>165</v>
      </c>
      <c r="N11" s="306" t="s">
        <v>22</v>
      </c>
      <c r="O11" s="305" t="s">
        <v>20</v>
      </c>
      <c r="P11" s="306" t="s">
        <v>165</v>
      </c>
      <c r="Q11" s="306" t="s">
        <v>22</v>
      </c>
      <c r="R11" s="305" t="s">
        <v>20</v>
      </c>
      <c r="S11" s="306" t="s">
        <v>165</v>
      </c>
      <c r="T11" s="87" t="s">
        <v>22</v>
      </c>
      <c r="U11" s="199"/>
    </row>
    <row r="12" spans="1:21" s="13" customFormat="1" ht="15.75">
      <c r="A12" s="723" t="s">
        <v>87</v>
      </c>
      <c r="B12" s="724"/>
      <c r="C12" s="348"/>
      <c r="D12" s="349"/>
      <c r="E12" s="349">
        <v>546000</v>
      </c>
      <c r="F12" s="82"/>
      <c r="G12" s="83"/>
      <c r="H12" s="83"/>
      <c r="I12" s="82"/>
      <c r="J12" s="83"/>
      <c r="K12" s="83"/>
      <c r="L12" s="82"/>
      <c r="M12" s="83"/>
      <c r="N12" s="83"/>
      <c r="O12" s="82"/>
      <c r="P12" s="83"/>
      <c r="Q12" s="83">
        <f>1041+2929</f>
        <v>3970</v>
      </c>
      <c r="R12" s="82"/>
      <c r="S12" s="83"/>
      <c r="T12" s="307">
        <f>E12+H12+K12+N12+Q12</f>
        <v>549970</v>
      </c>
      <c r="U12" s="195"/>
    </row>
    <row r="13" spans="1:21" s="13" customFormat="1" ht="15.75">
      <c r="A13" s="380"/>
      <c r="B13" s="439" t="s">
        <v>90</v>
      </c>
      <c r="C13" s="348"/>
      <c r="D13" s="349"/>
      <c r="E13" s="351" t="s">
        <v>113</v>
      </c>
      <c r="F13" s="82"/>
      <c r="G13" s="83"/>
      <c r="H13" s="83"/>
      <c r="I13" s="82"/>
      <c r="J13" s="83"/>
      <c r="K13" s="83"/>
      <c r="L13" s="82"/>
      <c r="M13" s="83"/>
      <c r="N13" s="83"/>
      <c r="O13" s="82"/>
      <c r="P13" s="83"/>
      <c r="Q13" s="83"/>
      <c r="R13" s="82"/>
      <c r="S13" s="83"/>
      <c r="T13" s="307"/>
      <c r="U13" s="195"/>
    </row>
    <row r="14" spans="1:21" s="13" customFormat="1" ht="15.75">
      <c r="A14" s="380"/>
      <c r="B14" s="439" t="s">
        <v>91</v>
      </c>
      <c r="C14" s="348"/>
      <c r="D14" s="349"/>
      <c r="E14" s="351" t="s">
        <v>33</v>
      </c>
      <c r="F14" s="82"/>
      <c r="G14" s="83"/>
      <c r="H14" s="83"/>
      <c r="I14" s="82"/>
      <c r="J14" s="83"/>
      <c r="K14" s="83"/>
      <c r="L14" s="82"/>
      <c r="M14" s="83"/>
      <c r="N14" s="83"/>
      <c r="O14" s="82"/>
      <c r="P14" s="83"/>
      <c r="Q14" s="83"/>
      <c r="R14" s="82"/>
      <c r="S14" s="83"/>
      <c r="T14" s="307"/>
      <c r="U14" s="195"/>
    </row>
    <row r="15" spans="1:21" s="13" customFormat="1" ht="15.75">
      <c r="A15" s="380"/>
      <c r="B15" s="439" t="s">
        <v>43</v>
      </c>
      <c r="C15" s="348"/>
      <c r="D15" s="349"/>
      <c r="E15" s="351" t="s">
        <v>114</v>
      </c>
      <c r="F15" s="82"/>
      <c r="G15" s="83"/>
      <c r="H15" s="83"/>
      <c r="I15" s="82"/>
      <c r="J15" s="83"/>
      <c r="K15" s="83"/>
      <c r="L15" s="82"/>
      <c r="M15" s="83"/>
      <c r="N15" s="83"/>
      <c r="O15" s="82"/>
      <c r="P15" s="83"/>
      <c r="Q15" s="83"/>
      <c r="R15" s="82"/>
      <c r="S15" s="83"/>
      <c r="T15" s="307"/>
      <c r="U15" s="195"/>
    </row>
    <row r="16" spans="1:21" s="13" customFormat="1" ht="15.75">
      <c r="A16" s="380"/>
      <c r="B16" s="439" t="s">
        <v>95</v>
      </c>
      <c r="C16" s="348"/>
      <c r="D16" s="349"/>
      <c r="E16" s="351" t="s">
        <v>115</v>
      </c>
      <c r="F16" s="82"/>
      <c r="G16" s="83"/>
      <c r="H16" s="83"/>
      <c r="I16" s="82"/>
      <c r="J16" s="83"/>
      <c r="K16" s="83"/>
      <c r="L16" s="82"/>
      <c r="M16" s="83"/>
      <c r="N16" s="83"/>
      <c r="O16" s="82"/>
      <c r="P16" s="83"/>
      <c r="Q16" s="83"/>
      <c r="R16" s="82"/>
      <c r="S16" s="83"/>
      <c r="T16" s="307"/>
      <c r="U16" s="195"/>
    </row>
    <row r="17" spans="1:21" s="13" customFormat="1" ht="15.75">
      <c r="A17" s="376" t="s">
        <v>88</v>
      </c>
      <c r="B17" s="377"/>
      <c r="C17" s="348"/>
      <c r="D17" s="349"/>
      <c r="E17" s="349">
        <v>178500</v>
      </c>
      <c r="F17" s="82"/>
      <c r="G17" s="83"/>
      <c r="H17" s="83"/>
      <c r="I17" s="82"/>
      <c r="J17" s="83"/>
      <c r="K17" s="83"/>
      <c r="L17" s="82"/>
      <c r="M17" s="83"/>
      <c r="N17" s="83"/>
      <c r="O17" s="82"/>
      <c r="P17" s="83"/>
      <c r="Q17" s="83">
        <f>5883+23733</f>
        <v>29616</v>
      </c>
      <c r="R17" s="82"/>
      <c r="S17" s="83"/>
      <c r="T17" s="307">
        <f aca="true" t="shared" si="0" ref="T17:T27">E17+H17+K17+N17+Q17</f>
        <v>208116</v>
      </c>
      <c r="U17" s="195"/>
    </row>
    <row r="18" spans="1:21" s="13" customFormat="1" ht="15.75">
      <c r="A18" s="376" t="s">
        <v>86</v>
      </c>
      <c r="B18" s="377"/>
      <c r="C18" s="354"/>
      <c r="D18" s="355"/>
      <c r="E18" s="355">
        <v>400000</v>
      </c>
      <c r="F18" s="82"/>
      <c r="G18" s="83"/>
      <c r="H18" s="83"/>
      <c r="I18" s="82"/>
      <c r="J18" s="83"/>
      <c r="K18" s="83"/>
      <c r="L18" s="82"/>
      <c r="M18" s="83"/>
      <c r="N18" s="83"/>
      <c r="O18" s="82"/>
      <c r="P18" s="83"/>
      <c r="Q18" s="83">
        <f>303+85</f>
        <v>388</v>
      </c>
      <c r="R18" s="82"/>
      <c r="S18" s="83"/>
      <c r="T18" s="307">
        <f t="shared" si="0"/>
        <v>400388</v>
      </c>
      <c r="U18" s="195"/>
    </row>
    <row r="19" spans="1:21" s="13" customFormat="1" ht="15.75">
      <c r="A19" s="376" t="s">
        <v>92</v>
      </c>
      <c r="B19" s="377"/>
      <c r="C19" s="354"/>
      <c r="D19" s="355"/>
      <c r="E19" s="355">
        <v>31000</v>
      </c>
      <c r="F19" s="82"/>
      <c r="G19" s="83"/>
      <c r="H19" s="83"/>
      <c r="I19" s="82"/>
      <c r="J19" s="83"/>
      <c r="K19" s="83"/>
      <c r="L19" s="82"/>
      <c r="M19" s="83"/>
      <c r="N19" s="83"/>
      <c r="O19" s="82"/>
      <c r="P19" s="83"/>
      <c r="Q19" s="83">
        <f>28189+185</f>
        <v>28374</v>
      </c>
      <c r="R19" s="82"/>
      <c r="S19" s="83"/>
      <c r="T19" s="307">
        <f t="shared" si="0"/>
        <v>59374</v>
      </c>
      <c r="U19" s="195"/>
    </row>
    <row r="20" spans="1:21" s="13" customFormat="1" ht="15.75">
      <c r="A20" s="376" t="s">
        <v>170</v>
      </c>
      <c r="B20" s="377"/>
      <c r="C20" s="354"/>
      <c r="D20" s="355"/>
      <c r="E20" s="355">
        <v>25000</v>
      </c>
      <c r="F20" s="82"/>
      <c r="G20" s="83"/>
      <c r="H20" s="83"/>
      <c r="I20" s="82"/>
      <c r="J20" s="83"/>
      <c r="K20" s="83"/>
      <c r="L20" s="82"/>
      <c r="M20" s="83"/>
      <c r="N20" s="83"/>
      <c r="O20" s="82"/>
      <c r="P20" s="83"/>
      <c r="Q20" s="83"/>
      <c r="R20" s="82"/>
      <c r="S20" s="83"/>
      <c r="T20" s="307">
        <f t="shared" si="0"/>
        <v>25000</v>
      </c>
      <c r="U20" s="195"/>
    </row>
    <row r="21" spans="1:21" s="13" customFormat="1" ht="15.75">
      <c r="A21" s="376"/>
      <c r="B21" s="377" t="s">
        <v>105</v>
      </c>
      <c r="C21" s="354"/>
      <c r="D21" s="355"/>
      <c r="E21" s="357" t="s">
        <v>116</v>
      </c>
      <c r="F21" s="82"/>
      <c r="G21" s="83"/>
      <c r="H21" s="83"/>
      <c r="I21" s="82"/>
      <c r="J21" s="83"/>
      <c r="K21" s="83"/>
      <c r="L21" s="82"/>
      <c r="M21" s="83"/>
      <c r="N21" s="83"/>
      <c r="O21" s="82"/>
      <c r="P21" s="83"/>
      <c r="Q21" s="83">
        <f>2666+253</f>
        <v>2919</v>
      </c>
      <c r="R21" s="82"/>
      <c r="S21" s="83"/>
      <c r="T21" s="307">
        <f>Q21</f>
        <v>2919</v>
      </c>
      <c r="U21" s="195"/>
    </row>
    <row r="22" spans="1:21" s="13" customFormat="1" ht="15.75">
      <c r="A22" s="376"/>
      <c r="B22" s="377" t="s">
        <v>106</v>
      </c>
      <c r="C22" s="354"/>
      <c r="D22" s="355"/>
      <c r="E22" s="357" t="s">
        <v>117</v>
      </c>
      <c r="F22" s="82"/>
      <c r="G22" s="83"/>
      <c r="H22" s="83"/>
      <c r="I22" s="82"/>
      <c r="J22" s="83"/>
      <c r="K22" s="83"/>
      <c r="L22" s="82"/>
      <c r="M22" s="83"/>
      <c r="N22" s="83"/>
      <c r="O22" s="82"/>
      <c r="P22" s="83"/>
      <c r="Q22" s="83">
        <f>168+1081</f>
        <v>1249</v>
      </c>
      <c r="R22" s="82"/>
      <c r="S22" s="83"/>
      <c r="T22" s="307">
        <f>Q22</f>
        <v>1249</v>
      </c>
      <c r="U22" s="195"/>
    </row>
    <row r="23" spans="1:21" s="13" customFormat="1" ht="15.75">
      <c r="A23" s="376"/>
      <c r="B23" s="377" t="s">
        <v>107</v>
      </c>
      <c r="C23" s="354"/>
      <c r="D23" s="355"/>
      <c r="E23" s="357" t="s">
        <v>118</v>
      </c>
      <c r="F23" s="82"/>
      <c r="G23" s="83"/>
      <c r="H23" s="83"/>
      <c r="I23" s="82"/>
      <c r="J23" s="83"/>
      <c r="K23" s="83"/>
      <c r="L23" s="82"/>
      <c r="M23" s="83"/>
      <c r="N23" s="83"/>
      <c r="O23" s="82"/>
      <c r="P23" s="83"/>
      <c r="Q23" s="83">
        <f>41+575</f>
        <v>616</v>
      </c>
      <c r="R23" s="82"/>
      <c r="S23" s="83"/>
      <c r="T23" s="307">
        <f>Q23</f>
        <v>616</v>
      </c>
      <c r="U23" s="195"/>
    </row>
    <row r="24" spans="1:21" s="13" customFormat="1" ht="15.75">
      <c r="A24" s="376" t="s">
        <v>97</v>
      </c>
      <c r="B24" s="377"/>
      <c r="C24" s="354"/>
      <c r="D24" s="355"/>
      <c r="E24" s="355">
        <v>10000</v>
      </c>
      <c r="F24" s="82"/>
      <c r="G24" s="83"/>
      <c r="H24" s="83"/>
      <c r="I24" s="82"/>
      <c r="J24" s="83"/>
      <c r="K24" s="83"/>
      <c r="L24" s="82"/>
      <c r="M24" s="83"/>
      <c r="N24" s="83"/>
      <c r="O24" s="82"/>
      <c r="P24" s="83"/>
      <c r="Q24" s="83">
        <f>246</f>
        <v>246</v>
      </c>
      <c r="R24" s="82"/>
      <c r="S24" s="83"/>
      <c r="T24" s="307">
        <f t="shared" si="0"/>
        <v>10246</v>
      </c>
      <c r="U24" s="195"/>
    </row>
    <row r="25" spans="1:21" s="13" customFormat="1" ht="15.75">
      <c r="A25" s="376" t="s">
        <v>168</v>
      </c>
      <c r="B25" s="377"/>
      <c r="C25" s="354"/>
      <c r="D25" s="355"/>
      <c r="E25" s="355">
        <v>10000</v>
      </c>
      <c r="F25" s="82"/>
      <c r="G25" s="83"/>
      <c r="H25" s="83"/>
      <c r="I25" s="82"/>
      <c r="J25" s="83"/>
      <c r="K25" s="83"/>
      <c r="L25" s="82"/>
      <c r="M25" s="83"/>
      <c r="N25" s="83"/>
      <c r="O25" s="82"/>
      <c r="P25" s="83"/>
      <c r="Q25" s="83">
        <f>380+935</f>
        <v>1315</v>
      </c>
      <c r="R25" s="82"/>
      <c r="S25" s="83"/>
      <c r="T25" s="307">
        <f t="shared" si="0"/>
        <v>11315</v>
      </c>
      <c r="U25" s="195"/>
    </row>
    <row r="26" spans="1:21" s="13" customFormat="1" ht="15.75">
      <c r="A26" s="376" t="s">
        <v>99</v>
      </c>
      <c r="B26" s="377"/>
      <c r="C26" s="354"/>
      <c r="D26" s="355"/>
      <c r="E26" s="355">
        <v>7000</v>
      </c>
      <c r="F26" s="82"/>
      <c r="G26" s="83"/>
      <c r="H26" s="83"/>
      <c r="I26" s="82"/>
      <c r="J26" s="83"/>
      <c r="K26" s="83"/>
      <c r="L26" s="82"/>
      <c r="M26" s="83"/>
      <c r="N26" s="83"/>
      <c r="O26" s="82"/>
      <c r="P26" s="83"/>
      <c r="Q26" s="83">
        <f>2533+7</f>
        <v>2540</v>
      </c>
      <c r="R26" s="82"/>
      <c r="S26" s="83"/>
      <c r="T26" s="307">
        <f t="shared" si="0"/>
        <v>9540</v>
      </c>
      <c r="U26" s="195"/>
    </row>
    <row r="27" spans="1:21" s="13" customFormat="1" ht="15.75">
      <c r="A27" s="376" t="s">
        <v>100</v>
      </c>
      <c r="B27" s="377"/>
      <c r="C27" s="354"/>
      <c r="D27" s="355"/>
      <c r="E27" s="355">
        <v>12500</v>
      </c>
      <c r="F27" s="82"/>
      <c r="G27" s="83"/>
      <c r="H27" s="83"/>
      <c r="I27" s="82"/>
      <c r="J27" s="83"/>
      <c r="K27" s="83"/>
      <c r="L27" s="82"/>
      <c r="M27" s="83"/>
      <c r="N27" s="83"/>
      <c r="O27" s="82"/>
      <c r="P27" s="83"/>
      <c r="Q27" s="83">
        <f>1475+821</f>
        <v>2296</v>
      </c>
      <c r="R27" s="82"/>
      <c r="S27" s="83"/>
      <c r="T27" s="307">
        <f t="shared" si="0"/>
        <v>14796</v>
      </c>
      <c r="U27" s="195"/>
    </row>
    <row r="28" spans="1:21" s="13" customFormat="1" ht="15.75">
      <c r="A28" s="376"/>
      <c r="B28" s="377" t="s">
        <v>108</v>
      </c>
      <c r="C28" s="354"/>
      <c r="D28" s="355"/>
      <c r="E28" s="355">
        <v>0</v>
      </c>
      <c r="F28" s="82"/>
      <c r="G28" s="83"/>
      <c r="H28" s="83"/>
      <c r="I28" s="82"/>
      <c r="J28" s="83"/>
      <c r="K28" s="83"/>
      <c r="L28" s="82"/>
      <c r="M28" s="83"/>
      <c r="N28" s="83"/>
      <c r="O28" s="82"/>
      <c r="P28" s="83"/>
      <c r="Q28" s="83"/>
      <c r="R28" s="82"/>
      <c r="S28" s="83"/>
      <c r="T28" s="307"/>
      <c r="U28" s="195"/>
    </row>
    <row r="29" spans="1:21" s="13" customFormat="1" ht="15.75">
      <c r="A29" s="376" t="s">
        <v>169</v>
      </c>
      <c r="B29" s="377"/>
      <c r="C29" s="354"/>
      <c r="D29" s="355"/>
      <c r="E29" s="355">
        <v>2000</v>
      </c>
      <c r="F29" s="82"/>
      <c r="G29" s="83"/>
      <c r="H29" s="83"/>
      <c r="I29" s="82"/>
      <c r="J29" s="83"/>
      <c r="K29" s="83"/>
      <c r="L29" s="82"/>
      <c r="M29" s="83"/>
      <c r="N29" s="83"/>
      <c r="O29" s="82"/>
      <c r="P29" s="83"/>
      <c r="Q29" s="83">
        <f>26+54</f>
        <v>80</v>
      </c>
      <c r="R29" s="82"/>
      <c r="S29" s="83"/>
      <c r="T29" s="307">
        <f aca="true" t="shared" si="1" ref="T29:T37">E29+H29+K29+N29+Q29</f>
        <v>2080</v>
      </c>
      <c r="U29" s="195"/>
    </row>
    <row r="30" spans="1:21" s="13" customFormat="1" ht="15.75">
      <c r="A30" s="376" t="s">
        <v>102</v>
      </c>
      <c r="B30" s="377"/>
      <c r="C30" s="354"/>
      <c r="D30" s="355"/>
      <c r="E30" s="355">
        <v>5500</v>
      </c>
      <c r="F30" s="82"/>
      <c r="G30" s="83"/>
      <c r="H30" s="83"/>
      <c r="I30" s="82"/>
      <c r="J30" s="83"/>
      <c r="K30" s="83"/>
      <c r="L30" s="82"/>
      <c r="M30" s="83"/>
      <c r="N30" s="83"/>
      <c r="O30" s="82"/>
      <c r="P30" s="83"/>
      <c r="Q30" s="83">
        <f>205+30</f>
        <v>235</v>
      </c>
      <c r="R30" s="82"/>
      <c r="S30" s="83"/>
      <c r="T30" s="307">
        <f t="shared" si="1"/>
        <v>5735</v>
      </c>
      <c r="U30" s="195"/>
    </row>
    <row r="31" spans="1:21" s="13" customFormat="1" ht="15.75">
      <c r="A31" s="719" t="s">
        <v>167</v>
      </c>
      <c r="B31" s="720"/>
      <c r="C31" s="348"/>
      <c r="D31" s="349"/>
      <c r="E31" s="349">
        <v>0</v>
      </c>
      <c r="F31" s="82"/>
      <c r="G31" s="83"/>
      <c r="H31" s="83"/>
      <c r="I31" s="82"/>
      <c r="J31" s="83"/>
      <c r="K31" s="83"/>
      <c r="L31" s="82"/>
      <c r="M31" s="83"/>
      <c r="N31" s="83"/>
      <c r="O31" s="82"/>
      <c r="P31" s="83"/>
      <c r="Q31" s="83"/>
      <c r="R31" s="82"/>
      <c r="S31" s="83"/>
      <c r="T31" s="307">
        <f t="shared" si="1"/>
        <v>0</v>
      </c>
      <c r="U31" s="195"/>
    </row>
    <row r="32" spans="1:21" s="13" customFormat="1" ht="15.75">
      <c r="A32" s="376" t="s">
        <v>93</v>
      </c>
      <c r="B32" s="377"/>
      <c r="C32" s="354"/>
      <c r="D32" s="355"/>
      <c r="E32" s="355">
        <v>3000</v>
      </c>
      <c r="F32" s="82"/>
      <c r="G32" s="83"/>
      <c r="H32" s="83"/>
      <c r="I32" s="82"/>
      <c r="J32" s="83"/>
      <c r="K32" s="83"/>
      <c r="L32" s="82"/>
      <c r="M32" s="83"/>
      <c r="N32" s="83"/>
      <c r="O32" s="82"/>
      <c r="P32" s="83"/>
      <c r="Q32" s="83">
        <v>2657</v>
      </c>
      <c r="R32" s="82"/>
      <c r="S32" s="83"/>
      <c r="T32" s="307">
        <f>E32+H32+K32+N32+Q32</f>
        <v>5657</v>
      </c>
      <c r="U32" s="195"/>
    </row>
    <row r="33" spans="1:21" s="13" customFormat="1" ht="15.75">
      <c r="A33" s="376" t="s">
        <v>89</v>
      </c>
      <c r="B33" s="377"/>
      <c r="C33" s="348"/>
      <c r="D33" s="349"/>
      <c r="E33" s="349">
        <v>30000</v>
      </c>
      <c r="F33" s="82"/>
      <c r="G33" s="83"/>
      <c r="H33" s="83"/>
      <c r="I33" s="82"/>
      <c r="J33" s="83"/>
      <c r="K33" s="83"/>
      <c r="L33" s="82"/>
      <c r="M33" s="83"/>
      <c r="N33" s="83"/>
      <c r="O33" s="82"/>
      <c r="P33" s="83"/>
      <c r="Q33" s="83">
        <v>173.35247</v>
      </c>
      <c r="R33" s="82"/>
      <c r="S33" s="83"/>
      <c r="T33" s="307">
        <f>E33+H33+K33+N33+Q33</f>
        <v>30173.35247</v>
      </c>
      <c r="U33" s="195"/>
    </row>
    <row r="34" spans="1:21" s="13" customFormat="1" ht="15.75">
      <c r="A34" s="376" t="s">
        <v>265</v>
      </c>
      <c r="B34" s="377"/>
      <c r="C34" s="354"/>
      <c r="D34" s="355"/>
      <c r="E34" s="355">
        <v>50000</v>
      </c>
      <c r="F34" s="82"/>
      <c r="G34" s="83"/>
      <c r="H34" s="83"/>
      <c r="I34" s="82"/>
      <c r="J34" s="83"/>
      <c r="K34" s="83"/>
      <c r="L34" s="82"/>
      <c r="M34" s="83"/>
      <c r="N34" s="83"/>
      <c r="O34" s="82"/>
      <c r="P34" s="83"/>
      <c r="Q34" s="83">
        <v>7154</v>
      </c>
      <c r="R34" s="82"/>
      <c r="S34" s="83"/>
      <c r="T34" s="307">
        <f>E34+H34+K34+N34+Q34</f>
        <v>57154</v>
      </c>
      <c r="U34" s="195"/>
    </row>
    <row r="35" spans="1:21" s="13" customFormat="1" ht="15.75">
      <c r="A35" s="440" t="s">
        <v>109</v>
      </c>
      <c r="B35" s="377"/>
      <c r="C35" s="354"/>
      <c r="D35" s="355"/>
      <c r="E35" s="357" t="s">
        <v>138</v>
      </c>
      <c r="F35" s="82"/>
      <c r="G35" s="83"/>
      <c r="H35" s="83"/>
      <c r="I35" s="82"/>
      <c r="J35" s="83"/>
      <c r="K35" s="83"/>
      <c r="L35" s="82"/>
      <c r="M35" s="83"/>
      <c r="N35" s="83"/>
      <c r="O35" s="82"/>
      <c r="P35" s="83"/>
      <c r="Q35" s="441" t="s">
        <v>289</v>
      </c>
      <c r="R35" s="82"/>
      <c r="S35" s="83"/>
      <c r="T35" s="425" t="s">
        <v>273</v>
      </c>
      <c r="U35" s="195"/>
    </row>
    <row r="36" spans="1:21" s="13" customFormat="1" ht="15.75">
      <c r="A36" s="440" t="s">
        <v>140</v>
      </c>
      <c r="B36" s="377"/>
      <c r="C36" s="354"/>
      <c r="D36" s="355"/>
      <c r="E36" s="357" t="s">
        <v>116</v>
      </c>
      <c r="F36" s="82"/>
      <c r="G36" s="83"/>
      <c r="H36" s="83"/>
      <c r="I36" s="82"/>
      <c r="J36" s="83"/>
      <c r="K36" s="83"/>
      <c r="L36" s="82"/>
      <c r="M36" s="83"/>
      <c r="N36" s="83"/>
      <c r="O36" s="82"/>
      <c r="P36" s="83"/>
      <c r="Q36" s="441" t="s">
        <v>278</v>
      </c>
      <c r="R36" s="82"/>
      <c r="S36" s="83"/>
      <c r="T36" s="425" t="s">
        <v>274</v>
      </c>
      <c r="U36" s="195"/>
    </row>
    <row r="37" spans="1:21" s="13" customFormat="1" ht="15.75">
      <c r="A37" s="376" t="s">
        <v>103</v>
      </c>
      <c r="B37" s="377"/>
      <c r="C37" s="354"/>
      <c r="D37" s="355"/>
      <c r="E37" s="355">
        <v>18000</v>
      </c>
      <c r="F37" s="82"/>
      <c r="G37" s="83"/>
      <c r="H37" s="83"/>
      <c r="I37" s="82"/>
      <c r="J37" s="83"/>
      <c r="K37" s="83"/>
      <c r="L37" s="82"/>
      <c r="M37" s="83"/>
      <c r="N37" s="83"/>
      <c r="O37" s="82"/>
      <c r="P37" s="83"/>
      <c r="Q37" s="83"/>
      <c r="R37" s="82"/>
      <c r="S37" s="83"/>
      <c r="T37" s="307">
        <f t="shared" si="1"/>
        <v>18000</v>
      </c>
      <c r="U37" s="195"/>
    </row>
    <row r="38" spans="1:21" s="13" customFormat="1" ht="17.25" customHeight="1">
      <c r="A38" s="454" t="s">
        <v>25</v>
      </c>
      <c r="B38" s="319"/>
      <c r="C38" s="354"/>
      <c r="D38" s="355"/>
      <c r="E38" s="351"/>
      <c r="F38" s="318"/>
      <c r="G38" s="319"/>
      <c r="H38" s="319"/>
      <c r="I38" s="318"/>
      <c r="J38" s="319"/>
      <c r="K38" s="319">
        <v>50000</v>
      </c>
      <c r="L38" s="348"/>
      <c r="M38" s="349"/>
      <c r="N38" s="351"/>
      <c r="O38" s="318"/>
      <c r="P38" s="319"/>
      <c r="Q38" s="319"/>
      <c r="R38" s="318"/>
      <c r="S38" s="319"/>
      <c r="T38" s="385">
        <f>E38+H38+K38+N38+Q38</f>
        <v>50000</v>
      </c>
      <c r="U38" s="195"/>
    </row>
    <row r="39" spans="1:21" s="379" customFormat="1" ht="15.75">
      <c r="A39" s="454" t="s">
        <v>257</v>
      </c>
      <c r="B39" s="319"/>
      <c r="C39" s="442"/>
      <c r="D39" s="443"/>
      <c r="E39" s="443"/>
      <c r="F39" s="318"/>
      <c r="G39" s="319"/>
      <c r="H39" s="319"/>
      <c r="I39" s="348"/>
      <c r="J39" s="349"/>
      <c r="K39" s="351">
        <v>2000000</v>
      </c>
      <c r="L39" s="318"/>
      <c r="M39" s="319"/>
      <c r="N39" s="319"/>
      <c r="O39" s="318"/>
      <c r="P39" s="319"/>
      <c r="Q39" s="319"/>
      <c r="R39" s="82"/>
      <c r="S39" s="83"/>
      <c r="T39" s="307">
        <f>E39+H39+K39+N39+Q39</f>
        <v>2000000</v>
      </c>
      <c r="U39" s="378"/>
    </row>
    <row r="40" spans="1:21" s="379" customFormat="1" ht="15.75">
      <c r="A40" s="454" t="s">
        <v>258</v>
      </c>
      <c r="B40" s="319"/>
      <c r="C40" s="442"/>
      <c r="D40" s="443"/>
      <c r="E40" s="443"/>
      <c r="F40" s="318"/>
      <c r="G40" s="319"/>
      <c r="H40" s="319"/>
      <c r="I40" s="348"/>
      <c r="J40" s="349"/>
      <c r="K40" s="351">
        <v>225000</v>
      </c>
      <c r="L40" s="318"/>
      <c r="M40" s="319"/>
      <c r="N40" s="319"/>
      <c r="O40" s="318"/>
      <c r="P40" s="319"/>
      <c r="Q40" s="319"/>
      <c r="R40" s="82"/>
      <c r="S40" s="83"/>
      <c r="T40" s="307">
        <f>E40+H40+K40+N40+Q40</f>
        <v>225000</v>
      </c>
      <c r="U40" s="378"/>
    </row>
    <row r="41" spans="1:21" s="416" customFormat="1" ht="15.75">
      <c r="A41" s="455" t="s">
        <v>259</v>
      </c>
      <c r="B41" s="397"/>
      <c r="C41" s="444"/>
      <c r="D41" s="445"/>
      <c r="E41" s="445"/>
      <c r="F41" s="417"/>
      <c r="G41" s="397"/>
      <c r="H41" s="397"/>
      <c r="I41" s="418"/>
      <c r="J41" s="419"/>
      <c r="K41" s="420">
        <v>225000</v>
      </c>
      <c r="L41" s="417"/>
      <c r="M41" s="397"/>
      <c r="N41" s="397"/>
      <c r="O41" s="417"/>
      <c r="P41" s="397"/>
      <c r="Q41" s="397"/>
      <c r="R41" s="421"/>
      <c r="S41" s="422"/>
      <c r="T41" s="423"/>
      <c r="U41" s="424"/>
    </row>
    <row r="42" spans="1:21" s="379" customFormat="1" ht="15.75">
      <c r="A42" s="454" t="s">
        <v>260</v>
      </c>
      <c r="B42" s="319"/>
      <c r="C42" s="442"/>
      <c r="D42" s="443"/>
      <c r="E42" s="443"/>
      <c r="F42" s="318"/>
      <c r="G42" s="319"/>
      <c r="H42" s="319"/>
      <c r="I42" s="348"/>
      <c r="J42" s="349"/>
      <c r="K42" s="351">
        <v>125000</v>
      </c>
      <c r="L42" s="318"/>
      <c r="M42" s="319"/>
      <c r="N42" s="319"/>
      <c r="O42" s="318"/>
      <c r="P42" s="319"/>
      <c r="Q42" s="319"/>
      <c r="R42" s="82"/>
      <c r="S42" s="83"/>
      <c r="T42" s="307">
        <f aca="true" t="shared" si="2" ref="T42:T47">E42+H42+K42+N42+Q42</f>
        <v>125000</v>
      </c>
      <c r="U42" s="378"/>
    </row>
    <row r="43" spans="1:21" s="416" customFormat="1" ht="15.75">
      <c r="A43" s="455" t="s">
        <v>261</v>
      </c>
      <c r="B43" s="397"/>
      <c r="C43" s="444"/>
      <c r="D43" s="445"/>
      <c r="E43" s="445"/>
      <c r="F43" s="417"/>
      <c r="G43" s="397"/>
      <c r="H43" s="397"/>
      <c r="I43" s="418"/>
      <c r="J43" s="419"/>
      <c r="K43" s="420">
        <v>40000</v>
      </c>
      <c r="L43" s="417"/>
      <c r="M43" s="397"/>
      <c r="N43" s="445"/>
      <c r="O43" s="417"/>
      <c r="P43" s="397"/>
      <c r="Q43" s="397"/>
      <c r="R43" s="421"/>
      <c r="S43" s="422"/>
      <c r="T43" s="307">
        <f t="shared" si="2"/>
        <v>40000</v>
      </c>
      <c r="U43" s="424"/>
    </row>
    <row r="44" spans="1:21" s="416" customFormat="1" ht="15.75">
      <c r="A44" s="455"/>
      <c r="B44" s="397" t="s">
        <v>262</v>
      </c>
      <c r="C44" s="444"/>
      <c r="D44" s="445"/>
      <c r="E44" s="445"/>
      <c r="F44" s="417"/>
      <c r="G44" s="397"/>
      <c r="H44" s="397"/>
      <c r="I44" s="418"/>
      <c r="J44" s="419"/>
      <c r="K44" s="420"/>
      <c r="L44" s="417"/>
      <c r="M44" s="397"/>
      <c r="N44" s="419">
        <v>-10000</v>
      </c>
      <c r="O44" s="417"/>
      <c r="P44" s="397"/>
      <c r="Q44" s="397"/>
      <c r="R44" s="421"/>
      <c r="S44" s="422"/>
      <c r="T44" s="208">
        <f t="shared" si="2"/>
        <v>-10000</v>
      </c>
      <c r="U44" s="424"/>
    </row>
    <row r="45" spans="1:21" s="379" customFormat="1" ht="18" customHeight="1">
      <c r="A45" s="454" t="s">
        <v>263</v>
      </c>
      <c r="B45" s="319"/>
      <c r="C45" s="442"/>
      <c r="D45" s="443"/>
      <c r="E45" s="443"/>
      <c r="F45" s="318"/>
      <c r="G45" s="319"/>
      <c r="H45" s="319"/>
      <c r="I45" s="348"/>
      <c r="J45" s="349"/>
      <c r="K45" s="351">
        <v>100000</v>
      </c>
      <c r="L45" s="318"/>
      <c r="M45" s="319"/>
      <c r="N45" s="319"/>
      <c r="O45" s="318"/>
      <c r="P45" s="319"/>
      <c r="Q45" s="319"/>
      <c r="R45" s="82"/>
      <c r="S45" s="83"/>
      <c r="T45" s="307">
        <f t="shared" si="2"/>
        <v>100000</v>
      </c>
      <c r="U45" s="378"/>
    </row>
    <row r="46" spans="1:21" s="16" customFormat="1" ht="18.75" customHeight="1">
      <c r="A46" s="376" t="s">
        <v>294</v>
      </c>
      <c r="B46" s="319"/>
      <c r="C46" s="442"/>
      <c r="D46" s="443"/>
      <c r="E46" s="443"/>
      <c r="F46" s="318"/>
      <c r="G46" s="319"/>
      <c r="H46" s="319"/>
      <c r="I46" s="348"/>
      <c r="J46" s="349"/>
      <c r="K46" s="351"/>
      <c r="L46" s="318"/>
      <c r="M46" s="319"/>
      <c r="N46" s="319">
        <v>270500</v>
      </c>
      <c r="O46" s="318"/>
      <c r="P46" s="319"/>
      <c r="Q46" s="319"/>
      <c r="R46" s="82"/>
      <c r="S46" s="83"/>
      <c r="T46" s="307">
        <f t="shared" si="2"/>
        <v>270500</v>
      </c>
      <c r="U46" s="396"/>
    </row>
    <row r="47" spans="1:21" s="16" customFormat="1" ht="18" customHeight="1">
      <c r="A47" s="376" t="s">
        <v>295</v>
      </c>
      <c r="B47" s="319"/>
      <c r="C47" s="442"/>
      <c r="D47" s="443"/>
      <c r="E47" s="443"/>
      <c r="F47" s="318"/>
      <c r="G47" s="319"/>
      <c r="H47" s="319"/>
      <c r="I47" s="348"/>
      <c r="J47" s="349"/>
      <c r="K47" s="351"/>
      <c r="L47" s="318"/>
      <c r="M47" s="319"/>
      <c r="N47" s="319">
        <v>27880</v>
      </c>
      <c r="O47" s="318"/>
      <c r="P47" s="319"/>
      <c r="Q47" s="319"/>
      <c r="R47" s="82"/>
      <c r="S47" s="83"/>
      <c r="T47" s="307">
        <f t="shared" si="2"/>
        <v>27880</v>
      </c>
      <c r="U47" s="396"/>
    </row>
    <row r="48" spans="1:21" s="16" customFormat="1" ht="18" customHeight="1">
      <c r="A48" s="456" t="s">
        <v>248</v>
      </c>
      <c r="B48" s="319"/>
      <c r="C48" s="442"/>
      <c r="D48" s="443"/>
      <c r="E48" s="443"/>
      <c r="F48" s="318"/>
      <c r="G48" s="319"/>
      <c r="H48" s="319"/>
      <c r="I48" s="348"/>
      <c r="J48" s="349"/>
      <c r="K48" s="351"/>
      <c r="L48" s="318"/>
      <c r="M48" s="319"/>
      <c r="N48" s="319"/>
      <c r="O48" s="318"/>
      <c r="P48" s="319"/>
      <c r="Q48" s="319">
        <v>39</v>
      </c>
      <c r="R48" s="82"/>
      <c r="S48" s="83"/>
      <c r="T48" s="307"/>
      <c r="U48" s="396"/>
    </row>
    <row r="49" spans="1:21" s="16" customFormat="1" ht="18" customHeight="1">
      <c r="A49" s="457" t="s">
        <v>247</v>
      </c>
      <c r="B49" s="320"/>
      <c r="C49" s="442"/>
      <c r="D49" s="443"/>
      <c r="E49" s="443"/>
      <c r="F49" s="318"/>
      <c r="G49" s="319"/>
      <c r="H49" s="319"/>
      <c r="I49" s="348"/>
      <c r="J49" s="349"/>
      <c r="K49" s="351"/>
      <c r="L49" s="318"/>
      <c r="M49" s="319"/>
      <c r="N49" s="319"/>
      <c r="O49" s="318"/>
      <c r="P49" s="319"/>
      <c r="Q49" s="319">
        <f>1443+247+1000</f>
        <v>2690</v>
      </c>
      <c r="R49" s="82"/>
      <c r="S49" s="83"/>
      <c r="T49" s="307"/>
      <c r="U49" s="396"/>
    </row>
    <row r="50" spans="1:21" s="16" customFormat="1" ht="18" customHeight="1">
      <c r="A50" s="456" t="s">
        <v>277</v>
      </c>
      <c r="B50" s="319"/>
      <c r="C50" s="442"/>
      <c r="D50" s="443"/>
      <c r="E50" s="443"/>
      <c r="F50" s="318"/>
      <c r="G50" s="319"/>
      <c r="H50" s="319"/>
      <c r="I50" s="348"/>
      <c r="J50" s="349"/>
      <c r="K50" s="351"/>
      <c r="L50" s="318"/>
      <c r="M50" s="319"/>
      <c r="N50" s="319"/>
      <c r="O50" s="318"/>
      <c r="P50" s="319"/>
      <c r="Q50" s="319">
        <f>1+920</f>
        <v>921</v>
      </c>
      <c r="R50" s="82"/>
      <c r="S50" s="83"/>
      <c r="T50" s="307"/>
      <c r="U50" s="396"/>
    </row>
    <row r="51" spans="1:21" s="16" customFormat="1" ht="18" customHeight="1">
      <c r="A51" s="458" t="s">
        <v>243</v>
      </c>
      <c r="B51" s="320"/>
      <c r="C51" s="442"/>
      <c r="D51" s="443"/>
      <c r="E51" s="443"/>
      <c r="F51" s="318"/>
      <c r="G51" s="319"/>
      <c r="H51" s="319"/>
      <c r="I51" s="348"/>
      <c r="J51" s="349"/>
      <c r="K51" s="351"/>
      <c r="L51" s="318"/>
      <c r="M51" s="319"/>
      <c r="N51" s="319"/>
      <c r="O51" s="318"/>
      <c r="P51" s="319"/>
      <c r="Q51" s="319">
        <f>68+222+27+88+12+117+267</f>
        <v>801</v>
      </c>
      <c r="R51" s="82"/>
      <c r="S51" s="83"/>
      <c r="T51" s="307"/>
      <c r="U51" s="396"/>
    </row>
    <row r="52" spans="1:21" s="16" customFormat="1" ht="18" customHeight="1">
      <c r="A52" s="457" t="s">
        <v>282</v>
      </c>
      <c r="B52" s="320"/>
      <c r="C52" s="442"/>
      <c r="D52" s="443"/>
      <c r="E52" s="443"/>
      <c r="F52" s="318"/>
      <c r="G52" s="319"/>
      <c r="H52" s="319"/>
      <c r="I52" s="348"/>
      <c r="J52" s="349"/>
      <c r="K52" s="351"/>
      <c r="L52" s="318"/>
      <c r="M52" s="319"/>
      <c r="N52" s="319"/>
      <c r="O52" s="318"/>
      <c r="P52" s="319"/>
      <c r="Q52" s="319">
        <f>1019+22+44+198+4</f>
        <v>1287</v>
      </c>
      <c r="R52" s="82"/>
      <c r="S52" s="83"/>
      <c r="T52" s="307"/>
      <c r="U52" s="396"/>
    </row>
    <row r="53" spans="1:21" s="16" customFormat="1" ht="18" customHeight="1">
      <c r="A53" s="457" t="s">
        <v>281</v>
      </c>
      <c r="B53" s="320"/>
      <c r="C53" s="442"/>
      <c r="D53" s="443"/>
      <c r="E53" s="443"/>
      <c r="F53" s="318"/>
      <c r="G53" s="319"/>
      <c r="H53" s="319"/>
      <c r="I53" s="348"/>
      <c r="J53" s="349"/>
      <c r="K53" s="351"/>
      <c r="L53" s="318"/>
      <c r="M53" s="319"/>
      <c r="N53" s="319"/>
      <c r="O53" s="318"/>
      <c r="P53" s="319"/>
      <c r="Q53" s="319">
        <f>2652+1866</f>
        <v>4518</v>
      </c>
      <c r="R53" s="82"/>
      <c r="S53" s="83"/>
      <c r="T53" s="307"/>
      <c r="U53" s="396"/>
    </row>
    <row r="54" spans="1:21" s="16" customFormat="1" ht="18" customHeight="1">
      <c r="A54" s="457" t="s">
        <v>280</v>
      </c>
      <c r="B54" s="320"/>
      <c r="C54" s="442"/>
      <c r="D54" s="443"/>
      <c r="E54" s="443"/>
      <c r="F54" s="318"/>
      <c r="G54" s="319"/>
      <c r="H54" s="319"/>
      <c r="I54" s="348"/>
      <c r="J54" s="349"/>
      <c r="K54" s="351"/>
      <c r="L54" s="318"/>
      <c r="M54" s="319"/>
      <c r="N54" s="319"/>
      <c r="O54" s="318"/>
      <c r="P54" s="319"/>
      <c r="Q54" s="319">
        <v>252</v>
      </c>
      <c r="R54" s="82"/>
      <c r="S54" s="83"/>
      <c r="T54" s="307"/>
      <c r="U54" s="396"/>
    </row>
    <row r="55" spans="1:21" s="16" customFormat="1" ht="18" customHeight="1">
      <c r="A55" s="457" t="s">
        <v>283</v>
      </c>
      <c r="B55" s="320"/>
      <c r="C55" s="442"/>
      <c r="D55" s="443"/>
      <c r="E55" s="443"/>
      <c r="F55" s="318"/>
      <c r="G55" s="319"/>
      <c r="H55" s="319"/>
      <c r="I55" s="348"/>
      <c r="J55" s="349"/>
      <c r="K55" s="351"/>
      <c r="L55" s="318"/>
      <c r="M55" s="319"/>
      <c r="N55" s="319"/>
      <c r="O55" s="318"/>
      <c r="P55" s="319"/>
      <c r="Q55" s="319">
        <f>87+3681</f>
        <v>3768</v>
      </c>
      <c r="R55" s="82"/>
      <c r="S55" s="83"/>
      <c r="T55" s="307"/>
      <c r="U55" s="396"/>
    </row>
    <row r="56" spans="1:21" s="16" customFormat="1" ht="18" customHeight="1">
      <c r="A56" s="457" t="s">
        <v>284</v>
      </c>
      <c r="B56" s="320"/>
      <c r="C56" s="442"/>
      <c r="D56" s="443"/>
      <c r="E56" s="443"/>
      <c r="F56" s="318"/>
      <c r="G56" s="319"/>
      <c r="H56" s="319"/>
      <c r="I56" s="348"/>
      <c r="J56" s="349"/>
      <c r="K56" s="351"/>
      <c r="L56" s="318"/>
      <c r="M56" s="319"/>
      <c r="N56" s="319"/>
      <c r="O56" s="318"/>
      <c r="P56" s="319"/>
      <c r="Q56" s="319">
        <v>168</v>
      </c>
      <c r="R56" s="82"/>
      <c r="S56" s="83"/>
      <c r="T56" s="307"/>
      <c r="U56" s="396"/>
    </row>
    <row r="57" spans="1:21" s="16" customFormat="1" ht="18" customHeight="1">
      <c r="A57" s="457" t="s">
        <v>285</v>
      </c>
      <c r="B57" s="320"/>
      <c r="C57" s="442"/>
      <c r="D57" s="443"/>
      <c r="E57" s="443"/>
      <c r="F57" s="318"/>
      <c r="G57" s="319"/>
      <c r="H57" s="319"/>
      <c r="I57" s="348"/>
      <c r="J57" s="349"/>
      <c r="K57" s="351"/>
      <c r="L57" s="318"/>
      <c r="M57" s="319"/>
      <c r="N57" s="319"/>
      <c r="O57" s="318"/>
      <c r="P57" s="319"/>
      <c r="Q57" s="319">
        <v>1752</v>
      </c>
      <c r="R57" s="82"/>
      <c r="S57" s="83"/>
      <c r="T57" s="307"/>
      <c r="U57" s="396"/>
    </row>
    <row r="58" spans="1:21" s="16" customFormat="1" ht="18" customHeight="1">
      <c r="A58" s="457" t="s">
        <v>286</v>
      </c>
      <c r="B58" s="320"/>
      <c r="C58" s="442"/>
      <c r="D58" s="443"/>
      <c r="E58" s="443"/>
      <c r="F58" s="318"/>
      <c r="G58" s="319"/>
      <c r="H58" s="319"/>
      <c r="I58" s="348"/>
      <c r="J58" s="349"/>
      <c r="K58" s="351"/>
      <c r="L58" s="318"/>
      <c r="M58" s="319"/>
      <c r="N58" s="319"/>
      <c r="O58" s="318"/>
      <c r="P58" s="319"/>
      <c r="Q58" s="319">
        <v>3</v>
      </c>
      <c r="R58" s="82"/>
      <c r="S58" s="83"/>
      <c r="T58" s="307"/>
      <c r="U58" s="396"/>
    </row>
    <row r="59" spans="1:21" s="16" customFormat="1" ht="18" customHeight="1">
      <c r="A59" s="457" t="s">
        <v>287</v>
      </c>
      <c r="B59" s="320"/>
      <c r="C59" s="442"/>
      <c r="D59" s="443"/>
      <c r="E59" s="443"/>
      <c r="F59" s="318"/>
      <c r="G59" s="319"/>
      <c r="H59" s="319"/>
      <c r="I59" s="348"/>
      <c r="J59" s="349"/>
      <c r="K59" s="351"/>
      <c r="L59" s="318"/>
      <c r="M59" s="319"/>
      <c r="N59" s="319"/>
      <c r="O59" s="318"/>
      <c r="P59" s="319"/>
      <c r="Q59" s="319">
        <v>38</v>
      </c>
      <c r="R59" s="82"/>
      <c r="S59" s="83"/>
      <c r="T59" s="307"/>
      <c r="U59" s="396"/>
    </row>
    <row r="60" spans="1:21" s="16" customFormat="1" ht="18" customHeight="1">
      <c r="A60" s="457" t="s">
        <v>288</v>
      </c>
      <c r="B60" s="320"/>
      <c r="C60" s="442"/>
      <c r="D60" s="443"/>
      <c r="E60" s="443"/>
      <c r="F60" s="318"/>
      <c r="G60" s="319"/>
      <c r="H60" s="319"/>
      <c r="I60" s="348"/>
      <c r="J60" s="349"/>
      <c r="K60" s="351"/>
      <c r="L60" s="318"/>
      <c r="M60" s="319"/>
      <c r="N60" s="319"/>
      <c r="O60" s="318"/>
      <c r="P60" s="319"/>
      <c r="Q60" s="319">
        <v>59</v>
      </c>
      <c r="R60" s="82"/>
      <c r="S60" s="83"/>
      <c r="T60" s="307"/>
      <c r="U60" s="396"/>
    </row>
    <row r="61" spans="1:21" s="16" customFormat="1" ht="18" customHeight="1">
      <c r="A61" s="457"/>
      <c r="B61" s="320"/>
      <c r="C61" s="442"/>
      <c r="D61" s="443"/>
      <c r="E61" s="443"/>
      <c r="F61" s="318"/>
      <c r="G61" s="319"/>
      <c r="H61" s="319"/>
      <c r="I61" s="348"/>
      <c r="J61" s="349"/>
      <c r="K61" s="351"/>
      <c r="L61" s="318"/>
      <c r="M61" s="319"/>
      <c r="N61" s="319"/>
      <c r="O61" s="318"/>
      <c r="P61" s="319"/>
      <c r="Q61" s="319"/>
      <c r="R61" s="82"/>
      <c r="S61" s="83"/>
      <c r="T61" s="307"/>
      <c r="U61" s="396"/>
    </row>
    <row r="62" spans="1:21" s="16" customFormat="1" ht="18" customHeight="1">
      <c r="A62" s="453"/>
      <c r="B62" s="398"/>
      <c r="C62" s="442"/>
      <c r="D62" s="443"/>
      <c r="E62" s="443"/>
      <c r="F62" s="318"/>
      <c r="G62" s="319"/>
      <c r="H62" s="319"/>
      <c r="I62" s="348"/>
      <c r="J62" s="349"/>
      <c r="K62" s="351"/>
      <c r="L62" s="318"/>
      <c r="M62" s="319"/>
      <c r="N62" s="319"/>
      <c r="O62" s="318"/>
      <c r="P62" s="319"/>
      <c r="Q62" s="319"/>
      <c r="R62" s="82"/>
      <c r="S62" s="83"/>
      <c r="T62" s="307">
        <f>E62+H62+K62+N62+Q62</f>
        <v>0</v>
      </c>
      <c r="U62" s="396"/>
    </row>
    <row r="63" spans="1:21" s="200" customFormat="1" ht="15.75">
      <c r="A63" s="721" t="s">
        <v>27</v>
      </c>
      <c r="B63" s="722"/>
      <c r="C63" s="309">
        <f>SUM(C12:C37)</f>
        <v>0</v>
      </c>
      <c r="D63" s="310">
        <f>SUM(D12:D37)</f>
        <v>0</v>
      </c>
      <c r="E63" s="310">
        <f>SUM(E12:E45)</f>
        <v>1328500</v>
      </c>
      <c r="F63" s="309">
        <f>SUM(F12:F37)</f>
        <v>0</v>
      </c>
      <c r="G63" s="310">
        <f>SUM(G12:G37)</f>
        <v>0</v>
      </c>
      <c r="H63" s="359">
        <v>-75000</v>
      </c>
      <c r="I63" s="309">
        <f>SUM(I12:I37)</f>
        <v>0</v>
      </c>
      <c r="J63" s="310">
        <f>SUM(J12:J37)</f>
        <v>0</v>
      </c>
      <c r="K63" s="310">
        <f>SUM(K12:K45)</f>
        <v>2765000</v>
      </c>
      <c r="L63" s="309">
        <f>SUM(L12:L37)</f>
        <v>0</v>
      </c>
      <c r="M63" s="310">
        <f>SUM(M12:M37)</f>
        <v>0</v>
      </c>
      <c r="N63" s="359">
        <f>SUM(N12:N62)</f>
        <v>288380</v>
      </c>
      <c r="O63" s="309">
        <f>SUM(O12:O37)</f>
        <v>0</v>
      </c>
      <c r="P63" s="310">
        <f>SUM(P12:P37)</f>
        <v>0</v>
      </c>
      <c r="Q63" s="310">
        <f>SUM(Q12:Q62)</f>
        <v>100124.35247</v>
      </c>
      <c r="R63" s="309">
        <f>SUM(R12:R37)</f>
        <v>0</v>
      </c>
      <c r="S63" s="310">
        <f>SUM(S12:S37)</f>
        <v>0</v>
      </c>
      <c r="T63" s="88">
        <f>SUM(T12:T37,T62:T62)+H63</f>
        <v>1337328.35247</v>
      </c>
      <c r="U63" s="199"/>
    </row>
    <row r="64" spans="1:34" s="13" customFormat="1" ht="15.75">
      <c r="A64" s="679" t="s">
        <v>9</v>
      </c>
      <c r="B64" s="680"/>
      <c r="C64" s="311"/>
      <c r="D64" s="312"/>
      <c r="E64" s="312"/>
      <c r="F64" s="311"/>
      <c r="G64" s="312"/>
      <c r="H64" s="312"/>
      <c r="I64" s="311"/>
      <c r="J64" s="312"/>
      <c r="K64" s="312"/>
      <c r="L64" s="311"/>
      <c r="M64" s="312"/>
      <c r="N64" s="312"/>
      <c r="O64" s="311"/>
      <c r="P64" s="312"/>
      <c r="Q64" s="312"/>
      <c r="R64" s="311"/>
      <c r="S64" s="312">
        <f>D64+G64+J64+M64+P64</f>
        <v>0</v>
      </c>
      <c r="T64" s="313"/>
      <c r="U64" s="19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21" s="13" customFormat="1" ht="15.75">
      <c r="A65" s="679" t="s">
        <v>8</v>
      </c>
      <c r="B65" s="680"/>
      <c r="C65" s="293"/>
      <c r="D65" s="314">
        <f>SUM(D63:D64)</f>
        <v>0</v>
      </c>
      <c r="E65" s="314"/>
      <c r="F65" s="293"/>
      <c r="G65" s="314">
        <f>+G63+G64</f>
        <v>0</v>
      </c>
      <c r="H65" s="314"/>
      <c r="I65" s="293"/>
      <c r="J65" s="314">
        <f>+J63+J64</f>
        <v>0</v>
      </c>
      <c r="K65" s="314"/>
      <c r="L65" s="293"/>
      <c r="M65" s="314">
        <f>+M63+M64</f>
        <v>0</v>
      </c>
      <c r="N65" s="314"/>
      <c r="O65" s="293"/>
      <c r="P65" s="314">
        <f>+P63+P64</f>
        <v>0</v>
      </c>
      <c r="Q65" s="314"/>
      <c r="R65" s="293"/>
      <c r="S65" s="314">
        <f>SUM(S63:S64)</f>
        <v>0</v>
      </c>
      <c r="T65" s="315"/>
      <c r="U65" s="195"/>
    </row>
    <row r="66" spans="1:21" s="13" customFormat="1" ht="15.75">
      <c r="A66" s="681" t="s">
        <v>10</v>
      </c>
      <c r="B66" s="682"/>
      <c r="C66" s="82"/>
      <c r="D66" s="83"/>
      <c r="E66" s="83"/>
      <c r="F66" s="82"/>
      <c r="G66" s="83"/>
      <c r="H66" s="83"/>
      <c r="I66" s="82"/>
      <c r="J66" s="83"/>
      <c r="K66" s="83"/>
      <c r="L66" s="82"/>
      <c r="M66" s="83"/>
      <c r="N66" s="83"/>
      <c r="O66" s="82"/>
      <c r="P66" s="83"/>
      <c r="Q66" s="83"/>
      <c r="R66" s="82"/>
      <c r="S66" s="83"/>
      <c r="T66" s="307"/>
      <c r="U66" s="195"/>
    </row>
    <row r="67" spans="1:21" s="13" customFormat="1" ht="15.75">
      <c r="A67" s="684" t="s">
        <v>171</v>
      </c>
      <c r="B67" s="685"/>
      <c r="C67" s="82"/>
      <c r="D67" s="83"/>
      <c r="E67" s="83"/>
      <c r="F67" s="82"/>
      <c r="G67" s="83"/>
      <c r="H67" s="83"/>
      <c r="I67" s="82"/>
      <c r="J67" s="83"/>
      <c r="K67" s="83"/>
      <c r="L67" s="82"/>
      <c r="M67" s="83"/>
      <c r="N67" s="83"/>
      <c r="O67" s="82"/>
      <c r="P67" s="83"/>
      <c r="Q67" s="83"/>
      <c r="R67" s="82"/>
      <c r="S67" s="83">
        <f>D67+G67+J67+M67+P67</f>
        <v>0</v>
      </c>
      <c r="T67" s="307"/>
      <c r="U67" s="195"/>
    </row>
    <row r="68" spans="1:21" s="13" customFormat="1" ht="15.75">
      <c r="A68" s="704" t="s">
        <v>222</v>
      </c>
      <c r="B68" s="705"/>
      <c r="C68" s="311"/>
      <c r="D68" s="312"/>
      <c r="E68" s="312"/>
      <c r="F68" s="311"/>
      <c r="G68" s="312"/>
      <c r="H68" s="312"/>
      <c r="I68" s="311"/>
      <c r="J68" s="312"/>
      <c r="K68" s="312"/>
      <c r="L68" s="311"/>
      <c r="M68" s="312"/>
      <c r="N68" s="312"/>
      <c r="O68" s="311"/>
      <c r="P68" s="312"/>
      <c r="Q68" s="312"/>
      <c r="R68" s="311"/>
      <c r="S68" s="312">
        <f>D68+G68+J68+M68+P68</f>
        <v>0</v>
      </c>
      <c r="T68" s="313"/>
      <c r="U68" s="195"/>
    </row>
    <row r="69" spans="1:21" s="13" customFormat="1" ht="15.75">
      <c r="A69" s="679" t="s">
        <v>11</v>
      </c>
      <c r="B69" s="680"/>
      <c r="C69" s="311"/>
      <c r="D69" s="312">
        <f>D68+D67+D65</f>
        <v>0</v>
      </c>
      <c r="E69" s="312"/>
      <c r="F69" s="311"/>
      <c r="G69" s="312">
        <f>G68+G67+G65</f>
        <v>0</v>
      </c>
      <c r="H69" s="312"/>
      <c r="I69" s="311"/>
      <c r="J69" s="312">
        <f>J68+J67+J65</f>
        <v>0</v>
      </c>
      <c r="K69" s="312"/>
      <c r="L69" s="311"/>
      <c r="M69" s="312">
        <f>M68+M67+M65</f>
        <v>0</v>
      </c>
      <c r="N69" s="312"/>
      <c r="O69" s="311"/>
      <c r="P69" s="312">
        <f>P68+P67+P65</f>
        <v>0</v>
      </c>
      <c r="Q69" s="312"/>
      <c r="R69" s="311"/>
      <c r="S69" s="312">
        <f>S68+S67+S65</f>
        <v>0</v>
      </c>
      <c r="T69" s="313"/>
      <c r="U69" s="195"/>
    </row>
    <row r="70" spans="1:21" s="13" customFormat="1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95"/>
    </row>
    <row r="71" spans="1:21" s="13" customFormat="1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 t="s">
        <v>276</v>
      </c>
      <c r="P71" s="10"/>
      <c r="Q71" s="10"/>
      <c r="R71" s="10"/>
      <c r="S71" s="10"/>
      <c r="T71" s="10"/>
      <c r="U71" s="195"/>
    </row>
    <row r="72" spans="1:21" s="13" customFormat="1" ht="15.75">
      <c r="A72" s="1" t="s">
        <v>291</v>
      </c>
      <c r="B72" s="27"/>
      <c r="C72" s="1"/>
      <c r="D72" s="1"/>
      <c r="E72" s="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95"/>
    </row>
    <row r="73" spans="1:21" s="13" customFormat="1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95"/>
    </row>
    <row r="74" spans="1:21" s="13" customFormat="1" ht="16.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10"/>
      <c r="S74" s="10"/>
      <c r="T74" s="10"/>
      <c r="U74" s="195"/>
    </row>
    <row r="75" spans="1:21" s="13" customFormat="1" ht="16.5" customHeight="1">
      <c r="A75" s="10" t="s">
        <v>293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95"/>
    </row>
    <row r="76" spans="1:21" s="13" customFormat="1" ht="15.75">
      <c r="A76" s="726"/>
      <c r="B76" s="726"/>
      <c r="C76" s="726"/>
      <c r="D76" s="726"/>
      <c r="E76" s="726"/>
      <c r="F76" s="726"/>
      <c r="G76" s="726"/>
      <c r="H76" s="726"/>
      <c r="I76" s="726"/>
      <c r="J76" s="726"/>
      <c r="K76" s="726"/>
      <c r="L76" s="726"/>
      <c r="M76" s="726"/>
      <c r="N76" s="726"/>
      <c r="O76" s="726"/>
      <c r="P76" s="726"/>
      <c r="Q76" s="726"/>
      <c r="R76" s="726"/>
      <c r="S76" s="726"/>
      <c r="T76" s="726"/>
      <c r="U76" s="195"/>
    </row>
    <row r="77" spans="1:21" s="13" customFormat="1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96"/>
    </row>
    <row r="78" spans="1:21" s="13" customFormat="1" ht="15.75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9"/>
      <c r="M78" s="9"/>
      <c r="N78" s="9"/>
      <c r="O78" s="9"/>
      <c r="P78" s="9"/>
      <c r="Q78" s="9"/>
      <c r="R78" s="9"/>
      <c r="S78" s="9"/>
      <c r="T78" s="9"/>
      <c r="U78" s="196"/>
    </row>
    <row r="79" spans="1:21" s="13" customFormat="1" ht="15.75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9"/>
      <c r="M79" s="9"/>
      <c r="N79" s="9"/>
      <c r="O79" s="9"/>
      <c r="P79" s="9"/>
      <c r="Q79" s="9"/>
      <c r="R79" s="9"/>
      <c r="S79" s="9"/>
      <c r="T79" s="9"/>
      <c r="U79" s="196"/>
    </row>
    <row r="80" spans="1:21" s="13" customFormat="1" ht="15.75">
      <c r="A80" s="728"/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  <c r="S80" s="729"/>
      <c r="T80" s="729"/>
      <c r="U80" s="196"/>
    </row>
    <row r="81" spans="1:21" s="13" customFormat="1" ht="15.75">
      <c r="A81" s="202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196"/>
    </row>
    <row r="82" spans="1:21" s="13" customFormat="1" ht="15.75">
      <c r="A82" s="730"/>
      <c r="B82" s="727"/>
      <c r="C82" s="727"/>
      <c r="D82" s="727"/>
      <c r="E82" s="727"/>
      <c r="F82" s="727"/>
      <c r="G82" s="727"/>
      <c r="H82" s="727"/>
      <c r="I82" s="727"/>
      <c r="J82" s="727"/>
      <c r="K82" s="727"/>
      <c r="L82" s="727"/>
      <c r="M82" s="727"/>
      <c r="N82" s="727"/>
      <c r="O82" s="727"/>
      <c r="P82" s="727"/>
      <c r="Q82" s="727"/>
      <c r="R82" s="727"/>
      <c r="S82" s="727"/>
      <c r="T82" s="727"/>
      <c r="U82" s="196"/>
    </row>
    <row r="83" spans="1:21" s="13" customFormat="1" ht="23.25" customHeight="1">
      <c r="A83" s="730"/>
      <c r="B83" s="725"/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5"/>
      <c r="Q83" s="725"/>
      <c r="R83" s="725"/>
      <c r="S83" s="725"/>
      <c r="T83" s="725"/>
      <c r="U83" s="196"/>
    </row>
    <row r="84" spans="1:21" s="13" customFormat="1" ht="9.75" customHeight="1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196"/>
    </row>
    <row r="85" spans="1:21" s="13" customFormat="1" ht="15.75">
      <c r="A85" s="730"/>
      <c r="B85" s="731"/>
      <c r="C85" s="731"/>
      <c r="D85" s="731"/>
      <c r="E85" s="731"/>
      <c r="F85" s="731"/>
      <c r="G85" s="731"/>
      <c r="H85" s="731"/>
      <c r="I85" s="731"/>
      <c r="J85" s="731"/>
      <c r="K85" s="731"/>
      <c r="L85" s="731"/>
      <c r="M85" s="731"/>
      <c r="N85" s="731"/>
      <c r="O85" s="731"/>
      <c r="P85" s="731"/>
      <c r="Q85" s="731"/>
      <c r="R85" s="731"/>
      <c r="S85" s="731"/>
      <c r="T85" s="731"/>
      <c r="U85" s="196"/>
    </row>
    <row r="86" spans="1:21" s="13" customFormat="1" ht="11.25" customHeight="1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196"/>
    </row>
    <row r="87" spans="1:21" s="13" customFormat="1" ht="15.75">
      <c r="A87" s="725"/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  <c r="S87" s="725"/>
      <c r="T87" s="725"/>
      <c r="U87" s="196"/>
    </row>
    <row r="88" spans="1:21" s="13" customFormat="1" ht="7.5" customHeight="1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196"/>
    </row>
    <row r="89" spans="1:21" s="13" customFormat="1" ht="15.75">
      <c r="A89" s="206"/>
      <c r="B89" s="206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196"/>
    </row>
    <row r="90" spans="1:21" s="13" customFormat="1" ht="11.25" customHeight="1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196"/>
    </row>
    <row r="91" spans="1:21" s="13" customFormat="1" ht="15" customHeight="1">
      <c r="A91" s="725"/>
      <c r="B91" s="727"/>
      <c r="C91" s="727"/>
      <c r="D91" s="727"/>
      <c r="E91" s="727"/>
      <c r="F91" s="727"/>
      <c r="G91" s="727"/>
      <c r="H91" s="727"/>
      <c r="I91" s="727"/>
      <c r="J91" s="727"/>
      <c r="K91" s="727"/>
      <c r="L91" s="727"/>
      <c r="M91" s="727"/>
      <c r="N91" s="727"/>
      <c r="O91" s="727"/>
      <c r="P91" s="727"/>
      <c r="Q91" s="727"/>
      <c r="R91" s="727"/>
      <c r="S91" s="727"/>
      <c r="T91" s="727"/>
      <c r="U91" s="196"/>
    </row>
    <row r="92" spans="1:21" s="13" customFormat="1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76"/>
      <c r="U92" s="196"/>
    </row>
    <row r="93" s="13" customFormat="1" ht="15.75">
      <c r="U93" s="196"/>
    </row>
  </sheetData>
  <sheetProtection/>
  <mergeCells count="27">
    <mergeCell ref="A66:B66"/>
    <mergeCell ref="A91:T91"/>
    <mergeCell ref="A80:T80"/>
    <mergeCell ref="A82:T82"/>
    <mergeCell ref="A83:T83"/>
    <mergeCell ref="A85:T85"/>
    <mergeCell ref="A31:B31"/>
    <mergeCell ref="A63:B63"/>
    <mergeCell ref="A12:B12"/>
    <mergeCell ref="A87:T87"/>
    <mergeCell ref="A76:T76"/>
    <mergeCell ref="A64:B64"/>
    <mergeCell ref="A67:B67"/>
    <mergeCell ref="A68:B68"/>
    <mergeCell ref="A69:B69"/>
    <mergeCell ref="A65:B65"/>
    <mergeCell ref="A6:T6"/>
    <mergeCell ref="C9:E10"/>
    <mergeCell ref="F9:H10"/>
    <mergeCell ref="O9:Q10"/>
    <mergeCell ref="R9:T10"/>
    <mergeCell ref="I9:K10"/>
    <mergeCell ref="L9:N10"/>
    <mergeCell ref="A1:D1"/>
    <mergeCell ref="A3:T3"/>
    <mergeCell ref="A4:T4"/>
    <mergeCell ref="A5:T5"/>
  </mergeCells>
  <printOptions horizontalCentered="1"/>
  <pageMargins left="0.75" right="0.75" top="1" bottom="1" header="0.5" footer="0.5"/>
  <pageSetup fitToHeight="1" fitToWidth="1" horizontalDpi="600" verticalDpi="600" orientation="landscape" scale="37" r:id="rId1"/>
  <headerFooter alignWithMargins="0">
    <oddFooter>&amp;RState and Local Law Enforcement Assistance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G36"/>
  <sheetViews>
    <sheetView showGridLines="0" showOutlineSymbols="0" view="pageBreakPreview" zoomScale="60" zoomScaleNormal="75" zoomScalePageLayoutView="0" workbookViewId="0" topLeftCell="A1">
      <selection activeCell="I58" sqref="I58"/>
    </sheetView>
  </sheetViews>
  <sheetFormatPr defaultColWidth="9.6640625" defaultRowHeight="15"/>
  <cols>
    <col min="1" max="1" width="4.4453125" style="27" customWidth="1"/>
    <col min="2" max="2" width="29.21484375" style="27" customWidth="1"/>
    <col min="3" max="3" width="24.21484375" style="27" customWidth="1"/>
    <col min="4" max="5" width="5.6640625" style="27" customWidth="1"/>
    <col min="6" max="6" width="10.4453125" style="27" customWidth="1"/>
    <col min="7" max="8" width="5.6640625" style="27" customWidth="1"/>
    <col min="9" max="9" width="9.3359375" style="27" customWidth="1"/>
    <col min="10" max="11" width="5.6640625" style="27" customWidth="1"/>
    <col min="12" max="12" width="8.99609375" style="27" customWidth="1"/>
    <col min="13" max="14" width="5.6640625" style="27" customWidth="1"/>
    <col min="15" max="15" width="10.99609375" style="27" customWidth="1"/>
    <col min="16" max="16" width="1.2265625" style="191" customWidth="1"/>
    <col min="17" max="17" width="27.5546875" style="27" customWidth="1"/>
    <col min="18" max="21" width="7.6640625" style="27" customWidth="1"/>
    <col min="22" max="22" width="3.6640625" style="27" customWidth="1"/>
    <col min="23" max="25" width="7.6640625" style="27" customWidth="1"/>
    <col min="26" max="26" width="3.6640625" style="27" customWidth="1"/>
    <col min="27" max="29" width="7.6640625" style="27" customWidth="1"/>
    <col min="30" max="30" width="3.6640625" style="27" customWidth="1"/>
    <col min="31" max="33" width="7.6640625" style="27" customWidth="1"/>
    <col min="34" max="16384" width="9.6640625" style="27" customWidth="1"/>
  </cols>
  <sheetData>
    <row r="1" spans="1:22" ht="20.25">
      <c r="A1" s="590" t="s">
        <v>131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190"/>
      <c r="Q1" s="1"/>
      <c r="R1" s="1"/>
      <c r="S1" s="1"/>
      <c r="T1" s="1"/>
      <c r="U1" s="1"/>
      <c r="V1" s="1"/>
    </row>
    <row r="2" spans="1:22" ht="13.5" customHeight="1">
      <c r="A2" s="2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0"/>
      <c r="Q2" s="1"/>
      <c r="R2" s="1"/>
      <c r="S2" s="1"/>
      <c r="T2" s="1"/>
      <c r="U2" s="1"/>
      <c r="V2" s="1"/>
    </row>
    <row r="3" spans="1:22" ht="18.75">
      <c r="A3" s="736" t="s">
        <v>220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190"/>
      <c r="Q3" s="1"/>
      <c r="R3" s="1"/>
      <c r="S3" s="1"/>
      <c r="T3" s="1"/>
      <c r="U3" s="1"/>
      <c r="V3" s="1"/>
    </row>
    <row r="4" spans="1:22" ht="16.5">
      <c r="A4" s="738" t="str">
        <f>+'B. Summary of Requirements '!A5</f>
        <v>Office of Justice Programs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190"/>
      <c r="Q4" s="1"/>
      <c r="R4" s="1"/>
      <c r="S4" s="1"/>
      <c r="T4" s="1"/>
      <c r="U4" s="1"/>
      <c r="V4" s="1"/>
    </row>
    <row r="5" spans="1:22" ht="16.5">
      <c r="A5" s="738" t="str">
        <f>+'B. Summary of Requirements '!A6</f>
        <v>State and Local Law Enforcement Assistance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190"/>
      <c r="Q5" s="1"/>
      <c r="R5" s="1"/>
      <c r="S5" s="1"/>
      <c r="T5" s="1"/>
      <c r="U5" s="1"/>
      <c r="V5" s="1"/>
    </row>
    <row r="6" spans="1:22" ht="15.75">
      <c r="A6" s="673" t="s">
        <v>6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190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4"/>
      <c r="H7" s="14"/>
      <c r="I7" s="14"/>
      <c r="J7" s="1"/>
      <c r="K7" s="1"/>
      <c r="L7" s="1"/>
      <c r="M7" s="1"/>
      <c r="N7" s="1"/>
      <c r="O7" s="1"/>
      <c r="P7" s="190"/>
      <c r="Q7" s="1"/>
      <c r="R7" s="1"/>
      <c r="S7" s="1"/>
      <c r="T7" s="1"/>
      <c r="U7" s="1"/>
      <c r="V7" s="1"/>
    </row>
    <row r="8" spans="1:22" ht="15.75">
      <c r="A8" s="739" t="s">
        <v>17</v>
      </c>
      <c r="B8" s="740"/>
      <c r="C8" s="741"/>
      <c r="D8" s="732" t="s">
        <v>240</v>
      </c>
      <c r="E8" s="733"/>
      <c r="F8" s="734"/>
      <c r="G8" s="732" t="s">
        <v>53</v>
      </c>
      <c r="H8" s="733"/>
      <c r="I8" s="734"/>
      <c r="J8" s="732" t="s">
        <v>51</v>
      </c>
      <c r="K8" s="733"/>
      <c r="L8" s="734"/>
      <c r="M8" s="732" t="s">
        <v>163</v>
      </c>
      <c r="N8" s="733"/>
      <c r="O8" s="734"/>
      <c r="P8" s="190"/>
      <c r="Q8" s="1"/>
      <c r="R8" s="1"/>
      <c r="S8" s="1"/>
      <c r="T8" s="1"/>
      <c r="U8" s="1"/>
      <c r="V8" s="1"/>
    </row>
    <row r="9" spans="1:22" ht="16.5" thickBot="1">
      <c r="A9" s="742"/>
      <c r="B9" s="743"/>
      <c r="C9" s="744"/>
      <c r="D9" s="72" t="s">
        <v>20</v>
      </c>
      <c r="E9" s="72" t="s">
        <v>165</v>
      </c>
      <c r="F9" s="72" t="s">
        <v>22</v>
      </c>
      <c r="G9" s="92" t="s">
        <v>20</v>
      </c>
      <c r="H9" s="72" t="s">
        <v>165</v>
      </c>
      <c r="I9" s="72" t="s">
        <v>22</v>
      </c>
      <c r="J9" s="92" t="s">
        <v>20</v>
      </c>
      <c r="K9" s="72" t="s">
        <v>165</v>
      </c>
      <c r="L9" s="72" t="s">
        <v>22</v>
      </c>
      <c r="M9" s="92" t="s">
        <v>20</v>
      </c>
      <c r="N9" s="72" t="s">
        <v>165</v>
      </c>
      <c r="O9" s="93" t="s">
        <v>22</v>
      </c>
      <c r="P9" s="190"/>
      <c r="Q9" s="1"/>
      <c r="R9" s="1"/>
      <c r="S9" s="1"/>
      <c r="T9" s="1"/>
      <c r="U9" s="1"/>
      <c r="V9" s="1"/>
    </row>
    <row r="10" spans="1:22" ht="15.75">
      <c r="A10" s="75" t="s">
        <v>251</v>
      </c>
      <c r="B10" s="76"/>
      <c r="C10" s="77"/>
      <c r="D10" s="244"/>
      <c r="E10" s="244"/>
      <c r="F10" s="244">
        <v>324</v>
      </c>
      <c r="G10" s="409"/>
      <c r="H10" s="244"/>
      <c r="I10" s="244">
        <v>2000</v>
      </c>
      <c r="J10" s="409"/>
      <c r="K10" s="244"/>
      <c r="L10" s="244">
        <f aca="true" t="shared" si="0" ref="L10:L17">+I10</f>
        <v>2000</v>
      </c>
      <c r="M10" s="243"/>
      <c r="N10" s="244"/>
      <c r="O10" s="245"/>
      <c r="P10" s="190"/>
      <c r="Q10" s="1"/>
      <c r="R10" s="1"/>
      <c r="S10" s="1"/>
      <c r="T10" s="1"/>
      <c r="U10" s="1"/>
      <c r="V10" s="1"/>
    </row>
    <row r="11" spans="1:22" ht="15.75">
      <c r="A11" s="75" t="s">
        <v>298</v>
      </c>
      <c r="B11" s="76"/>
      <c r="C11" s="77"/>
      <c r="D11" s="244"/>
      <c r="E11" s="244"/>
      <c r="F11" s="244">
        <v>0</v>
      </c>
      <c r="G11" s="243"/>
      <c r="H11" s="244"/>
      <c r="I11" s="244">
        <v>7000</v>
      </c>
      <c r="J11" s="243"/>
      <c r="K11" s="244"/>
      <c r="L11" s="244">
        <f t="shared" si="0"/>
        <v>7000</v>
      </c>
      <c r="M11" s="243"/>
      <c r="N11" s="244"/>
      <c r="O11" s="245"/>
      <c r="P11" s="190"/>
      <c r="Q11" s="1"/>
      <c r="R11" s="1"/>
      <c r="S11" s="1"/>
      <c r="T11" s="1"/>
      <c r="U11" s="1"/>
      <c r="V11" s="1"/>
    </row>
    <row r="12" spans="1:22" ht="15.75">
      <c r="A12" s="75" t="s">
        <v>252</v>
      </c>
      <c r="B12" s="76"/>
      <c r="C12" s="77"/>
      <c r="D12" s="244"/>
      <c r="E12" s="244"/>
      <c r="F12" s="244">
        <v>38428</v>
      </c>
      <c r="G12" s="243"/>
      <c r="H12" s="244"/>
      <c r="I12" s="244">
        <f>2000+1000+100+100+1535</f>
        <v>4735</v>
      </c>
      <c r="J12" s="243"/>
      <c r="K12" s="244"/>
      <c r="L12" s="244">
        <f t="shared" si="0"/>
        <v>4735</v>
      </c>
      <c r="M12" s="243"/>
      <c r="N12" s="244"/>
      <c r="O12" s="245"/>
      <c r="P12" s="190"/>
      <c r="Q12" s="1"/>
      <c r="R12" s="1"/>
      <c r="S12" s="1"/>
      <c r="T12" s="1"/>
      <c r="U12" s="1"/>
      <c r="V12" s="1"/>
    </row>
    <row r="13" spans="1:22" ht="15.75">
      <c r="A13" s="75" t="s">
        <v>253</v>
      </c>
      <c r="B13" s="76"/>
      <c r="C13" s="77"/>
      <c r="D13" s="244"/>
      <c r="E13" s="244"/>
      <c r="F13" s="244">
        <v>500</v>
      </c>
      <c r="G13" s="243"/>
      <c r="H13" s="244"/>
      <c r="I13" s="244">
        <v>0</v>
      </c>
      <c r="J13" s="243"/>
      <c r="K13" s="244"/>
      <c r="L13" s="244">
        <f t="shared" si="0"/>
        <v>0</v>
      </c>
      <c r="M13" s="243"/>
      <c r="N13" s="244"/>
      <c r="O13" s="245"/>
      <c r="P13" s="190"/>
      <c r="Q13" s="1"/>
      <c r="R13" s="1"/>
      <c r="S13" s="1"/>
      <c r="T13" s="1"/>
      <c r="U13" s="1"/>
      <c r="V13" s="1"/>
    </row>
    <row r="14" spans="1:22" ht="15.75">
      <c r="A14" s="75" t="s">
        <v>254</v>
      </c>
      <c r="B14" s="76"/>
      <c r="C14" s="77"/>
      <c r="D14" s="244"/>
      <c r="E14" s="244"/>
      <c r="F14" s="244">
        <v>10</v>
      </c>
      <c r="G14" s="243"/>
      <c r="H14" s="244"/>
      <c r="I14" s="244">
        <v>0</v>
      </c>
      <c r="J14" s="243"/>
      <c r="K14" s="244"/>
      <c r="L14" s="244">
        <f t="shared" si="0"/>
        <v>0</v>
      </c>
      <c r="M14" s="243"/>
      <c r="N14" s="244"/>
      <c r="O14" s="245"/>
      <c r="P14" s="190"/>
      <c r="Q14" s="1"/>
      <c r="R14" s="1"/>
      <c r="S14" s="1"/>
      <c r="T14" s="1"/>
      <c r="U14" s="1"/>
      <c r="V14" s="1"/>
    </row>
    <row r="15" spans="1:22" ht="15.75">
      <c r="A15" s="75" t="s">
        <v>275</v>
      </c>
      <c r="B15" s="76"/>
      <c r="C15" s="77"/>
      <c r="D15" s="244"/>
      <c r="E15" s="244"/>
      <c r="F15" s="244">
        <v>0</v>
      </c>
      <c r="G15" s="243"/>
      <c r="H15" s="244"/>
      <c r="I15" s="244">
        <v>150</v>
      </c>
      <c r="J15" s="243"/>
      <c r="K15" s="244"/>
      <c r="L15" s="244">
        <f t="shared" si="0"/>
        <v>150</v>
      </c>
      <c r="M15" s="243"/>
      <c r="N15" s="244"/>
      <c r="O15" s="245"/>
      <c r="P15" s="190"/>
      <c r="Q15" s="15"/>
      <c r="R15" s="15"/>
      <c r="S15" s="1"/>
      <c r="T15" s="1"/>
      <c r="U15" s="1"/>
      <c r="V15" s="1"/>
    </row>
    <row r="16" spans="1:22" ht="15.75">
      <c r="A16" s="75" t="s">
        <v>255</v>
      </c>
      <c r="B16" s="76"/>
      <c r="C16" s="77"/>
      <c r="D16" s="244"/>
      <c r="E16" s="244"/>
      <c r="F16" s="244">
        <v>11718</v>
      </c>
      <c r="G16" s="243"/>
      <c r="H16" s="244"/>
      <c r="I16" s="244">
        <f>4000</f>
        <v>4000</v>
      </c>
      <c r="J16" s="243"/>
      <c r="K16" s="244"/>
      <c r="L16" s="244">
        <f t="shared" si="0"/>
        <v>4000</v>
      </c>
      <c r="M16" s="243"/>
      <c r="N16" s="244"/>
      <c r="O16" s="245"/>
      <c r="P16" s="190"/>
      <c r="Q16" s="1"/>
      <c r="R16" s="1"/>
      <c r="S16" s="1"/>
      <c r="T16" s="1"/>
      <c r="U16" s="1"/>
      <c r="V16" s="1"/>
    </row>
    <row r="17" spans="1:22" ht="15.75">
      <c r="A17" s="74" t="s">
        <v>256</v>
      </c>
      <c r="B17" s="22"/>
      <c r="C17" s="64"/>
      <c r="D17" s="247"/>
      <c r="E17" s="247"/>
      <c r="F17" s="247">
        <v>2018</v>
      </c>
      <c r="G17" s="246"/>
      <c r="H17" s="247"/>
      <c r="I17" s="247">
        <f>300+141</f>
        <v>441</v>
      </c>
      <c r="J17" s="246"/>
      <c r="K17" s="247"/>
      <c r="L17" s="446">
        <f t="shared" si="0"/>
        <v>441</v>
      </c>
      <c r="M17" s="246"/>
      <c r="N17" s="247"/>
      <c r="O17" s="248"/>
      <c r="P17" s="190"/>
      <c r="Q17" s="1"/>
      <c r="R17" s="1"/>
      <c r="S17" s="1"/>
      <c r="T17" s="1"/>
      <c r="U17" s="1"/>
      <c r="V17" s="1"/>
    </row>
    <row r="18" spans="1:22" ht="15.75">
      <c r="A18" s="69"/>
      <c r="B18" s="1"/>
      <c r="C18" s="63"/>
      <c r="D18" s="15"/>
      <c r="E18" s="15"/>
      <c r="F18" s="15"/>
      <c r="G18" s="70"/>
      <c r="H18" s="15"/>
      <c r="I18" s="15"/>
      <c r="J18" s="70"/>
      <c r="K18" s="15"/>
      <c r="L18" s="15"/>
      <c r="M18" s="70"/>
      <c r="N18" s="15"/>
      <c r="O18" s="65"/>
      <c r="P18" s="190"/>
      <c r="Q18" s="1"/>
      <c r="R18" s="1"/>
      <c r="S18" s="1"/>
      <c r="T18" s="1"/>
      <c r="U18" s="1"/>
      <c r="V18" s="1"/>
    </row>
    <row r="19" spans="1:33" ht="15.75">
      <c r="A19" s="71"/>
      <c r="B19" s="66" t="s">
        <v>18</v>
      </c>
      <c r="C19" s="73"/>
      <c r="D19" s="250">
        <f>SUM(D10:D18)</f>
        <v>0</v>
      </c>
      <c r="E19" s="250">
        <f>SUM(E10:E18)</f>
        <v>0</v>
      </c>
      <c r="F19" s="67">
        <f>SUM(F10:F18)</f>
        <v>52998</v>
      </c>
      <c r="G19" s="249">
        <f>SUM(G10:G18)</f>
        <v>0</v>
      </c>
      <c r="H19" s="250">
        <f>SUM(H10:H18)</f>
        <v>0</v>
      </c>
      <c r="I19" s="67">
        <f>SUM(I10:I18)</f>
        <v>18326</v>
      </c>
      <c r="J19" s="249">
        <f aca="true" t="shared" si="1" ref="J19:O19">SUM(J10:J18)</f>
        <v>0</v>
      </c>
      <c r="K19" s="250">
        <f t="shared" si="1"/>
        <v>0</v>
      </c>
      <c r="L19" s="67">
        <f t="shared" si="1"/>
        <v>18326</v>
      </c>
      <c r="M19" s="249">
        <f t="shared" si="1"/>
        <v>0</v>
      </c>
      <c r="N19" s="250">
        <f t="shared" si="1"/>
        <v>0</v>
      </c>
      <c r="O19" s="68">
        <f t="shared" si="1"/>
        <v>0</v>
      </c>
      <c r="P19" s="190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15.75">
      <c r="A21" s="745"/>
      <c r="B21" s="746"/>
      <c r="C21" s="746"/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>
      <c r="A23" s="57"/>
      <c r="B23" s="57"/>
      <c r="C23" s="57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Q24" s="2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42.75" customHeight="1">
      <c r="A25" s="125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Q25" s="29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ht="18">
      <c r="A26" s="125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84" customHeight="1">
      <c r="A27" s="747"/>
      <c r="B27" s="747"/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4.2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Q28" s="28"/>
      <c r="R28" s="28"/>
      <c r="S28" s="28"/>
      <c r="T28" s="31"/>
      <c r="U28" s="31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customHeight="1">
      <c r="A29" s="750"/>
      <c r="B29" s="750"/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24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customHeight="1">
      <c r="A31" s="749"/>
      <c r="B31" s="749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8" customHeight="1">
      <c r="A32" s="749"/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8">
      <c r="A34" s="747"/>
      <c r="B34" s="747"/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73"/>
      <c r="O36" s="174"/>
    </row>
  </sheetData>
  <sheetProtection/>
  <mergeCells count="15">
    <mergeCell ref="A21:O21"/>
    <mergeCell ref="A34:O34"/>
    <mergeCell ref="A31:O32"/>
    <mergeCell ref="A27:O27"/>
    <mergeCell ref="A29:O29"/>
    <mergeCell ref="D8:F8"/>
    <mergeCell ref="A1:O1"/>
    <mergeCell ref="A3:O3"/>
    <mergeCell ref="A4:O4"/>
    <mergeCell ref="A5:O5"/>
    <mergeCell ref="A6:O6"/>
    <mergeCell ref="A8:C9"/>
    <mergeCell ref="M8:O8"/>
    <mergeCell ref="J8:L8"/>
    <mergeCell ref="G8:I8"/>
  </mergeCells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Footer>&amp;RState and Local Law Enforcement Assistance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K54"/>
  <sheetViews>
    <sheetView view="pageBreakPreview" zoomScale="50" zoomScaleNormal="75" zoomScaleSheetLayoutView="50" zoomScalePageLayoutView="0" workbookViewId="0" topLeftCell="A1">
      <pane xSplit="2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45" sqref="Y45"/>
    </sheetView>
  </sheetViews>
  <sheetFormatPr defaultColWidth="8.88671875" defaultRowHeight="15"/>
  <cols>
    <col min="1" max="1" width="1.4375" style="0" customWidth="1"/>
    <col min="2" max="2" width="60.88671875" style="0" customWidth="1"/>
    <col min="3" max="3" width="5.77734375" style="0" customWidth="1"/>
    <col min="4" max="4" width="10.77734375" style="0" customWidth="1"/>
    <col min="5" max="5" width="5.77734375" style="0" customWidth="1"/>
    <col min="6" max="6" width="10.77734375" style="0" customWidth="1"/>
    <col min="7" max="7" width="5.77734375" style="0" customWidth="1"/>
    <col min="8" max="8" width="11.77734375" style="0" customWidth="1"/>
    <col min="9" max="9" width="5.77734375" style="0" customWidth="1"/>
    <col min="10" max="10" width="12.77734375" style="0" customWidth="1"/>
    <col min="11" max="11" width="5.77734375" style="0" customWidth="1"/>
    <col min="12" max="12" width="12.77734375" style="0" customWidth="1"/>
    <col min="13" max="13" width="5.77734375" style="0" customWidth="1"/>
    <col min="14" max="14" width="10.77734375" style="0" customWidth="1"/>
    <col min="15" max="15" width="5.77734375" style="0" customWidth="1"/>
    <col min="16" max="16" width="10.77734375" style="0" customWidth="1"/>
    <col min="17" max="17" width="5.77734375" style="0" customWidth="1"/>
    <col min="18" max="18" width="10.77734375" style="0" customWidth="1"/>
    <col min="19" max="19" width="7.77734375" style="0" customWidth="1"/>
    <col min="20" max="20" width="11.77734375" style="0" customWidth="1"/>
    <col min="21" max="21" width="6.99609375" style="0" customWidth="1"/>
    <col min="22" max="22" width="16.4453125" style="0" customWidth="1"/>
    <col min="23" max="23" width="0.671875" style="194" customWidth="1"/>
  </cols>
  <sheetData>
    <row r="1" spans="1:23" ht="30">
      <c r="A1" s="478" t="s">
        <v>130</v>
      </c>
      <c r="B1" s="47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192"/>
    </row>
    <row r="2" spans="1:23" ht="12.75" customHeight="1">
      <c r="A2" s="44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92"/>
    </row>
    <row r="3" spans="1:23" ht="18.75">
      <c r="A3" s="480"/>
      <c r="B3" s="465" t="s">
        <v>70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92"/>
    </row>
    <row r="4" spans="1:23" ht="16.5">
      <c r="A4" s="481"/>
      <c r="B4" s="466" t="str">
        <f>+'B. Summary of Requirements '!A5</f>
        <v>Office of Justice Programs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92"/>
    </row>
    <row r="5" spans="1:23" ht="16.5">
      <c r="A5" s="480"/>
      <c r="B5" s="466" t="str">
        <f>+'B. Summary of Requirements '!A6</f>
        <v>State and Local Law Enforcement Assistance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92"/>
    </row>
    <row r="6" spans="1:23" ht="15.75">
      <c r="A6" s="480"/>
      <c r="B6" s="467" t="s">
        <v>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92"/>
    </row>
    <row r="7" spans="1:24" ht="16.5" thickBot="1">
      <c r="A7" s="480"/>
      <c r="B7" s="115"/>
      <c r="C7" s="410"/>
      <c r="D7" s="115"/>
      <c r="E7" s="115"/>
      <c r="F7" s="115"/>
      <c r="G7" s="410"/>
      <c r="H7" s="115"/>
      <c r="I7" s="115"/>
      <c r="J7" s="115"/>
      <c r="K7" s="115"/>
      <c r="L7" s="115"/>
      <c r="M7" s="410"/>
      <c r="N7" s="115"/>
      <c r="O7" s="115"/>
      <c r="P7" s="115"/>
      <c r="Q7" s="115"/>
      <c r="R7" s="115"/>
      <c r="S7" s="115"/>
      <c r="T7" s="115"/>
      <c r="U7" s="115"/>
      <c r="V7" s="115"/>
      <c r="W7" s="192"/>
      <c r="X7" s="24"/>
    </row>
    <row r="8" spans="1:23" ht="15.75" customHeight="1">
      <c r="A8" s="480"/>
      <c r="B8" s="779" t="s">
        <v>5</v>
      </c>
      <c r="C8" s="787" t="s">
        <v>40</v>
      </c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9"/>
      <c r="U8" s="760" t="s">
        <v>224</v>
      </c>
      <c r="V8" s="761"/>
      <c r="W8" s="192"/>
    </row>
    <row r="9" spans="1:23" ht="15.75" customHeight="1">
      <c r="A9" s="480"/>
      <c r="B9" s="780"/>
      <c r="C9" s="751" t="s">
        <v>30</v>
      </c>
      <c r="D9" s="752"/>
      <c r="E9" s="751" t="s">
        <v>30</v>
      </c>
      <c r="F9" s="752"/>
      <c r="G9" s="751" t="s">
        <v>71</v>
      </c>
      <c r="H9" s="753"/>
      <c r="I9" s="751" t="s">
        <v>71</v>
      </c>
      <c r="J9" s="753"/>
      <c r="K9" s="751" t="s">
        <v>71</v>
      </c>
      <c r="L9" s="753"/>
      <c r="M9" s="751" t="s">
        <v>71</v>
      </c>
      <c r="N9" s="753"/>
      <c r="O9" s="751" t="s">
        <v>71</v>
      </c>
      <c r="P9" s="753"/>
      <c r="Q9" s="790" t="s">
        <v>71</v>
      </c>
      <c r="R9" s="753"/>
      <c r="S9" s="751" t="s">
        <v>71</v>
      </c>
      <c r="T9" s="753"/>
      <c r="U9" s="762"/>
      <c r="V9" s="763"/>
      <c r="W9" s="192"/>
    </row>
    <row r="10" spans="1:23" ht="66" customHeight="1">
      <c r="A10" s="480"/>
      <c r="B10" s="781"/>
      <c r="C10" s="754" t="s">
        <v>29</v>
      </c>
      <c r="D10" s="755"/>
      <c r="E10" s="756" t="s">
        <v>265</v>
      </c>
      <c r="F10" s="757"/>
      <c r="G10" s="754" t="s">
        <v>41</v>
      </c>
      <c r="H10" s="755"/>
      <c r="I10" s="785" t="s">
        <v>88</v>
      </c>
      <c r="J10" s="786"/>
      <c r="K10" s="783" t="s">
        <v>31</v>
      </c>
      <c r="L10" s="784"/>
      <c r="M10" s="754" t="s">
        <v>92</v>
      </c>
      <c r="N10" s="755"/>
      <c r="O10" s="754" t="s">
        <v>32</v>
      </c>
      <c r="P10" s="766"/>
      <c r="Q10" s="767" t="s">
        <v>93</v>
      </c>
      <c r="R10" s="755"/>
      <c r="S10" s="756" t="s">
        <v>103</v>
      </c>
      <c r="T10" s="757"/>
      <c r="U10" s="764"/>
      <c r="V10" s="765"/>
      <c r="W10" s="192"/>
    </row>
    <row r="11" spans="1:23" ht="16.5" thickBot="1">
      <c r="A11" s="480"/>
      <c r="B11" s="782"/>
      <c r="C11" s="94" t="s">
        <v>20</v>
      </c>
      <c r="D11" s="95" t="s">
        <v>4</v>
      </c>
      <c r="E11" s="116" t="s">
        <v>20</v>
      </c>
      <c r="F11" s="95" t="s">
        <v>4</v>
      </c>
      <c r="G11" s="94" t="s">
        <v>20</v>
      </c>
      <c r="H11" s="95" t="s">
        <v>4</v>
      </c>
      <c r="I11" s="116" t="s">
        <v>20</v>
      </c>
      <c r="J11" s="95" t="s">
        <v>4</v>
      </c>
      <c r="K11" s="116" t="s">
        <v>20</v>
      </c>
      <c r="L11" s="95" t="s">
        <v>4</v>
      </c>
      <c r="M11" s="94" t="s">
        <v>20</v>
      </c>
      <c r="N11" s="95" t="s">
        <v>4</v>
      </c>
      <c r="O11" s="94" t="s">
        <v>20</v>
      </c>
      <c r="P11" s="429" t="s">
        <v>4</v>
      </c>
      <c r="Q11" s="427" t="s">
        <v>20</v>
      </c>
      <c r="R11" s="95" t="s">
        <v>4</v>
      </c>
      <c r="S11" s="116" t="s">
        <v>20</v>
      </c>
      <c r="T11" s="95" t="s">
        <v>4</v>
      </c>
      <c r="U11" s="94" t="s">
        <v>20</v>
      </c>
      <c r="V11" s="468" t="s">
        <v>4</v>
      </c>
      <c r="W11" s="192"/>
    </row>
    <row r="12" spans="1:23" ht="15.75">
      <c r="A12" s="480"/>
      <c r="B12" s="471" t="s">
        <v>190</v>
      </c>
      <c r="C12" s="256"/>
      <c r="D12" s="257"/>
      <c r="E12" s="258"/>
      <c r="F12" s="259"/>
      <c r="G12" s="256"/>
      <c r="H12" s="257"/>
      <c r="I12" s="258"/>
      <c r="J12" s="259"/>
      <c r="K12" s="258"/>
      <c r="L12" s="258"/>
      <c r="M12" s="256"/>
      <c r="N12" s="257"/>
      <c r="O12" s="256"/>
      <c r="P12" s="257"/>
      <c r="Q12" s="258"/>
      <c r="R12" s="259"/>
      <c r="S12" s="258"/>
      <c r="T12" s="258"/>
      <c r="U12" s="399"/>
      <c r="V12" s="469"/>
      <c r="W12" s="192"/>
    </row>
    <row r="13" spans="1:23" ht="15.75">
      <c r="A13" s="480"/>
      <c r="B13" s="471" t="s">
        <v>191</v>
      </c>
      <c r="C13" s="256"/>
      <c r="D13" s="257"/>
      <c r="E13" s="258"/>
      <c r="F13" s="259"/>
      <c r="G13" s="256"/>
      <c r="H13" s="257"/>
      <c r="I13" s="258"/>
      <c r="J13" s="259"/>
      <c r="K13" s="258"/>
      <c r="L13" s="258"/>
      <c r="M13" s="256"/>
      <c r="N13" s="257"/>
      <c r="O13" s="256"/>
      <c r="P13" s="257"/>
      <c r="Q13" s="258"/>
      <c r="R13" s="259"/>
      <c r="S13" s="258"/>
      <c r="T13" s="258"/>
      <c r="U13" s="399"/>
      <c r="V13" s="469"/>
      <c r="W13" s="192"/>
    </row>
    <row r="14" spans="1:23" ht="15.75">
      <c r="A14" s="480"/>
      <c r="B14" s="471" t="s">
        <v>192</v>
      </c>
      <c r="C14" s="256"/>
      <c r="D14" s="257"/>
      <c r="E14" s="258"/>
      <c r="F14" s="259"/>
      <c r="G14" s="256"/>
      <c r="H14" s="257"/>
      <c r="I14" s="258"/>
      <c r="J14" s="259"/>
      <c r="K14" s="258"/>
      <c r="L14" s="258"/>
      <c r="M14" s="256"/>
      <c r="N14" s="257"/>
      <c r="O14" s="256"/>
      <c r="P14" s="257"/>
      <c r="Q14" s="258"/>
      <c r="R14" s="259"/>
      <c r="S14" s="258"/>
      <c r="T14" s="258"/>
      <c r="U14" s="399"/>
      <c r="V14" s="469"/>
      <c r="W14" s="192"/>
    </row>
    <row r="15" spans="1:23" ht="15.75">
      <c r="A15" s="480"/>
      <c r="B15" s="471" t="s">
        <v>193</v>
      </c>
      <c r="C15" s="256"/>
      <c r="D15" s="257"/>
      <c r="E15" s="258"/>
      <c r="F15" s="259"/>
      <c r="G15" s="256"/>
      <c r="H15" s="257"/>
      <c r="I15" s="258"/>
      <c r="J15" s="259"/>
      <c r="K15" s="258"/>
      <c r="L15" s="258"/>
      <c r="M15" s="256"/>
      <c r="N15" s="257"/>
      <c r="O15" s="256"/>
      <c r="P15" s="257"/>
      <c r="Q15" s="258"/>
      <c r="R15" s="259"/>
      <c r="S15" s="258"/>
      <c r="T15" s="258"/>
      <c r="U15" s="399"/>
      <c r="V15" s="469"/>
      <c r="W15" s="192"/>
    </row>
    <row r="16" spans="1:23" ht="15.75">
      <c r="A16" s="480"/>
      <c r="B16" s="471" t="s">
        <v>194</v>
      </c>
      <c r="C16" s="256"/>
      <c r="D16" s="257"/>
      <c r="E16" s="258"/>
      <c r="F16" s="259"/>
      <c r="G16" s="256"/>
      <c r="H16" s="257"/>
      <c r="I16" s="258"/>
      <c r="J16" s="259"/>
      <c r="K16" s="258"/>
      <c r="L16" s="258"/>
      <c r="M16" s="256"/>
      <c r="N16" s="257"/>
      <c r="O16" s="256"/>
      <c r="P16" s="257"/>
      <c r="Q16" s="258"/>
      <c r="R16" s="259"/>
      <c r="S16" s="258"/>
      <c r="T16" s="258"/>
      <c r="U16" s="399"/>
      <c r="V16" s="469"/>
      <c r="W16" s="192"/>
    </row>
    <row r="17" spans="1:23" ht="15.75">
      <c r="A17" s="480"/>
      <c r="B17" s="471" t="s">
        <v>195</v>
      </c>
      <c r="C17" s="256"/>
      <c r="D17" s="257"/>
      <c r="E17" s="258"/>
      <c r="F17" s="259"/>
      <c r="G17" s="256"/>
      <c r="H17" s="257"/>
      <c r="I17" s="258"/>
      <c r="J17" s="259"/>
      <c r="K17" s="258"/>
      <c r="L17" s="258"/>
      <c r="M17" s="256"/>
      <c r="N17" s="257"/>
      <c r="O17" s="256"/>
      <c r="P17" s="257"/>
      <c r="Q17" s="258"/>
      <c r="R17" s="259"/>
      <c r="S17" s="258"/>
      <c r="T17" s="258"/>
      <c r="U17" s="399"/>
      <c r="V17" s="469"/>
      <c r="W17" s="192"/>
    </row>
    <row r="18" spans="1:23" ht="15.75">
      <c r="A18" s="480"/>
      <c r="B18" s="471" t="s">
        <v>196</v>
      </c>
      <c r="C18" s="256"/>
      <c r="D18" s="257"/>
      <c r="E18" s="258"/>
      <c r="F18" s="259"/>
      <c r="G18" s="256"/>
      <c r="H18" s="257"/>
      <c r="I18" s="258"/>
      <c r="J18" s="259"/>
      <c r="K18" s="258"/>
      <c r="L18" s="258"/>
      <c r="M18" s="256"/>
      <c r="N18" s="257"/>
      <c r="O18" s="256"/>
      <c r="P18" s="257"/>
      <c r="Q18" s="258"/>
      <c r="R18" s="259"/>
      <c r="S18" s="258"/>
      <c r="T18" s="258"/>
      <c r="U18" s="399"/>
      <c r="V18" s="469"/>
      <c r="W18" s="192"/>
    </row>
    <row r="19" spans="1:23" ht="15.75">
      <c r="A19" s="480"/>
      <c r="B19" s="471" t="s">
        <v>197</v>
      </c>
      <c r="C19" s="256"/>
      <c r="D19" s="257"/>
      <c r="E19" s="258"/>
      <c r="F19" s="259"/>
      <c r="G19" s="256"/>
      <c r="H19" s="257"/>
      <c r="I19" s="258"/>
      <c r="J19" s="259"/>
      <c r="K19" s="258"/>
      <c r="L19" s="258"/>
      <c r="M19" s="256"/>
      <c r="N19" s="257"/>
      <c r="O19" s="256"/>
      <c r="P19" s="257"/>
      <c r="Q19" s="258"/>
      <c r="R19" s="259"/>
      <c r="S19" s="258"/>
      <c r="T19" s="258"/>
      <c r="U19" s="399"/>
      <c r="V19" s="469"/>
      <c r="W19" s="192"/>
    </row>
    <row r="20" spans="1:23" ht="15.75">
      <c r="A20" s="480"/>
      <c r="B20" s="471" t="s">
        <v>198</v>
      </c>
      <c r="C20" s="256"/>
      <c r="D20" s="257"/>
      <c r="E20" s="258"/>
      <c r="F20" s="259"/>
      <c r="G20" s="256"/>
      <c r="H20" s="257"/>
      <c r="I20" s="258"/>
      <c r="J20" s="259"/>
      <c r="K20" s="258"/>
      <c r="L20" s="258"/>
      <c r="M20" s="256"/>
      <c r="N20" s="257"/>
      <c r="O20" s="256"/>
      <c r="P20" s="257"/>
      <c r="Q20" s="258"/>
      <c r="R20" s="259"/>
      <c r="S20" s="258"/>
      <c r="T20" s="258"/>
      <c r="U20" s="399"/>
      <c r="V20" s="469"/>
      <c r="W20" s="192"/>
    </row>
    <row r="21" spans="1:23" ht="15.75">
      <c r="A21" s="480"/>
      <c r="B21" s="471" t="s">
        <v>199</v>
      </c>
      <c r="C21" s="256"/>
      <c r="D21" s="257"/>
      <c r="E21" s="258"/>
      <c r="F21" s="259"/>
      <c r="G21" s="256"/>
      <c r="H21" s="257"/>
      <c r="I21" s="258"/>
      <c r="J21" s="259"/>
      <c r="K21" s="258"/>
      <c r="L21" s="258"/>
      <c r="M21" s="256"/>
      <c r="N21" s="257"/>
      <c r="O21" s="256"/>
      <c r="P21" s="257"/>
      <c r="Q21" s="258"/>
      <c r="R21" s="259"/>
      <c r="S21" s="258"/>
      <c r="T21" s="258"/>
      <c r="U21" s="399"/>
      <c r="V21" s="469"/>
      <c r="W21" s="192"/>
    </row>
    <row r="22" spans="1:23" ht="15.75">
      <c r="A22" s="480"/>
      <c r="B22" s="472" t="s">
        <v>200</v>
      </c>
      <c r="C22" s="260"/>
      <c r="D22" s="261"/>
      <c r="E22" s="258"/>
      <c r="F22" s="259"/>
      <c r="G22" s="260"/>
      <c r="H22" s="261"/>
      <c r="I22" s="258"/>
      <c r="J22" s="259"/>
      <c r="K22" s="258"/>
      <c r="L22" s="258"/>
      <c r="M22" s="260"/>
      <c r="N22" s="261"/>
      <c r="O22" s="260"/>
      <c r="P22" s="261"/>
      <c r="Q22" s="258"/>
      <c r="R22" s="259"/>
      <c r="S22" s="258"/>
      <c r="T22" s="258"/>
      <c r="U22" s="399"/>
      <c r="V22" s="469"/>
      <c r="W22" s="192"/>
    </row>
    <row r="23" spans="1:23" ht="15.75">
      <c r="A23" s="480"/>
      <c r="B23" s="473"/>
      <c r="C23" s="262"/>
      <c r="D23" s="263"/>
      <c r="E23" s="264"/>
      <c r="F23" s="263"/>
      <c r="G23" s="262"/>
      <c r="H23" s="263"/>
      <c r="I23" s="264"/>
      <c r="J23" s="263"/>
      <c r="K23" s="264"/>
      <c r="L23" s="264"/>
      <c r="M23" s="262"/>
      <c r="N23" s="263"/>
      <c r="O23" s="262"/>
      <c r="P23" s="263"/>
      <c r="Q23" s="264"/>
      <c r="R23" s="263"/>
      <c r="S23" s="264"/>
      <c r="T23" s="264"/>
      <c r="U23" s="772"/>
      <c r="V23" s="773"/>
      <c r="W23" s="192"/>
    </row>
    <row r="24" spans="1:23" ht="15.75">
      <c r="A24" s="480"/>
      <c r="B24" s="471" t="s">
        <v>72</v>
      </c>
      <c r="C24" s="256"/>
      <c r="D24" s="257"/>
      <c r="E24" s="256"/>
      <c r="F24" s="257"/>
      <c r="G24" s="256"/>
      <c r="H24" s="257"/>
      <c r="I24" s="256"/>
      <c r="J24" s="257"/>
      <c r="K24" s="256"/>
      <c r="L24" s="257"/>
      <c r="M24" s="256"/>
      <c r="N24" s="257"/>
      <c r="O24" s="256"/>
      <c r="P24" s="257"/>
      <c r="Q24" s="258"/>
      <c r="R24" s="257"/>
      <c r="S24" s="256"/>
      <c r="T24" s="257"/>
      <c r="U24" s="769"/>
      <c r="V24" s="771"/>
      <c r="W24" s="192"/>
    </row>
    <row r="25" spans="1:23" ht="15.75">
      <c r="A25" s="480"/>
      <c r="B25" s="471" t="s">
        <v>73</v>
      </c>
      <c r="C25" s="256"/>
      <c r="D25" s="257"/>
      <c r="E25" s="256"/>
      <c r="F25" s="257"/>
      <c r="G25" s="256"/>
      <c r="H25" s="257"/>
      <c r="I25" s="256"/>
      <c r="J25" s="257"/>
      <c r="K25" s="256"/>
      <c r="L25" s="257"/>
      <c r="M25" s="256"/>
      <c r="N25" s="257"/>
      <c r="O25" s="256"/>
      <c r="P25" s="257"/>
      <c r="Q25" s="258"/>
      <c r="R25" s="257"/>
      <c r="S25" s="256"/>
      <c r="T25" s="257"/>
      <c r="U25" s="399"/>
      <c r="V25" s="469"/>
      <c r="W25" s="192"/>
    </row>
    <row r="26" spans="1:23" ht="15.75">
      <c r="A26" s="480"/>
      <c r="B26" s="472" t="s">
        <v>74</v>
      </c>
      <c r="C26" s="265"/>
      <c r="D26" s="261"/>
      <c r="E26" s="265"/>
      <c r="F26" s="261"/>
      <c r="G26" s="265"/>
      <c r="H26" s="261"/>
      <c r="I26" s="265"/>
      <c r="J26" s="261"/>
      <c r="K26" s="265"/>
      <c r="L26" s="261"/>
      <c r="M26" s="265"/>
      <c r="N26" s="261"/>
      <c r="O26" s="265"/>
      <c r="P26" s="261"/>
      <c r="Q26" s="428"/>
      <c r="R26" s="261"/>
      <c r="S26" s="265"/>
      <c r="T26" s="261"/>
      <c r="U26" s="399"/>
      <c r="V26" s="469"/>
      <c r="W26" s="192"/>
    </row>
    <row r="27" spans="1:23" ht="15.75">
      <c r="A27" s="480"/>
      <c r="B27" s="473"/>
      <c r="C27" s="260"/>
      <c r="D27" s="263"/>
      <c r="E27" s="266"/>
      <c r="F27" s="263"/>
      <c r="G27" s="266"/>
      <c r="H27" s="263"/>
      <c r="I27" s="266"/>
      <c r="J27" s="263"/>
      <c r="K27" s="266"/>
      <c r="L27" s="263"/>
      <c r="M27" s="266"/>
      <c r="N27" s="263"/>
      <c r="O27" s="260"/>
      <c r="P27" s="263"/>
      <c r="Q27" s="266"/>
      <c r="R27" s="263"/>
      <c r="S27" s="266"/>
      <c r="T27" s="263"/>
      <c r="U27" s="774"/>
      <c r="V27" s="776"/>
      <c r="W27" s="192"/>
    </row>
    <row r="28" spans="1:23" ht="15.75">
      <c r="A28" s="480"/>
      <c r="B28" s="474"/>
      <c r="C28" s="260"/>
      <c r="D28" s="267"/>
      <c r="E28" s="266"/>
      <c r="F28" s="267"/>
      <c r="G28" s="266"/>
      <c r="H28" s="267"/>
      <c r="I28" s="266"/>
      <c r="J28" s="267"/>
      <c r="K28" s="266"/>
      <c r="L28" s="267"/>
      <c r="M28" s="266"/>
      <c r="N28" s="267"/>
      <c r="O28" s="260"/>
      <c r="P28" s="267"/>
      <c r="Q28" s="266"/>
      <c r="R28" s="267"/>
      <c r="S28" s="266"/>
      <c r="T28" s="267"/>
      <c r="U28" s="768"/>
      <c r="V28" s="770"/>
      <c r="W28" s="192"/>
    </row>
    <row r="29" spans="1:23" ht="15.75">
      <c r="A29" s="480"/>
      <c r="B29" s="475" t="s">
        <v>75</v>
      </c>
      <c r="C29" s="268"/>
      <c r="D29" s="269"/>
      <c r="E29" s="268"/>
      <c r="F29" s="269"/>
      <c r="G29" s="268"/>
      <c r="H29" s="269"/>
      <c r="I29" s="268"/>
      <c r="J29" s="269"/>
      <c r="K29" s="268"/>
      <c r="L29" s="269"/>
      <c r="M29" s="268"/>
      <c r="N29" s="269"/>
      <c r="O29" s="268"/>
      <c r="P29" s="269"/>
      <c r="Q29" s="426"/>
      <c r="R29" s="269"/>
      <c r="S29" s="268"/>
      <c r="T29" s="269"/>
      <c r="U29" s="775"/>
      <c r="V29" s="777"/>
      <c r="W29" s="192"/>
    </row>
    <row r="30" spans="1:23" ht="15.75">
      <c r="A30" s="480"/>
      <c r="B30" s="473"/>
      <c r="C30" s="260"/>
      <c r="D30" s="270"/>
      <c r="E30" s="266"/>
      <c r="F30" s="267"/>
      <c r="G30" s="260"/>
      <c r="H30" s="267"/>
      <c r="I30" s="266"/>
      <c r="J30" s="267"/>
      <c r="K30" s="266"/>
      <c r="L30" s="266"/>
      <c r="M30" s="260"/>
      <c r="N30" s="267"/>
      <c r="O30" s="260"/>
      <c r="P30" s="267"/>
      <c r="Q30" s="266"/>
      <c r="R30" s="267"/>
      <c r="S30" s="266"/>
      <c r="T30" s="266"/>
      <c r="U30" s="768"/>
      <c r="V30" s="770"/>
      <c r="W30" s="192"/>
    </row>
    <row r="31" spans="1:23" ht="15.75">
      <c r="A31" s="480"/>
      <c r="B31" s="471" t="s">
        <v>201</v>
      </c>
      <c r="C31" s="256"/>
      <c r="D31" s="271"/>
      <c r="E31" s="258"/>
      <c r="F31" s="259"/>
      <c r="G31" s="256"/>
      <c r="H31" s="257"/>
      <c r="I31" s="258"/>
      <c r="J31" s="259"/>
      <c r="K31" s="258"/>
      <c r="L31" s="258"/>
      <c r="M31" s="256"/>
      <c r="N31" s="257"/>
      <c r="O31" s="256"/>
      <c r="P31" s="257"/>
      <c r="Q31" s="258"/>
      <c r="R31" s="259"/>
      <c r="S31" s="258"/>
      <c r="T31" s="258"/>
      <c r="U31" s="769"/>
      <c r="V31" s="771"/>
      <c r="W31" s="192"/>
    </row>
    <row r="32" spans="1:23" ht="15.75">
      <c r="A32" s="480"/>
      <c r="B32" s="471" t="s">
        <v>206</v>
      </c>
      <c r="C32" s="256"/>
      <c r="D32" s="257"/>
      <c r="E32" s="258"/>
      <c r="F32" s="259"/>
      <c r="G32" s="256"/>
      <c r="H32" s="257"/>
      <c r="I32" s="258"/>
      <c r="J32" s="259"/>
      <c r="K32" s="258"/>
      <c r="L32" s="258"/>
      <c r="M32" s="256"/>
      <c r="N32" s="257"/>
      <c r="O32" s="256"/>
      <c r="P32" s="257"/>
      <c r="Q32" s="258"/>
      <c r="R32" s="259"/>
      <c r="S32" s="258"/>
      <c r="T32" s="258"/>
      <c r="U32" s="399"/>
      <c r="V32" s="469"/>
      <c r="W32" s="192"/>
    </row>
    <row r="33" spans="1:23" ht="15.75">
      <c r="A33" s="480"/>
      <c r="B33" s="471" t="s">
        <v>202</v>
      </c>
      <c r="C33" s="256"/>
      <c r="D33" s="257"/>
      <c r="E33" s="258"/>
      <c r="F33" s="259"/>
      <c r="G33" s="256"/>
      <c r="H33" s="257"/>
      <c r="I33" s="258"/>
      <c r="J33" s="259"/>
      <c r="K33" s="258"/>
      <c r="L33" s="258"/>
      <c r="M33" s="256"/>
      <c r="N33" s="257"/>
      <c r="O33" s="256"/>
      <c r="P33" s="257"/>
      <c r="Q33" s="258"/>
      <c r="R33" s="259"/>
      <c r="S33" s="258"/>
      <c r="T33" s="258"/>
      <c r="U33" s="399"/>
      <c r="V33" s="469"/>
      <c r="W33" s="192"/>
    </row>
    <row r="34" spans="1:23" ht="15.75">
      <c r="A34" s="480"/>
      <c r="B34" s="471" t="s">
        <v>207</v>
      </c>
      <c r="C34" s="256"/>
      <c r="D34" s="257"/>
      <c r="E34" s="258"/>
      <c r="F34" s="259"/>
      <c r="G34" s="256"/>
      <c r="H34" s="257"/>
      <c r="I34" s="258"/>
      <c r="J34" s="259"/>
      <c r="K34" s="258"/>
      <c r="L34" s="258"/>
      <c r="M34" s="256"/>
      <c r="N34" s="257"/>
      <c r="O34" s="256"/>
      <c r="P34" s="257"/>
      <c r="Q34" s="258"/>
      <c r="R34" s="259"/>
      <c r="S34" s="258"/>
      <c r="T34" s="258"/>
      <c r="U34" s="399"/>
      <c r="V34" s="469"/>
      <c r="W34" s="192"/>
    </row>
    <row r="35" spans="1:23" ht="15.75">
      <c r="A35" s="480"/>
      <c r="B35" s="471" t="s">
        <v>208</v>
      </c>
      <c r="C35" s="256"/>
      <c r="D35" s="257"/>
      <c r="E35" s="258"/>
      <c r="F35" s="259"/>
      <c r="G35" s="256"/>
      <c r="H35" s="257"/>
      <c r="I35" s="258"/>
      <c r="J35" s="259"/>
      <c r="K35" s="258"/>
      <c r="L35" s="258"/>
      <c r="M35" s="256"/>
      <c r="N35" s="257"/>
      <c r="O35" s="256"/>
      <c r="P35" s="257"/>
      <c r="Q35" s="258"/>
      <c r="R35" s="259"/>
      <c r="S35" s="258"/>
      <c r="T35" s="258"/>
      <c r="U35" s="399"/>
      <c r="V35" s="469"/>
      <c r="W35" s="192"/>
    </row>
    <row r="36" spans="1:23" ht="15.75">
      <c r="A36" s="480"/>
      <c r="B36" s="471" t="s">
        <v>203</v>
      </c>
      <c r="C36" s="256"/>
      <c r="D36" s="257"/>
      <c r="E36" s="258"/>
      <c r="F36" s="259"/>
      <c r="G36" s="256"/>
      <c r="H36" s="257"/>
      <c r="I36" s="258"/>
      <c r="J36" s="259"/>
      <c r="K36" s="258"/>
      <c r="L36" s="258"/>
      <c r="M36" s="256"/>
      <c r="N36" s="257"/>
      <c r="O36" s="256"/>
      <c r="P36" s="257"/>
      <c r="Q36" s="258"/>
      <c r="R36" s="259"/>
      <c r="S36" s="258"/>
      <c r="T36" s="258"/>
      <c r="U36" s="399"/>
      <c r="V36" s="469"/>
      <c r="W36" s="192"/>
    </row>
    <row r="37" spans="1:23" ht="15.75">
      <c r="A37" s="480"/>
      <c r="B37" s="471" t="s">
        <v>209</v>
      </c>
      <c r="C37" s="256"/>
      <c r="D37" s="257"/>
      <c r="E37" s="258"/>
      <c r="F37" s="259"/>
      <c r="G37" s="256"/>
      <c r="H37" s="257"/>
      <c r="I37" s="258"/>
      <c r="J37" s="259"/>
      <c r="K37" s="258"/>
      <c r="L37" s="258"/>
      <c r="M37" s="256"/>
      <c r="N37" s="257"/>
      <c r="O37" s="256"/>
      <c r="P37" s="257"/>
      <c r="Q37" s="258"/>
      <c r="R37" s="259"/>
      <c r="S37" s="258"/>
      <c r="T37" s="258"/>
      <c r="U37" s="399"/>
      <c r="V37" s="469"/>
      <c r="W37" s="192"/>
    </row>
    <row r="38" spans="1:23" ht="15.75">
      <c r="A38" s="480"/>
      <c r="B38" s="471" t="s">
        <v>210</v>
      </c>
      <c r="C38" s="256"/>
      <c r="D38" s="257"/>
      <c r="E38" s="258"/>
      <c r="F38" s="259"/>
      <c r="G38" s="256"/>
      <c r="H38" s="257"/>
      <c r="I38" s="258"/>
      <c r="J38" s="259"/>
      <c r="K38" s="258"/>
      <c r="L38" s="258"/>
      <c r="M38" s="256"/>
      <c r="N38" s="257"/>
      <c r="O38" s="256"/>
      <c r="P38" s="257"/>
      <c r="Q38" s="258"/>
      <c r="R38" s="259"/>
      <c r="S38" s="258"/>
      <c r="T38" s="258"/>
      <c r="U38" s="399"/>
      <c r="V38" s="469"/>
      <c r="W38" s="192"/>
    </row>
    <row r="39" spans="1:23" ht="15.75">
      <c r="A39" s="480"/>
      <c r="B39" s="471" t="s">
        <v>205</v>
      </c>
      <c r="C39" s="256"/>
      <c r="D39" s="257"/>
      <c r="E39" s="258"/>
      <c r="F39" s="259"/>
      <c r="G39" s="256"/>
      <c r="H39" s="257"/>
      <c r="I39" s="258"/>
      <c r="J39" s="259"/>
      <c r="K39" s="258"/>
      <c r="L39" s="258"/>
      <c r="M39" s="256"/>
      <c r="N39" s="257"/>
      <c r="O39" s="256"/>
      <c r="P39" s="257"/>
      <c r="Q39" s="258"/>
      <c r="R39" s="259"/>
      <c r="S39" s="258"/>
      <c r="T39" s="258"/>
      <c r="U39" s="399"/>
      <c r="V39" s="469"/>
      <c r="W39" s="192"/>
    </row>
    <row r="40" spans="1:23" ht="15.75">
      <c r="A40" s="480"/>
      <c r="B40" s="471" t="s">
        <v>211</v>
      </c>
      <c r="C40" s="256"/>
      <c r="D40" s="257"/>
      <c r="E40" s="258"/>
      <c r="F40" s="259"/>
      <c r="G40" s="256"/>
      <c r="H40" s="257"/>
      <c r="I40" s="258"/>
      <c r="J40" s="259"/>
      <c r="K40" s="258"/>
      <c r="L40" s="258"/>
      <c r="M40" s="256"/>
      <c r="N40" s="257"/>
      <c r="O40" s="256"/>
      <c r="P40" s="257"/>
      <c r="Q40" s="258"/>
      <c r="R40" s="259"/>
      <c r="S40" s="258"/>
      <c r="T40" s="258"/>
      <c r="U40" s="399"/>
      <c r="V40" s="469"/>
      <c r="W40" s="192"/>
    </row>
    <row r="41" spans="1:23" ht="15.75">
      <c r="A41" s="480"/>
      <c r="B41" s="471" t="s">
        <v>213</v>
      </c>
      <c r="C41" s="256"/>
      <c r="D41" s="257"/>
      <c r="E41" s="258"/>
      <c r="F41" s="259"/>
      <c r="G41" s="256"/>
      <c r="H41" s="257"/>
      <c r="I41" s="258"/>
      <c r="J41" s="259"/>
      <c r="K41" s="258"/>
      <c r="L41" s="258"/>
      <c r="M41" s="256"/>
      <c r="N41" s="257"/>
      <c r="O41" s="256"/>
      <c r="P41" s="257"/>
      <c r="Q41" s="258"/>
      <c r="R41" s="259"/>
      <c r="S41" s="258"/>
      <c r="T41" s="258"/>
      <c r="U41" s="399"/>
      <c r="V41" s="469"/>
      <c r="W41" s="192"/>
    </row>
    <row r="42" spans="1:23" ht="15.75">
      <c r="A42" s="480"/>
      <c r="B42" s="471" t="s">
        <v>212</v>
      </c>
      <c r="C42" s="256"/>
      <c r="D42" s="257"/>
      <c r="E42" s="258"/>
      <c r="F42" s="259"/>
      <c r="G42" s="256"/>
      <c r="H42" s="257"/>
      <c r="I42" s="258"/>
      <c r="J42" s="259"/>
      <c r="K42" s="258"/>
      <c r="L42" s="258"/>
      <c r="M42" s="256"/>
      <c r="N42" s="257"/>
      <c r="O42" s="256"/>
      <c r="P42" s="257"/>
      <c r="Q42" s="258"/>
      <c r="R42" s="259"/>
      <c r="S42" s="258"/>
      <c r="T42" s="258"/>
      <c r="U42" s="399"/>
      <c r="V42" s="469"/>
      <c r="W42" s="192"/>
    </row>
    <row r="43" spans="1:23" ht="15.75">
      <c r="A43" s="480"/>
      <c r="B43" s="476" t="s">
        <v>204</v>
      </c>
      <c r="C43" s="260"/>
      <c r="D43" s="267"/>
      <c r="E43" s="266"/>
      <c r="F43" s="316"/>
      <c r="G43" s="260"/>
      <c r="H43" s="267"/>
      <c r="I43" s="266"/>
      <c r="J43" s="316"/>
      <c r="K43" s="266"/>
      <c r="L43" s="266"/>
      <c r="M43" s="260"/>
      <c r="N43" s="267"/>
      <c r="O43" s="260"/>
      <c r="P43" s="267"/>
      <c r="Q43" s="266"/>
      <c r="R43" s="316"/>
      <c r="S43" s="266"/>
      <c r="T43" s="266"/>
      <c r="U43" s="399"/>
      <c r="V43" s="469"/>
      <c r="W43" s="192"/>
    </row>
    <row r="44" spans="1:23" ht="15.75">
      <c r="A44" s="480"/>
      <c r="B44" s="476" t="s">
        <v>219</v>
      </c>
      <c r="C44" s="399"/>
      <c r="D44" s="400">
        <v>20000</v>
      </c>
      <c r="E44" s="401"/>
      <c r="F44" s="402">
        <v>9000</v>
      </c>
      <c r="G44" s="399"/>
      <c r="H44" s="400">
        <v>-27000</v>
      </c>
      <c r="I44" s="401"/>
      <c r="J44" s="402">
        <v>-178500</v>
      </c>
      <c r="K44" s="401"/>
      <c r="L44" s="401">
        <v>-400000</v>
      </c>
      <c r="M44" s="399"/>
      <c r="N44" s="400">
        <v>-1000</v>
      </c>
      <c r="O44" s="399"/>
      <c r="P44" s="400">
        <v>-2000</v>
      </c>
      <c r="Q44" s="401"/>
      <c r="R44" s="402">
        <v>-3000</v>
      </c>
      <c r="S44" s="401"/>
      <c r="T44" s="401">
        <v>-18000</v>
      </c>
      <c r="U44" s="399">
        <f>SUM(C44,E44,G44,I44,K44,M44,O44,Q44,S44)</f>
        <v>0</v>
      </c>
      <c r="V44" s="469">
        <f>SUM(T44,R44,P44,N44,L44,J44,H44,F44,D44)</f>
        <v>-600500</v>
      </c>
      <c r="W44" s="192"/>
    </row>
    <row r="45" spans="1:23" ht="16.5" thickBot="1">
      <c r="A45" s="480"/>
      <c r="B45" s="477" t="s">
        <v>66</v>
      </c>
      <c r="C45" s="460">
        <f aca="true" t="shared" si="0" ref="C45:T45">SUM(C29:C44)</f>
        <v>0</v>
      </c>
      <c r="D45" s="461">
        <f t="shared" si="0"/>
        <v>20000</v>
      </c>
      <c r="E45" s="462">
        <f t="shared" si="0"/>
        <v>0</v>
      </c>
      <c r="F45" s="461">
        <f t="shared" si="0"/>
        <v>9000</v>
      </c>
      <c r="G45" s="460">
        <f t="shared" si="0"/>
        <v>0</v>
      </c>
      <c r="H45" s="461">
        <f t="shared" si="0"/>
        <v>-27000</v>
      </c>
      <c r="I45" s="463">
        <f t="shared" si="0"/>
        <v>0</v>
      </c>
      <c r="J45" s="461">
        <f t="shared" si="0"/>
        <v>-178500</v>
      </c>
      <c r="K45" s="463">
        <f t="shared" si="0"/>
        <v>0</v>
      </c>
      <c r="L45" s="464">
        <f t="shared" si="0"/>
        <v>-400000</v>
      </c>
      <c r="M45" s="459">
        <f t="shared" si="0"/>
        <v>0</v>
      </c>
      <c r="N45" s="461">
        <f t="shared" si="0"/>
        <v>-1000</v>
      </c>
      <c r="O45" s="459">
        <f>SUM(O29:O44)</f>
        <v>0</v>
      </c>
      <c r="P45" s="461">
        <f>SUM(P29:P44)</f>
        <v>-2000</v>
      </c>
      <c r="Q45" s="463">
        <f t="shared" si="0"/>
        <v>0</v>
      </c>
      <c r="R45" s="461">
        <f t="shared" si="0"/>
        <v>-3000</v>
      </c>
      <c r="S45" s="463">
        <f t="shared" si="0"/>
        <v>0</v>
      </c>
      <c r="T45" s="464">
        <f t="shared" si="0"/>
        <v>-18000</v>
      </c>
      <c r="U45" s="459">
        <f>SUM(C45,E45,G45,I45,K45,M45,O45,Q45,S45)</f>
        <v>0</v>
      </c>
      <c r="V45" s="470">
        <f>SUM(T45,R45,P45,N45,L45,J45,H45,F45,D45)</f>
        <v>-600500</v>
      </c>
      <c r="W45" s="192"/>
    </row>
    <row r="46" spans="1:37" ht="15.75">
      <c r="A46" s="23"/>
      <c r="B46" s="758" t="s">
        <v>128</v>
      </c>
      <c r="C46" s="746"/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6"/>
      <c r="S46" s="746"/>
      <c r="T46" s="746"/>
      <c r="U46" s="746"/>
      <c r="V46" s="746"/>
      <c r="W46" s="193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ht="15.75">
      <c r="A47" s="2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93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9" spans="2:22" ht="18.75">
      <c r="B49" s="759"/>
      <c r="C49" s="759"/>
      <c r="D49" s="759"/>
      <c r="E49" s="759"/>
      <c r="F49" s="759"/>
      <c r="G49" s="759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</row>
    <row r="50" spans="2:22" ht="18.75">
      <c r="B50" s="134"/>
      <c r="C50" s="134"/>
      <c r="D50" s="134"/>
      <c r="E50" s="134"/>
      <c r="F50" s="134"/>
      <c r="G50" s="134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</row>
    <row r="51" spans="2:22" ht="15.75" customHeight="1">
      <c r="B51" s="778"/>
      <c r="C51" s="648"/>
      <c r="D51" s="648"/>
      <c r="E51" s="648"/>
      <c r="F51" s="648"/>
      <c r="G51" s="648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</row>
    <row r="54" ht="15">
      <c r="V54" s="175"/>
    </row>
  </sheetData>
  <sheetProtection/>
  <mergeCells count="30">
    <mergeCell ref="B51:G51"/>
    <mergeCell ref="B8:B11"/>
    <mergeCell ref="K10:L10"/>
    <mergeCell ref="I10:J10"/>
    <mergeCell ref="G10:H10"/>
    <mergeCell ref="C8:T8"/>
    <mergeCell ref="Q9:R9"/>
    <mergeCell ref="S9:T9"/>
    <mergeCell ref="I9:J9"/>
    <mergeCell ref="E9:F9"/>
    <mergeCell ref="U30:U31"/>
    <mergeCell ref="V30:V31"/>
    <mergeCell ref="U23:U24"/>
    <mergeCell ref="V23:V24"/>
    <mergeCell ref="U27:U29"/>
    <mergeCell ref="V27:V29"/>
    <mergeCell ref="B46:V46"/>
    <mergeCell ref="B49:G49"/>
    <mergeCell ref="U8:V10"/>
    <mergeCell ref="K9:L9"/>
    <mergeCell ref="M9:N9"/>
    <mergeCell ref="O9:P9"/>
    <mergeCell ref="O10:P10"/>
    <mergeCell ref="M10:N10"/>
    <mergeCell ref="S10:T10"/>
    <mergeCell ref="Q10:R10"/>
    <mergeCell ref="C9:D9"/>
    <mergeCell ref="G9:H9"/>
    <mergeCell ref="C10:D10"/>
    <mergeCell ref="E10:F10"/>
  </mergeCells>
  <printOptions horizontalCentered="1"/>
  <pageMargins left="0.75" right="0.75" top="1" bottom="1" header="0.5" footer="0.5"/>
  <pageSetup fitToHeight="1" fitToWidth="1" horizontalDpi="600" verticalDpi="600" orientation="landscape" scale="42" r:id="rId1"/>
  <headerFooter alignWithMargins="0">
    <oddFooter>&amp;RState and Local Law Enforcement Assistance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N92"/>
  <sheetViews>
    <sheetView view="pageBreakPreview" zoomScale="65" zoomScaleSheetLayoutView="65" zoomScalePageLayoutView="0" workbookViewId="0" topLeftCell="A1">
      <pane xSplit="4" ySplit="9" topLeftCell="E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6" sqref="E76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8.10546875" style="3" customWidth="1"/>
    <col min="5" max="5" width="8.88671875" style="3" customWidth="1"/>
    <col min="6" max="6" width="11.10546875" style="3" customWidth="1"/>
    <col min="7" max="7" width="8.88671875" style="3" customWidth="1"/>
    <col min="8" max="8" width="11.99609375" style="3" customWidth="1"/>
    <col min="9" max="9" width="8.88671875" style="3" customWidth="1"/>
    <col min="10" max="10" width="9.77734375" style="3" customWidth="1"/>
    <col min="11" max="11" width="8.88671875" style="3" customWidth="1"/>
    <col min="12" max="12" width="11.88671875" style="3" customWidth="1"/>
    <col min="13" max="13" width="0.9921875" style="189" customWidth="1"/>
    <col min="15" max="16384" width="8.88671875" style="3" customWidth="1"/>
  </cols>
  <sheetData>
    <row r="1" spans="1:14" ht="18.75" customHeight="1">
      <c r="A1" s="590" t="s">
        <v>237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N1" s="188"/>
    </row>
    <row r="2" spans="1:13" ht="18.75" customHeight="1">
      <c r="A2" s="706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188"/>
    </row>
    <row r="3" spans="1:13" ht="18.75">
      <c r="A3" s="821" t="s">
        <v>221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188"/>
    </row>
    <row r="4" spans="1:13" ht="16.5">
      <c r="A4" s="801" t="str">
        <f>+'B. Summary of Requirements '!A5</f>
        <v>Office of Justice Programs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188"/>
    </row>
    <row r="5" spans="1:13" ht="16.5">
      <c r="A5" s="801" t="str">
        <f>+'B. Summary of Requirements '!A6</f>
        <v>State and Local Law Enforcement Assistance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188"/>
    </row>
    <row r="6" spans="1:13" ht="15.75">
      <c r="A6" s="814" t="s">
        <v>6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188"/>
    </row>
    <row r="7" spans="1:13" ht="11.25" customHeight="1">
      <c r="A7" s="4"/>
      <c r="B7" s="12"/>
      <c r="C7" s="19"/>
      <c r="D7" s="19"/>
      <c r="E7" s="19"/>
      <c r="F7" s="19"/>
      <c r="G7" s="19"/>
      <c r="H7" s="19"/>
      <c r="I7" s="19"/>
      <c r="J7" s="19"/>
      <c r="K7" s="4"/>
      <c r="L7" s="4"/>
      <c r="M7" s="188"/>
    </row>
    <row r="8" spans="1:13" ht="44.25" customHeight="1">
      <c r="A8" s="802" t="s">
        <v>214</v>
      </c>
      <c r="B8" s="803"/>
      <c r="C8" s="803"/>
      <c r="D8" s="804"/>
      <c r="E8" s="819" t="s">
        <v>1</v>
      </c>
      <c r="F8" s="820"/>
      <c r="G8" s="817" t="s">
        <v>53</v>
      </c>
      <c r="H8" s="818"/>
      <c r="I8" s="815" t="s">
        <v>51</v>
      </c>
      <c r="J8" s="816"/>
      <c r="K8" s="815" t="s">
        <v>163</v>
      </c>
      <c r="L8" s="641"/>
      <c r="M8" s="188"/>
    </row>
    <row r="9" spans="1:13" ht="25.5" customHeight="1" thickBot="1">
      <c r="A9" s="805"/>
      <c r="B9" s="806"/>
      <c r="C9" s="806"/>
      <c r="D9" s="807"/>
      <c r="E9" s="89" t="s">
        <v>165</v>
      </c>
      <c r="F9" s="90" t="s">
        <v>22</v>
      </c>
      <c r="G9" s="89" t="s">
        <v>165</v>
      </c>
      <c r="H9" s="90" t="s">
        <v>22</v>
      </c>
      <c r="I9" s="89" t="s">
        <v>165</v>
      </c>
      <c r="J9" s="90" t="s">
        <v>22</v>
      </c>
      <c r="K9" s="89" t="s">
        <v>165</v>
      </c>
      <c r="L9" s="91" t="s">
        <v>22</v>
      </c>
      <c r="M9" s="188"/>
    </row>
    <row r="10" spans="1:13" ht="15.75">
      <c r="A10" s="808" t="s">
        <v>121</v>
      </c>
      <c r="B10" s="809"/>
      <c r="C10" s="809"/>
      <c r="D10" s="810"/>
      <c r="E10" s="272"/>
      <c r="F10" s="273"/>
      <c r="G10" s="272"/>
      <c r="H10" s="273"/>
      <c r="I10" s="272"/>
      <c r="J10" s="273"/>
      <c r="K10" s="272"/>
      <c r="L10" s="255"/>
      <c r="M10" s="188"/>
    </row>
    <row r="11" spans="1:13" ht="15.75">
      <c r="A11" s="811" t="s">
        <v>189</v>
      </c>
      <c r="B11" s="812"/>
      <c r="C11" s="812"/>
      <c r="D11" s="813"/>
      <c r="E11" s="272"/>
      <c r="F11" s="273"/>
      <c r="G11" s="272"/>
      <c r="H11" s="273"/>
      <c r="I11" s="272"/>
      <c r="J11" s="273"/>
      <c r="K11" s="272"/>
      <c r="L11" s="255"/>
      <c r="M11" s="188"/>
    </row>
    <row r="12" spans="1:13" ht="15.75">
      <c r="A12" s="811" t="s">
        <v>172</v>
      </c>
      <c r="B12" s="812"/>
      <c r="C12" s="812"/>
      <c r="D12" s="813"/>
      <c r="E12" s="272"/>
      <c r="F12" s="273"/>
      <c r="G12" s="272"/>
      <c r="H12" s="273"/>
      <c r="I12" s="272"/>
      <c r="J12" s="273"/>
      <c r="K12" s="272"/>
      <c r="L12" s="255"/>
      <c r="M12" s="188"/>
    </row>
    <row r="13" spans="1:13" ht="15.75">
      <c r="A13" s="822" t="s">
        <v>174</v>
      </c>
      <c r="B13" s="798"/>
      <c r="C13" s="798"/>
      <c r="D13" s="799"/>
      <c r="E13" s="277"/>
      <c r="F13" s="278"/>
      <c r="G13" s="277"/>
      <c r="H13" s="278"/>
      <c r="I13" s="277"/>
      <c r="J13" s="278"/>
      <c r="K13" s="277"/>
      <c r="L13" s="279"/>
      <c r="M13" s="188"/>
    </row>
    <row r="14" spans="1:13" ht="15.75">
      <c r="A14" s="822" t="s">
        <v>173</v>
      </c>
      <c r="B14" s="798"/>
      <c r="C14" s="798"/>
      <c r="D14" s="799"/>
      <c r="E14" s="277"/>
      <c r="F14" s="278"/>
      <c r="G14" s="277"/>
      <c r="H14" s="278"/>
      <c r="I14" s="277"/>
      <c r="J14" s="278"/>
      <c r="K14" s="277"/>
      <c r="L14" s="279"/>
      <c r="M14" s="188"/>
    </row>
    <row r="15" spans="1:13" ht="15.75">
      <c r="A15" s="823" t="s">
        <v>175</v>
      </c>
      <c r="B15" s="824"/>
      <c r="C15" s="824"/>
      <c r="D15" s="825"/>
      <c r="E15" s="280"/>
      <c r="F15" s="281"/>
      <c r="G15" s="280"/>
      <c r="H15" s="281"/>
      <c r="I15" s="280"/>
      <c r="J15" s="281"/>
      <c r="K15" s="280"/>
      <c r="L15" s="282"/>
      <c r="M15" s="188"/>
    </row>
    <row r="16" spans="1:13" ht="15.75">
      <c r="A16" s="826" t="s">
        <v>122</v>
      </c>
      <c r="B16" s="827"/>
      <c r="C16" s="827"/>
      <c r="D16" s="828"/>
      <c r="E16" s="283"/>
      <c r="F16" s="284"/>
      <c r="G16" s="283"/>
      <c r="H16" s="284"/>
      <c r="I16" s="283"/>
      <c r="J16" s="284"/>
      <c r="K16" s="283"/>
      <c r="L16" s="285"/>
      <c r="M16" s="188"/>
    </row>
    <row r="17" spans="1:13" ht="15.75">
      <c r="A17" s="811" t="s">
        <v>215</v>
      </c>
      <c r="B17" s="812"/>
      <c r="C17" s="812"/>
      <c r="D17" s="813"/>
      <c r="E17" s="272"/>
      <c r="F17" s="273"/>
      <c r="G17" s="272"/>
      <c r="H17" s="273"/>
      <c r="I17" s="272"/>
      <c r="J17" s="273"/>
      <c r="K17" s="272"/>
      <c r="L17" s="255"/>
      <c r="M17" s="188"/>
    </row>
    <row r="18" spans="1:13" ht="15.75">
      <c r="A18" s="800" t="s">
        <v>176</v>
      </c>
      <c r="B18" s="798"/>
      <c r="C18" s="798"/>
      <c r="D18" s="799"/>
      <c r="E18" s="272"/>
      <c r="F18" s="273"/>
      <c r="G18" s="272"/>
      <c r="H18" s="273"/>
      <c r="I18" s="272"/>
      <c r="J18" s="273"/>
      <c r="K18" s="272"/>
      <c r="L18" s="255"/>
      <c r="M18" s="188"/>
    </row>
    <row r="19" spans="1:13" ht="15.75">
      <c r="A19" s="800" t="s">
        <v>177</v>
      </c>
      <c r="B19" s="798"/>
      <c r="C19" s="798"/>
      <c r="D19" s="799"/>
      <c r="E19" s="272"/>
      <c r="F19" s="273"/>
      <c r="G19" s="272"/>
      <c r="H19" s="273"/>
      <c r="I19" s="272"/>
      <c r="J19" s="273"/>
      <c r="K19" s="272"/>
      <c r="L19" s="255"/>
      <c r="M19" s="188"/>
    </row>
    <row r="20" spans="1:13" ht="15.75">
      <c r="A20" s="800" t="s">
        <v>178</v>
      </c>
      <c r="B20" s="798"/>
      <c r="C20" s="798"/>
      <c r="D20" s="799"/>
      <c r="E20" s="272"/>
      <c r="F20" s="273"/>
      <c r="G20" s="272"/>
      <c r="H20" s="273"/>
      <c r="I20" s="272"/>
      <c r="J20" s="273"/>
      <c r="K20" s="272"/>
      <c r="L20" s="255"/>
      <c r="M20" s="188"/>
    </row>
    <row r="21" spans="1:13" ht="15.75">
      <c r="A21" s="800" t="s">
        <v>235</v>
      </c>
      <c r="B21" s="798"/>
      <c r="C21" s="798"/>
      <c r="D21" s="799"/>
      <c r="E21" s="272"/>
      <c r="F21" s="273"/>
      <c r="G21" s="272"/>
      <c r="H21" s="273"/>
      <c r="I21" s="272"/>
      <c r="J21" s="273"/>
      <c r="K21" s="272"/>
      <c r="L21" s="255"/>
      <c r="M21" s="188"/>
    </row>
    <row r="22" spans="1:13" ht="15.75">
      <c r="A22" s="800" t="s">
        <v>155</v>
      </c>
      <c r="B22" s="798"/>
      <c r="C22" s="798"/>
      <c r="D22" s="799"/>
      <c r="E22" s="272"/>
      <c r="F22" s="273"/>
      <c r="G22" s="272"/>
      <c r="H22" s="273"/>
      <c r="I22" s="272"/>
      <c r="J22" s="273"/>
      <c r="K22" s="272"/>
      <c r="L22" s="255"/>
      <c r="M22" s="188"/>
    </row>
    <row r="23" spans="1:13" ht="15.75">
      <c r="A23" s="800" t="s">
        <v>179</v>
      </c>
      <c r="B23" s="798"/>
      <c r="C23" s="798"/>
      <c r="D23" s="799"/>
      <c r="E23" s="272"/>
      <c r="F23" s="273"/>
      <c r="G23" s="272"/>
      <c r="H23" s="273"/>
      <c r="I23" s="272"/>
      <c r="J23" s="273"/>
      <c r="K23" s="272"/>
      <c r="L23" s="255"/>
      <c r="M23" s="188"/>
    </row>
    <row r="24" spans="1:13" ht="15.75">
      <c r="A24" s="800" t="s">
        <v>180</v>
      </c>
      <c r="B24" s="798"/>
      <c r="C24" s="798"/>
      <c r="D24" s="799"/>
      <c r="E24" s="272"/>
      <c r="F24" s="273">
        <v>1000</v>
      </c>
      <c r="G24" s="272"/>
      <c r="H24" s="273">
        <v>0</v>
      </c>
      <c r="I24" s="272"/>
      <c r="J24" s="273">
        <v>0</v>
      </c>
      <c r="K24" s="272"/>
      <c r="L24" s="255">
        <f>J24-H24</f>
        <v>0</v>
      </c>
      <c r="M24" s="188"/>
    </row>
    <row r="25" spans="1:13" ht="15.75">
      <c r="A25" s="800" t="s">
        <v>181</v>
      </c>
      <c r="B25" s="798"/>
      <c r="C25" s="798"/>
      <c r="D25" s="799"/>
      <c r="E25" s="272"/>
      <c r="F25" s="273"/>
      <c r="G25" s="272"/>
      <c r="H25" s="273"/>
      <c r="I25" s="272"/>
      <c r="J25" s="273"/>
      <c r="K25" s="272"/>
      <c r="L25" s="255"/>
      <c r="M25" s="188"/>
    </row>
    <row r="26" spans="1:13" ht="15.75">
      <c r="A26" s="800" t="s">
        <v>182</v>
      </c>
      <c r="B26" s="798"/>
      <c r="C26" s="798"/>
      <c r="D26" s="799"/>
      <c r="E26" s="272"/>
      <c r="F26" s="273">
        <f>24000</f>
        <v>24000</v>
      </c>
      <c r="G26" s="272"/>
      <c r="H26" s="273">
        <v>15000</v>
      </c>
      <c r="I26" s="272"/>
      <c r="J26" s="273">
        <v>15000</v>
      </c>
      <c r="K26" s="272"/>
      <c r="L26" s="255">
        <f>J26-H26</f>
        <v>0</v>
      </c>
      <c r="M26" s="188"/>
    </row>
    <row r="27" spans="1:13" ht="15.75">
      <c r="A27" s="800" t="s">
        <v>28</v>
      </c>
      <c r="B27" s="839"/>
      <c r="C27" s="839"/>
      <c r="D27" s="840"/>
      <c r="E27" s="272"/>
      <c r="F27" s="273">
        <v>0</v>
      </c>
      <c r="G27" s="272"/>
      <c r="H27" s="273">
        <v>25000</v>
      </c>
      <c r="I27" s="272"/>
      <c r="J27" s="273">
        <v>25000</v>
      </c>
      <c r="K27" s="272"/>
      <c r="L27" s="255">
        <f>J27-H27</f>
        <v>0</v>
      </c>
      <c r="M27" s="188"/>
    </row>
    <row r="28" spans="1:13" ht="15.75">
      <c r="A28" s="800" t="s">
        <v>236</v>
      </c>
      <c r="B28" s="798"/>
      <c r="C28" s="798"/>
      <c r="D28" s="799"/>
      <c r="E28" s="272"/>
      <c r="F28" s="273"/>
      <c r="G28" s="272"/>
      <c r="H28" s="273"/>
      <c r="I28" s="272"/>
      <c r="J28" s="273"/>
      <c r="K28" s="272"/>
      <c r="L28" s="255"/>
      <c r="M28" s="188"/>
    </row>
    <row r="29" spans="1:13" ht="15.75">
      <c r="A29" s="800" t="s">
        <v>2</v>
      </c>
      <c r="B29" s="798"/>
      <c r="C29" s="798"/>
      <c r="D29" s="799"/>
      <c r="E29" s="272"/>
      <c r="F29" s="273"/>
      <c r="G29" s="272"/>
      <c r="H29" s="273"/>
      <c r="I29" s="272"/>
      <c r="J29" s="273"/>
      <c r="K29" s="272"/>
      <c r="L29" s="255"/>
      <c r="M29" s="188"/>
    </row>
    <row r="30" spans="1:13" ht="15.75">
      <c r="A30" s="800" t="s">
        <v>3</v>
      </c>
      <c r="B30" s="798"/>
      <c r="C30" s="798"/>
      <c r="D30" s="799"/>
      <c r="E30" s="272"/>
      <c r="F30" s="273"/>
      <c r="G30" s="272"/>
      <c r="H30" s="273"/>
      <c r="I30" s="272"/>
      <c r="J30" s="273"/>
      <c r="K30" s="272"/>
      <c r="L30" s="255"/>
      <c r="M30" s="188"/>
    </row>
    <row r="31" spans="1:13" ht="15.75">
      <c r="A31" s="800" t="s">
        <v>183</v>
      </c>
      <c r="B31" s="798"/>
      <c r="C31" s="798"/>
      <c r="D31" s="799"/>
      <c r="E31" s="272"/>
      <c r="F31" s="273"/>
      <c r="G31" s="272"/>
      <c r="H31" s="273"/>
      <c r="I31" s="272"/>
      <c r="J31" s="273"/>
      <c r="K31" s="272"/>
      <c r="L31" s="255"/>
      <c r="M31" s="188"/>
    </row>
    <row r="32" spans="1:13" ht="15.75">
      <c r="A32" s="800" t="s">
        <v>184</v>
      </c>
      <c r="B32" s="798"/>
      <c r="C32" s="798"/>
      <c r="D32" s="799"/>
      <c r="E32" s="272"/>
      <c r="F32" s="273"/>
      <c r="G32" s="272"/>
      <c r="H32" s="273"/>
      <c r="I32" s="272"/>
      <c r="J32" s="273"/>
      <c r="K32" s="272"/>
      <c r="L32" s="255"/>
      <c r="M32" s="188"/>
    </row>
    <row r="33" spans="1:13" ht="15.75">
      <c r="A33" s="800" t="s">
        <v>81</v>
      </c>
      <c r="B33" s="798"/>
      <c r="C33" s="798"/>
      <c r="D33" s="799"/>
      <c r="E33" s="272"/>
      <c r="F33" s="273">
        <f>1587000</f>
        <v>1587000</v>
      </c>
      <c r="G33" s="272"/>
      <c r="H33" s="273">
        <f>4447000</f>
        <v>4447000</v>
      </c>
      <c r="I33" s="272"/>
      <c r="J33" s="273">
        <v>688000</v>
      </c>
      <c r="K33" s="272"/>
      <c r="L33" s="255">
        <f>J33-H33</f>
        <v>-3759000</v>
      </c>
      <c r="M33" s="188"/>
    </row>
    <row r="34" spans="1:13" ht="15.75">
      <c r="A34" s="794" t="s">
        <v>185</v>
      </c>
      <c r="B34" s="795"/>
      <c r="C34" s="795"/>
      <c r="D34" s="796"/>
      <c r="E34" s="187"/>
      <c r="F34" s="107">
        <f>SUM(F16:F33)</f>
        <v>1612000</v>
      </c>
      <c r="G34" s="187"/>
      <c r="H34" s="107">
        <f>SUM(H16:H33)</f>
        <v>4487000</v>
      </c>
      <c r="I34" s="187"/>
      <c r="J34" s="107">
        <f>SUM(J16:J33)</f>
        <v>728000</v>
      </c>
      <c r="K34" s="187"/>
      <c r="L34" s="106">
        <f>SUM(L16:L33)</f>
        <v>-3759000</v>
      </c>
      <c r="M34" s="188"/>
    </row>
    <row r="35" spans="1:13" ht="16.5" customHeight="1">
      <c r="A35" s="797" t="s">
        <v>186</v>
      </c>
      <c r="B35" s="798"/>
      <c r="C35" s="798"/>
      <c r="D35" s="799"/>
      <c r="E35" s="274"/>
      <c r="F35" s="275">
        <v>525000</v>
      </c>
      <c r="G35" s="274"/>
      <c r="H35" s="275">
        <f>-F36</f>
        <v>130000</v>
      </c>
      <c r="I35" s="274"/>
      <c r="J35" s="275">
        <f>-H36</f>
        <v>1000</v>
      </c>
      <c r="K35" s="274"/>
      <c r="L35" s="276"/>
      <c r="M35" s="188"/>
    </row>
    <row r="36" spans="1:13" ht="15.75">
      <c r="A36" s="797" t="s">
        <v>187</v>
      </c>
      <c r="B36" s="798"/>
      <c r="C36" s="798"/>
      <c r="D36" s="799"/>
      <c r="E36" s="274"/>
      <c r="F36" s="275">
        <v>-130000</v>
      </c>
      <c r="G36" s="274"/>
      <c r="H36" s="275">
        <v>-1000</v>
      </c>
      <c r="I36" s="274"/>
      <c r="J36" s="275"/>
      <c r="K36" s="274"/>
      <c r="L36" s="276"/>
      <c r="M36" s="188"/>
    </row>
    <row r="37" spans="1:13" ht="15.75">
      <c r="A37" s="797" t="s">
        <v>188</v>
      </c>
      <c r="B37" s="798"/>
      <c r="C37" s="798"/>
      <c r="D37" s="799"/>
      <c r="E37" s="274"/>
      <c r="F37" s="275">
        <v>82000</v>
      </c>
      <c r="G37" s="274"/>
      <c r="H37" s="275">
        <v>50000</v>
      </c>
      <c r="I37" s="274"/>
      <c r="J37" s="275">
        <v>32000</v>
      </c>
      <c r="K37" s="274"/>
      <c r="L37" s="276"/>
      <c r="M37" s="188"/>
    </row>
    <row r="38" spans="1:13" ht="16.5" thickBot="1">
      <c r="A38" s="791" t="s">
        <v>44</v>
      </c>
      <c r="B38" s="792"/>
      <c r="C38" s="792"/>
      <c r="D38" s="793"/>
      <c r="E38" s="286"/>
      <c r="F38" s="287">
        <f>F34-F35+F36-F37</f>
        <v>875000</v>
      </c>
      <c r="G38" s="286"/>
      <c r="H38" s="287">
        <f>H34-H35+H36-H37</f>
        <v>4306000</v>
      </c>
      <c r="I38" s="286"/>
      <c r="J38" s="287">
        <f>J34-J35+J36-J37</f>
        <v>695000</v>
      </c>
      <c r="K38" s="286"/>
      <c r="L38" s="288"/>
      <c r="M38" s="188"/>
    </row>
    <row r="39" spans="1:13" ht="15.75">
      <c r="A39" s="830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</row>
    <row r="40" spans="11:12" ht="15.75">
      <c r="K40" s="20"/>
      <c r="L40" s="20"/>
    </row>
    <row r="41" spans="1:12" ht="18">
      <c r="A41" s="829"/>
      <c r="B41" s="829"/>
      <c r="C41" s="829"/>
      <c r="D41" s="829"/>
      <c r="E41" s="829"/>
      <c r="F41" s="829"/>
      <c r="G41" s="829"/>
      <c r="H41" s="829"/>
      <c r="I41" s="829"/>
      <c r="J41" s="829"/>
      <c r="K41" s="129"/>
      <c r="L41" s="129"/>
    </row>
    <row r="42" spans="1:12" ht="18">
      <c r="A42" s="124"/>
      <c r="B42" s="125"/>
      <c r="C42" s="126"/>
      <c r="D42" s="126"/>
      <c r="E42" s="126"/>
      <c r="F42" s="126"/>
      <c r="G42" s="126"/>
      <c r="H42" s="126"/>
      <c r="I42" s="126"/>
      <c r="J42" s="126"/>
      <c r="K42" s="129"/>
      <c r="L42" s="129"/>
    </row>
    <row r="43" spans="1:12" ht="41.25" customHeight="1">
      <c r="A43" s="750"/>
      <c r="B43" s="833"/>
      <c r="C43" s="833"/>
      <c r="D43" s="833"/>
      <c r="E43" s="833"/>
      <c r="F43" s="833"/>
      <c r="G43" s="833"/>
      <c r="H43" s="833"/>
      <c r="I43" s="833"/>
      <c r="J43" s="833"/>
      <c r="K43" s="130"/>
      <c r="L43" s="131"/>
    </row>
    <row r="44" spans="1:12" ht="14.25" customHeight="1">
      <c r="A44" s="124"/>
      <c r="B44" s="127"/>
      <c r="C44" s="128"/>
      <c r="D44" s="128"/>
      <c r="E44" s="128"/>
      <c r="F44" s="128"/>
      <c r="G44" s="128"/>
      <c r="H44" s="128"/>
      <c r="I44" s="128"/>
      <c r="J44" s="128"/>
      <c r="K44" s="130"/>
      <c r="L44" s="130"/>
    </row>
    <row r="45" spans="1:12" ht="77.25" customHeight="1">
      <c r="A45" s="750"/>
      <c r="B45" s="635"/>
      <c r="C45" s="635"/>
      <c r="D45" s="635"/>
      <c r="E45" s="635"/>
      <c r="F45" s="635"/>
      <c r="G45" s="635"/>
      <c r="H45" s="635"/>
      <c r="I45" s="635"/>
      <c r="J45" s="635"/>
      <c r="K45" s="132"/>
      <c r="L45" s="131"/>
    </row>
    <row r="46" spans="1:12" ht="12.75" customHeight="1">
      <c r="A46" s="124"/>
      <c r="B46" s="127"/>
      <c r="C46" s="128"/>
      <c r="D46" s="128"/>
      <c r="E46" s="128"/>
      <c r="F46" s="128"/>
      <c r="G46" s="128"/>
      <c r="H46" s="128"/>
      <c r="I46" s="128"/>
      <c r="J46" s="128"/>
      <c r="K46" s="130"/>
      <c r="L46" s="130"/>
    </row>
    <row r="47" spans="1:12" ht="54" customHeight="1">
      <c r="A47" s="750"/>
      <c r="B47" s="833"/>
      <c r="C47" s="833"/>
      <c r="D47" s="833"/>
      <c r="E47" s="833"/>
      <c r="F47" s="833"/>
      <c r="G47" s="833"/>
      <c r="H47" s="833"/>
      <c r="I47" s="833"/>
      <c r="J47" s="833"/>
      <c r="K47" s="132"/>
      <c r="L47" s="131"/>
    </row>
    <row r="48" spans="1:12" ht="43.5" customHeight="1">
      <c r="A48" s="838"/>
      <c r="B48" s="835"/>
      <c r="C48" s="835"/>
      <c r="D48" s="835"/>
      <c r="E48" s="835"/>
      <c r="F48" s="835"/>
      <c r="G48" s="835"/>
      <c r="H48" s="835"/>
      <c r="I48" s="835"/>
      <c r="J48" s="835"/>
      <c r="K48" s="130"/>
      <c r="L48" s="130"/>
    </row>
    <row r="49" spans="1:12" ht="62.25" customHeight="1">
      <c r="A49" s="198"/>
      <c r="B49" s="836"/>
      <c r="C49" s="836"/>
      <c r="D49" s="836"/>
      <c r="E49" s="836"/>
      <c r="F49" s="836"/>
      <c r="G49" s="836"/>
      <c r="H49" s="836"/>
      <c r="I49" s="836"/>
      <c r="J49" s="836"/>
      <c r="K49" s="130"/>
      <c r="L49" s="130"/>
    </row>
    <row r="50" spans="1:12" ht="12" customHeight="1">
      <c r="A50" s="198"/>
      <c r="B50" s="170"/>
      <c r="C50" s="170"/>
      <c r="D50" s="170"/>
      <c r="E50" s="170"/>
      <c r="F50" s="170"/>
      <c r="G50" s="170"/>
      <c r="H50" s="170"/>
      <c r="I50" s="170"/>
      <c r="J50" s="170"/>
      <c r="K50" s="130"/>
      <c r="L50" s="130"/>
    </row>
    <row r="51" spans="1:12" ht="64.5" customHeight="1">
      <c r="A51" s="834"/>
      <c r="B51" s="837"/>
      <c r="C51" s="837"/>
      <c r="D51" s="837"/>
      <c r="E51" s="837"/>
      <c r="F51" s="837"/>
      <c r="G51" s="837"/>
      <c r="H51" s="837"/>
      <c r="I51" s="837"/>
      <c r="J51" s="837"/>
      <c r="K51" s="130"/>
      <c r="L51" s="130"/>
    </row>
    <row r="52" spans="1:12" ht="47.25" customHeight="1">
      <c r="A52" s="834"/>
      <c r="B52" s="835"/>
      <c r="C52" s="835"/>
      <c r="D52" s="835"/>
      <c r="E52" s="835"/>
      <c r="F52" s="835"/>
      <c r="G52" s="835"/>
      <c r="H52" s="835"/>
      <c r="I52" s="835"/>
      <c r="J52" s="835"/>
      <c r="K52" s="130"/>
      <c r="L52" s="130"/>
    </row>
    <row r="53" spans="1:12" ht="60" customHeight="1">
      <c r="A53" s="834"/>
      <c r="B53" s="835"/>
      <c r="C53" s="835"/>
      <c r="D53" s="835"/>
      <c r="E53" s="835"/>
      <c r="F53" s="835"/>
      <c r="G53" s="835"/>
      <c r="H53" s="835"/>
      <c r="I53" s="835"/>
      <c r="J53" s="835"/>
      <c r="K53" s="130"/>
      <c r="L53" s="130"/>
    </row>
    <row r="54" spans="1:12" ht="9" customHeight="1">
      <c r="A54" s="103"/>
      <c r="B54" s="98"/>
      <c r="C54" s="100"/>
      <c r="D54" s="100"/>
      <c r="E54" s="100"/>
      <c r="F54" s="100"/>
      <c r="G54" s="100"/>
      <c r="H54" s="100"/>
      <c r="I54" s="100"/>
      <c r="J54" s="100"/>
      <c r="K54" s="130"/>
      <c r="L54" s="130"/>
    </row>
    <row r="55" spans="1:12" ht="22.5" customHeight="1" hidden="1">
      <c r="A55" s="103"/>
      <c r="B55" s="831" t="s">
        <v>217</v>
      </c>
      <c r="C55" s="832"/>
      <c r="D55" s="832"/>
      <c r="E55" s="832"/>
      <c r="F55" s="832"/>
      <c r="G55" s="832"/>
      <c r="H55" s="832"/>
      <c r="I55" s="832"/>
      <c r="J55" s="832"/>
      <c r="K55" s="832"/>
      <c r="L55" s="832"/>
    </row>
    <row r="56" spans="1:12" ht="15.75" hidden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4"/>
      <c r="L56" s="105"/>
    </row>
    <row r="57" spans="1:12" ht="18.75" hidden="1">
      <c r="A57" s="103"/>
      <c r="B57" s="99" t="s">
        <v>216</v>
      </c>
      <c r="C57" s="103"/>
      <c r="D57" s="103"/>
      <c r="E57" s="103"/>
      <c r="F57" s="103"/>
      <c r="G57" s="103"/>
      <c r="H57" s="103"/>
      <c r="I57" s="103"/>
      <c r="J57" s="103"/>
      <c r="K57" s="105"/>
      <c r="L57" s="105"/>
    </row>
    <row r="58" spans="1:12" ht="15.75" hidden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5"/>
      <c r="L58" s="105"/>
    </row>
    <row r="59" spans="1:12" ht="65.25" customHeight="1" hidden="1">
      <c r="A59" s="103"/>
      <c r="B59" s="831" t="s">
        <v>218</v>
      </c>
      <c r="C59" s="832"/>
      <c r="D59" s="832"/>
      <c r="E59" s="832"/>
      <c r="F59" s="832"/>
      <c r="G59" s="832"/>
      <c r="H59" s="832"/>
      <c r="I59" s="832"/>
      <c r="J59" s="832"/>
      <c r="K59" s="832"/>
      <c r="L59" s="832"/>
    </row>
    <row r="60" spans="2:12" ht="15.75">
      <c r="B60" s="60"/>
      <c r="K60" s="17"/>
      <c r="L60" s="17"/>
    </row>
    <row r="61" spans="11:12" ht="15.75">
      <c r="K61" s="17"/>
      <c r="L61" s="177"/>
    </row>
    <row r="62" spans="11:12" ht="15.75">
      <c r="K62" s="17"/>
      <c r="L62" s="17"/>
    </row>
    <row r="63" spans="11:12" ht="15.75">
      <c r="K63" s="17"/>
      <c r="L63" s="17"/>
    </row>
    <row r="64" spans="11:12" ht="15.75">
      <c r="K64" s="17"/>
      <c r="L64" s="17"/>
    </row>
    <row r="65" spans="11:12" ht="15.75">
      <c r="K65" s="17"/>
      <c r="L65" s="17"/>
    </row>
    <row r="66" spans="11:12" ht="15.75">
      <c r="K66" s="17"/>
      <c r="L66" s="17"/>
    </row>
    <row r="67" spans="11:12" ht="15.75">
      <c r="K67" s="17"/>
      <c r="L67" s="17"/>
    </row>
    <row r="68" spans="11:12" ht="15.75">
      <c r="K68" s="17"/>
      <c r="L68" s="17"/>
    </row>
    <row r="69" spans="11:12" ht="15.75">
      <c r="K69" s="17"/>
      <c r="L69" s="17"/>
    </row>
    <row r="70" spans="11:12" ht="15.75">
      <c r="K70" s="17"/>
      <c r="L70" s="17"/>
    </row>
    <row r="71" spans="11:12" ht="15.75">
      <c r="K71" s="17"/>
      <c r="L71" s="17"/>
    </row>
    <row r="72" spans="11:12" ht="15.75">
      <c r="K72" s="17"/>
      <c r="L72" s="18"/>
    </row>
    <row r="73" spans="11:12" ht="15.75">
      <c r="K73" s="17"/>
      <c r="L73" s="18"/>
    </row>
    <row r="74" spans="11:12" ht="15.75">
      <c r="K74" s="17"/>
      <c r="L74" s="17"/>
    </row>
    <row r="75" spans="11:12" ht="15.75">
      <c r="K75" s="17"/>
      <c r="L75" s="17"/>
    </row>
    <row r="76" spans="11:12" ht="15.75">
      <c r="K76" s="17"/>
      <c r="L76" s="17"/>
    </row>
    <row r="77" spans="11:12" ht="15.75">
      <c r="K77" s="17"/>
      <c r="L77" s="17"/>
    </row>
    <row r="78" spans="11:12" ht="15.75">
      <c r="K78" s="17"/>
      <c r="L78" s="17"/>
    </row>
    <row r="79" spans="11:12" ht="15.75">
      <c r="K79" s="17"/>
      <c r="L79" s="17"/>
    </row>
    <row r="80" spans="11:12" ht="15.75">
      <c r="K80" s="17"/>
      <c r="L80" s="17"/>
    </row>
    <row r="81" spans="11:12" ht="15.75">
      <c r="K81" s="17"/>
      <c r="L81" s="17"/>
    </row>
    <row r="82" spans="11:12" ht="15.75">
      <c r="K82" s="17"/>
      <c r="L82" s="17"/>
    </row>
    <row r="83" spans="11:12" ht="15.75">
      <c r="K83" s="17"/>
      <c r="L83" s="17"/>
    </row>
    <row r="84" spans="11:12" ht="15.75">
      <c r="K84" s="17"/>
      <c r="L84" s="17"/>
    </row>
    <row r="85" spans="11:12" ht="15.75">
      <c r="K85" s="17"/>
      <c r="L85" s="17"/>
    </row>
    <row r="86" spans="11:12" ht="15.75">
      <c r="K86" s="17"/>
      <c r="L86" s="17"/>
    </row>
    <row r="87" spans="11:12" ht="15.75">
      <c r="K87" s="21"/>
      <c r="L87" s="17"/>
    </row>
    <row r="88" spans="11:12" ht="15.75">
      <c r="K88" s="10"/>
      <c r="L88" s="10"/>
    </row>
    <row r="89" spans="11:12" ht="15.75">
      <c r="K89" s="9"/>
      <c r="L89" s="9"/>
    </row>
    <row r="90" spans="11:12" ht="15.75">
      <c r="K90" s="9"/>
      <c r="L90" s="9"/>
    </row>
    <row r="91" spans="11:12" ht="15.75">
      <c r="K91" s="9"/>
      <c r="L91" s="9"/>
    </row>
    <row r="92" spans="11:12" ht="15.75">
      <c r="K92" s="9"/>
      <c r="L92" s="9"/>
    </row>
  </sheetData>
  <sheetProtection/>
  <mergeCells count="52">
    <mergeCell ref="A18:D18"/>
    <mergeCell ref="A26:D26"/>
    <mergeCell ref="A27:D27"/>
    <mergeCell ref="A28:D28"/>
    <mergeCell ref="A19:D19"/>
    <mergeCell ref="B55:L55"/>
    <mergeCell ref="B59:L59"/>
    <mergeCell ref="A43:J43"/>
    <mergeCell ref="A45:J45"/>
    <mergeCell ref="A47:J47"/>
    <mergeCell ref="A52:J52"/>
    <mergeCell ref="B49:J49"/>
    <mergeCell ref="A53:J53"/>
    <mergeCell ref="A51:J51"/>
    <mergeCell ref="A48:J48"/>
    <mergeCell ref="A16:D16"/>
    <mergeCell ref="A41:J41"/>
    <mergeCell ref="A20:D20"/>
    <mergeCell ref="A21:D21"/>
    <mergeCell ref="A22:D22"/>
    <mergeCell ref="A39:M39"/>
    <mergeCell ref="A23:D23"/>
    <mergeCell ref="A24:D24"/>
    <mergeCell ref="A25:D25"/>
    <mergeCell ref="A17:D17"/>
    <mergeCell ref="A12:D12"/>
    <mergeCell ref="A13:D13"/>
    <mergeCell ref="A14:D14"/>
    <mergeCell ref="A15:D15"/>
    <mergeCell ref="A1:L1"/>
    <mergeCell ref="A2:L2"/>
    <mergeCell ref="A3:L3"/>
    <mergeCell ref="A4:L4"/>
    <mergeCell ref="A5:L5"/>
    <mergeCell ref="A8:D9"/>
    <mergeCell ref="A10:D10"/>
    <mergeCell ref="A11:D11"/>
    <mergeCell ref="A6:L6"/>
    <mergeCell ref="K8:L8"/>
    <mergeCell ref="I8:J8"/>
    <mergeCell ref="G8:H8"/>
    <mergeCell ref="E8:F8"/>
    <mergeCell ref="A29:D29"/>
    <mergeCell ref="A30:D30"/>
    <mergeCell ref="A31:D31"/>
    <mergeCell ref="A33:D33"/>
    <mergeCell ref="A32:D32"/>
    <mergeCell ref="A38:D38"/>
    <mergeCell ref="A34:D34"/>
    <mergeCell ref="A35:D35"/>
    <mergeCell ref="A36:D36"/>
    <mergeCell ref="A37:D37"/>
  </mergeCells>
  <printOptions horizont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&amp;RState and Local Law Enforcement Assistance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