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Default Extension="wdp" ContentType="image/vnd.ms-photo"/>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372" yWindow="576" windowWidth="15480" windowHeight="10608" tabRatio="876"/>
  </bookViews>
  <sheets>
    <sheet name="A. Org. Chart" sheetId="28" r:id="rId1"/>
    <sheet name="B. Summary of Requirements" sheetId="1" r:id="rId2"/>
    <sheet name="C. Increases Offsets" sheetId="2" r:id="rId3"/>
    <sheet name="D. Strategic Goal" sheetId="23" r:id="rId4"/>
    <sheet name="E. ATB Justification" sheetId="20" r:id="rId5"/>
    <sheet name="F. 2011 Crosswalk" sheetId="4" r:id="rId6"/>
    <sheet name="G. 2012 Crosswalk" sheetId="24" r:id="rId7"/>
    <sheet name="H. Summary of Reimb. Resources" sheetId="25" r:id="rId8"/>
    <sheet name="I. Permanent Positons" sheetId="7" r:id="rId9"/>
    <sheet name="J. Financial Analysis" sheetId="8" r:id="rId10"/>
    <sheet name="K. Summary by Grade" sheetId="16" r:id="rId11"/>
    <sheet name="L. Summary by Object Class" sheetId="9" r:id="rId12"/>
    <sheet name="M. Studies" sheetId="22" r:id="rId13"/>
    <sheet name="N. Summary by Appropriation" sheetId="10" r:id="rId14"/>
    <sheet name="O. Summary of Change" sheetId="11" r:id="rId15"/>
    <sheet name="P. PCA Worksheet" sheetId="21" r:id="rId16"/>
  </sheets>
  <definedNames>
    <definedName name="_11POS_BY_CAT" localSheetId="15">#REF!</definedName>
    <definedName name="_11POS_BY_CAT">#REF!</definedName>
    <definedName name="_1ATTORNEY_SUPP" localSheetId="15">#REF!</definedName>
    <definedName name="_1ATTORNEY_SUPP">#REF!</definedName>
    <definedName name="_2ATTORNEY_SUPP" localSheetId="15">#REF!</definedName>
    <definedName name="_2ATTORNEY_SUPP">#REF!</definedName>
    <definedName name="_2GA_ROLLUP" localSheetId="15">#REF!</definedName>
    <definedName name="_2GA_ROLLUP">#REF!</definedName>
    <definedName name="_3POS_BY_CAT" localSheetId="15">#REF!</definedName>
    <definedName name="_3POS_BY_CAT">#REF!</definedName>
    <definedName name="_7GA_ROLLUP" localSheetId="15">#REF!</definedName>
    <definedName name="_7GA_ROLLUP">#REF!</definedName>
    <definedName name="DL" localSheetId="15">#REF!</definedName>
    <definedName name="DL">#REF!</definedName>
    <definedName name="EXECSUPP" localSheetId="15">#REF!</definedName>
    <definedName name="EXECSUPP">#REF!</definedName>
    <definedName name="FY0711.1" localSheetId="15">#REF!</definedName>
    <definedName name="FY0711.1">#REF!</definedName>
    <definedName name="FY0711.5" localSheetId="15">#REF!</definedName>
    <definedName name="FY0711.5">#REF!</definedName>
    <definedName name="FY0712.1" localSheetId="15">#REF!</definedName>
    <definedName name="FY0712.1">#REF!</definedName>
    <definedName name="FY0721.0" localSheetId="15">#REF!</definedName>
    <definedName name="FY0721.0">#REF!</definedName>
    <definedName name="FY0722.0" localSheetId="15">#REF!</definedName>
    <definedName name="FY0722.0">#REF!</definedName>
    <definedName name="FY0723.1" localSheetId="15">#REF!</definedName>
    <definedName name="FY0723.1">#REF!</definedName>
    <definedName name="FY0723.2" localSheetId="15">#REF!</definedName>
    <definedName name="FY0723.2">#REF!</definedName>
    <definedName name="FY0723.3" localSheetId="15">#REF!</definedName>
    <definedName name="FY0723.3">#REF!</definedName>
    <definedName name="FY0724.0" localSheetId="15">#REF!</definedName>
    <definedName name="FY0724.0">#REF!</definedName>
    <definedName name="FY0725.2" localSheetId="15">#REF!</definedName>
    <definedName name="FY0725.2">#REF!</definedName>
    <definedName name="FY0725.3" localSheetId="15">#REF!</definedName>
    <definedName name="FY0725.3">#REF!</definedName>
    <definedName name="FY0725.6" localSheetId="15">#REF!</definedName>
    <definedName name="FY0725.6">#REF!</definedName>
    <definedName name="FY0726.0" localSheetId="15">#REF!</definedName>
    <definedName name="FY0726.0">#REF!</definedName>
    <definedName name="FY0731.0" localSheetId="15">#REF!</definedName>
    <definedName name="FY0731.0">#REF!</definedName>
    <definedName name="FY0732.0" localSheetId="15">#REF!</definedName>
    <definedName name="FY0732.0">#REF!</definedName>
    <definedName name="FY07Ling" localSheetId="15">#REF!</definedName>
    <definedName name="FY07Ling">#REF!</definedName>
    <definedName name="FY07Mult" localSheetId="15">#REF!</definedName>
    <definedName name="FY07Mult">#REF!</definedName>
    <definedName name="FY07PEPI" localSheetId="15">#REF!</definedName>
    <definedName name="FY07PEPI">#REF!</definedName>
    <definedName name="FY07Tot" localSheetId="15">#REF!</definedName>
    <definedName name="FY07Tot">#REF!</definedName>
    <definedName name="FY07Train" localSheetId="15">#REF!</definedName>
    <definedName name="FY07Train">#REF!</definedName>
    <definedName name="FY0811.1" localSheetId="15">#REF!</definedName>
    <definedName name="FY0811.1">#REF!</definedName>
    <definedName name="FY0811.5" localSheetId="15">#REF!</definedName>
    <definedName name="FY0811.5">#REF!</definedName>
    <definedName name="FY0812.1" localSheetId="15">#REF!</definedName>
    <definedName name="FY0812.1">#REF!</definedName>
    <definedName name="FY0821.0" localSheetId="15">#REF!</definedName>
    <definedName name="FY0821.0">#REF!</definedName>
    <definedName name="FY0822.0" localSheetId="15">#REF!</definedName>
    <definedName name="FY0822.0">#REF!</definedName>
    <definedName name="FY0823.1" localSheetId="15">#REF!</definedName>
    <definedName name="FY0823.1">#REF!</definedName>
    <definedName name="FY0823.2" localSheetId="15">#REF!</definedName>
    <definedName name="FY0823.2">#REF!</definedName>
    <definedName name="FY0823.3" localSheetId="15">#REF!</definedName>
    <definedName name="FY0823.3">#REF!</definedName>
    <definedName name="FY0824.0" localSheetId="15">#REF!</definedName>
    <definedName name="FY0824.0">#REF!</definedName>
    <definedName name="FY0825.2" localSheetId="15">#REF!</definedName>
    <definedName name="FY0825.2">#REF!</definedName>
    <definedName name="FY0825.3" localSheetId="15">#REF!</definedName>
    <definedName name="FY0825.3">#REF!</definedName>
    <definedName name="FY0825.6" localSheetId="15">#REF!</definedName>
    <definedName name="FY0825.6">#REF!</definedName>
    <definedName name="FY0826.0" localSheetId="15">#REF!</definedName>
    <definedName name="FY0826.0">#REF!</definedName>
    <definedName name="FY0831.0" localSheetId="15">#REF!</definedName>
    <definedName name="FY0831.0">#REF!</definedName>
    <definedName name="FY0832.0" localSheetId="15">#REF!</definedName>
    <definedName name="FY0832.0">#REF!</definedName>
    <definedName name="FY08Ling" localSheetId="15">#REF!</definedName>
    <definedName name="FY08Ling">#REF!</definedName>
    <definedName name="FY08Mult" localSheetId="15">#REF!</definedName>
    <definedName name="FY08Mult">#REF!</definedName>
    <definedName name="FY08PEPI" localSheetId="15">#REF!</definedName>
    <definedName name="FY08PEPI">#REF!</definedName>
    <definedName name="FY08Tot" localSheetId="15">#REF!</definedName>
    <definedName name="FY08Tot">#REF!</definedName>
    <definedName name="FY08Train" localSheetId="15">#REF!</definedName>
    <definedName name="FY08Train">#REF!</definedName>
    <definedName name="FY0911.1" localSheetId="15">#REF!</definedName>
    <definedName name="FY0911.1">#REF!</definedName>
    <definedName name="FY0911.5" localSheetId="15">#REF!</definedName>
    <definedName name="FY0911.5">#REF!</definedName>
    <definedName name="FY0912.1" localSheetId="15">#REF!</definedName>
    <definedName name="FY0912.1">#REF!</definedName>
    <definedName name="FY0921.0" localSheetId="15">#REF!</definedName>
    <definedName name="FY0921.0">#REF!</definedName>
    <definedName name="FY0922.0" localSheetId="15">#REF!</definedName>
    <definedName name="FY0922.0">#REF!</definedName>
    <definedName name="FY0923.1" localSheetId="15">#REF!</definedName>
    <definedName name="FY0923.1">#REF!</definedName>
    <definedName name="FY0923.2" localSheetId="15">#REF!</definedName>
    <definedName name="FY0923.2">#REF!</definedName>
    <definedName name="FY0923.3" localSheetId="15">#REF!</definedName>
    <definedName name="FY0923.3">#REF!</definedName>
    <definedName name="FY0924.0" localSheetId="15">#REF!</definedName>
    <definedName name="FY0924.0">#REF!</definedName>
    <definedName name="FY0925.2" localSheetId="15">#REF!</definedName>
    <definedName name="FY0925.2">#REF!</definedName>
    <definedName name="FY0925.3" localSheetId="15">#REF!</definedName>
    <definedName name="FY0925.3">#REF!</definedName>
    <definedName name="FY0925.6" localSheetId="15">#REF!</definedName>
    <definedName name="FY0925.6">#REF!</definedName>
    <definedName name="FY0926.0" localSheetId="15">#REF!</definedName>
    <definedName name="FY0926.0">#REF!</definedName>
    <definedName name="FY0931.0" localSheetId="15">#REF!</definedName>
    <definedName name="FY0931.0">#REF!</definedName>
    <definedName name="FY0932.0" localSheetId="15">#REF!</definedName>
    <definedName name="FY0932.0">#REF!</definedName>
    <definedName name="FY09Ling" localSheetId="15">#REF!</definedName>
    <definedName name="FY09Ling">#REF!</definedName>
    <definedName name="FY09Mult" localSheetId="15">#REF!</definedName>
    <definedName name="FY09Mult">#REF!</definedName>
    <definedName name="FY09PEPI" localSheetId="15">#REF!</definedName>
    <definedName name="FY09PEPI">#REF!</definedName>
    <definedName name="FY09Tot" localSheetId="15">#REF!</definedName>
    <definedName name="FY09Tot">#REF!</definedName>
    <definedName name="FY09Train" localSheetId="15">#REF!</definedName>
    <definedName name="FY09Train">#REF!</definedName>
    <definedName name="INTEL" localSheetId="15">#REF!</definedName>
    <definedName name="INTEL">#REF!</definedName>
    <definedName name="JMD" localSheetId="15">#REF!</definedName>
    <definedName name="JMD">#REF!</definedName>
    <definedName name="PART" localSheetId="15">#REF!</definedName>
    <definedName name="PART">#REF!</definedName>
    <definedName name="_xlnm.Print_Area" localSheetId="0">'A. Org. Chart'!$A$1:$J$29</definedName>
    <definedName name="_xlnm.Print_Area" localSheetId="1">'B. Summary of Requirements'!$A$1:$AB$75</definedName>
    <definedName name="_xlnm.Print_Area" localSheetId="2">'C. Increases Offsets'!$A$1:$W$24</definedName>
    <definedName name="_xlnm.Print_Area" localSheetId="3">'D. Strategic Goal'!$A$1:$Q$18</definedName>
    <definedName name="_xlnm.Print_Area" localSheetId="4">'E. ATB Justification'!$A$1:$I$58</definedName>
    <definedName name="_xlnm.Print_Area" localSheetId="5">'F. 2011 Crosswalk'!$A$1:$R$22</definedName>
    <definedName name="_xlnm.Print_Area" localSheetId="6">'G. 2012 Crosswalk'!$A$1:$P$17</definedName>
    <definedName name="_xlnm.Print_Area" localSheetId="7">'H. Summary of Reimb. Resources'!$A$1:$P$20</definedName>
    <definedName name="_xlnm.Print_Area" localSheetId="8">'I. Permanent Positons'!$A$1:$L$37</definedName>
    <definedName name="_xlnm.Print_Area" localSheetId="9">'J. Financial Analysis'!$A$1:$W$37</definedName>
    <definedName name="_xlnm.Print_Area" localSheetId="10">'K. Summary by Grade'!$A$1:$J$28</definedName>
    <definedName name="_xlnm.Print_Area" localSheetId="11">'L. Summary by Object Class'!$A$1:$J$51</definedName>
    <definedName name="_xlnm.Print_Area" localSheetId="12">'M. Studies'!$A$1:$M$43</definedName>
    <definedName name="_xlnm.Print_Area" localSheetId="13">'N. Summary by Appropriation'!$A$1:$K$25</definedName>
    <definedName name="_xlnm.Print_Area" localSheetId="14">'O. Summary of Change'!$A$1:$G$55</definedName>
    <definedName name="_xlnm.Print_Area" localSheetId="15">'P. PCA Worksheet'!$A$1:$H$33</definedName>
    <definedName name="_xlnm.Print_Area">'B. Summary of Requirements'!$A$8:$AB$88</definedName>
    <definedName name="_xlnm.Print_Titles" localSheetId="4">'E. ATB Justification'!$2:$4</definedName>
    <definedName name="_xlnm.Print_Titles" localSheetId="9">'J. Financial Analysis'!$A:$A</definedName>
    <definedName name="REIMPRO" localSheetId="15">#REF!</definedName>
    <definedName name="REIMPRO">#REF!</definedName>
    <definedName name="REIMSOR" localSheetId="15">#REF!</definedName>
    <definedName name="REIMSOR">#REF!</definedName>
  </definedNames>
  <calcPr calcId="125725"/>
  <fileRecoveryPr repairLoad="1"/>
</workbook>
</file>

<file path=xl/calcChain.xml><?xml version="1.0" encoding="utf-8"?>
<calcChain xmlns="http://schemas.openxmlformats.org/spreadsheetml/2006/main">
  <c r="U8" i="8"/>
  <c r="V8"/>
  <c r="U9"/>
  <c r="V9"/>
  <c r="U10"/>
  <c r="V10"/>
  <c r="U11"/>
  <c r="V11"/>
  <c r="U12"/>
  <c r="V12"/>
  <c r="U13"/>
  <c r="V13"/>
  <c r="U14"/>
  <c r="V14"/>
  <c r="I15" i="23" l="1"/>
  <c r="F15"/>
  <c r="C15"/>
  <c r="V22" i="2" l="1"/>
  <c r="U22"/>
  <c r="T22"/>
  <c r="S22"/>
  <c r="G10" i="9" l="1"/>
  <c r="F10"/>
  <c r="E24"/>
  <c r="E20"/>
  <c r="C10" l="1"/>
  <c r="C24"/>
  <c r="I25" i="16"/>
  <c r="H24"/>
  <c r="H23"/>
  <c r="H22"/>
  <c r="H21"/>
  <c r="H20"/>
  <c r="H19"/>
  <c r="H18"/>
  <c r="H17"/>
  <c r="H16"/>
  <c r="H15"/>
  <c r="H14"/>
  <c r="H13"/>
  <c r="H12"/>
  <c r="H11"/>
  <c r="F24"/>
  <c r="F22"/>
  <c r="F21"/>
  <c r="F20"/>
  <c r="F19"/>
  <c r="F18"/>
  <c r="F17"/>
  <c r="F16"/>
  <c r="F15"/>
  <c r="F14"/>
  <c r="F13"/>
  <c r="F12"/>
  <c r="F11"/>
  <c r="D24"/>
  <c r="D21"/>
  <c r="D20"/>
  <c r="D19"/>
  <c r="D18"/>
  <c r="D17"/>
  <c r="D16"/>
  <c r="D15"/>
  <c r="D14"/>
  <c r="D13"/>
  <c r="D12"/>
  <c r="D11"/>
  <c r="B23"/>
  <c r="B24"/>
  <c r="B22"/>
  <c r="B17"/>
  <c r="B16"/>
  <c r="B15"/>
  <c r="B13"/>
  <c r="B12"/>
  <c r="H56" i="20"/>
  <c r="D16" i="7" l="1"/>
  <c r="D17"/>
  <c r="G16" i="9" l="1"/>
  <c r="E16"/>
  <c r="E10"/>
  <c r="B25" i="16"/>
  <c r="D25"/>
  <c r="F25"/>
  <c r="O18" i="25" l="1"/>
  <c r="F20"/>
  <c r="I36" i="7"/>
  <c r="J36" s="1"/>
  <c r="I19"/>
  <c r="I35"/>
  <c r="J35" s="1"/>
  <c r="I15"/>
  <c r="I16"/>
  <c r="J33"/>
  <c r="J32"/>
  <c r="J31"/>
  <c r="J30"/>
  <c r="J29"/>
  <c r="J28"/>
  <c r="J27"/>
  <c r="J26"/>
  <c r="J25"/>
  <c r="J24"/>
  <c r="J23"/>
  <c r="J22"/>
  <c r="J21"/>
  <c r="J20"/>
  <c r="J19"/>
  <c r="J18"/>
  <c r="J17"/>
  <c r="J16"/>
  <c r="J34" s="1"/>
  <c r="J15"/>
  <c r="J14"/>
  <c r="J13"/>
  <c r="H36"/>
  <c r="I34"/>
  <c r="H34"/>
  <c r="D37" l="1"/>
  <c r="D35"/>
  <c r="D34"/>
  <c r="D33"/>
  <c r="D32"/>
  <c r="D30"/>
  <c r="D29"/>
  <c r="D28"/>
  <c r="D27"/>
  <c r="D25"/>
  <c r="D24"/>
  <c r="D23"/>
  <c r="D21"/>
  <c r="D20"/>
  <c r="D19"/>
  <c r="D18"/>
  <c r="D15"/>
  <c r="D14"/>
  <c r="D13"/>
  <c r="I20" i="25" l="1"/>
  <c r="L20"/>
  <c r="P15" i="23"/>
  <c r="P16" s="1"/>
  <c r="O15"/>
  <c r="O16" s="1"/>
  <c r="P12"/>
  <c r="O12"/>
  <c r="U23" i="2" l="1"/>
  <c r="U21"/>
  <c r="U20"/>
  <c r="T23"/>
  <c r="T21"/>
  <c r="T20"/>
  <c r="T24" s="1"/>
  <c r="S23"/>
  <c r="S21"/>
  <c r="S20"/>
  <c r="R24"/>
  <c r="Q24"/>
  <c r="O24"/>
  <c r="S24" l="1"/>
  <c r="U24"/>
  <c r="K35" i="8"/>
  <c r="K34"/>
  <c r="K33"/>
  <c r="K31"/>
  <c r="K29"/>
  <c r="K28"/>
  <c r="E34"/>
  <c r="E33"/>
  <c r="E31"/>
  <c r="E29"/>
  <c r="E28"/>
  <c r="I35"/>
  <c r="V35" s="1"/>
  <c r="I33"/>
  <c r="C28"/>
  <c r="I28"/>
  <c r="I34"/>
  <c r="I32"/>
  <c r="V32" s="1"/>
  <c r="I31"/>
  <c r="I29"/>
  <c r="C34"/>
  <c r="C33"/>
  <c r="C31"/>
  <c r="C29"/>
  <c r="V27"/>
  <c r="V36"/>
  <c r="V30"/>
  <c r="V24"/>
  <c r="V23"/>
  <c r="V22"/>
  <c r="N26"/>
  <c r="N37" s="1"/>
  <c r="V15"/>
  <c r="V19"/>
  <c r="V20"/>
  <c r="V18"/>
  <c r="V16"/>
  <c r="T21"/>
  <c r="T26" s="1"/>
  <c r="S21"/>
  <c r="S26" s="1"/>
  <c r="S37" s="1"/>
  <c r="O37"/>
  <c r="F37"/>
  <c r="V28" l="1"/>
  <c r="V34"/>
  <c r="V29"/>
  <c r="V33"/>
  <c r="V31"/>
  <c r="N20" i="25"/>
  <c r="M20"/>
  <c r="K20"/>
  <c r="J20"/>
  <c r="H20"/>
  <c r="G20"/>
  <c r="E20"/>
  <c r="D20"/>
  <c r="O19"/>
  <c r="O17"/>
  <c r="O16"/>
  <c r="O14"/>
  <c r="O13"/>
  <c r="O12"/>
  <c r="O11"/>
  <c r="O10"/>
  <c r="L13" i="24"/>
  <c r="K13"/>
  <c r="J13"/>
  <c r="I13"/>
  <c r="H13"/>
  <c r="G13"/>
  <c r="F13"/>
  <c r="E13"/>
  <c r="D13"/>
  <c r="C13"/>
  <c r="C17" s="1"/>
  <c r="B13"/>
  <c r="O12"/>
  <c r="N12"/>
  <c r="M12"/>
  <c r="O11"/>
  <c r="N11"/>
  <c r="M11"/>
  <c r="O10"/>
  <c r="N10"/>
  <c r="M10"/>
  <c r="O9"/>
  <c r="N9"/>
  <c r="N13" s="1"/>
  <c r="N17" s="1"/>
  <c r="M9"/>
  <c r="M16" i="23"/>
  <c r="K16"/>
  <c r="J16"/>
  <c r="G16"/>
  <c r="F16"/>
  <c r="D16"/>
  <c r="C16"/>
  <c r="N16"/>
  <c r="L16"/>
  <c r="I16"/>
  <c r="N13"/>
  <c r="M13"/>
  <c r="M18" s="1"/>
  <c r="L13"/>
  <c r="K13"/>
  <c r="J13"/>
  <c r="I13"/>
  <c r="G13"/>
  <c r="F13"/>
  <c r="D13"/>
  <c r="C13"/>
  <c r="P13"/>
  <c r="P18" s="1"/>
  <c r="O13"/>
  <c r="O18" s="1"/>
  <c r="O15" i="25" l="1"/>
  <c r="M13" i="24"/>
  <c r="O13"/>
  <c r="K18" i="23"/>
  <c r="J18"/>
  <c r="I18"/>
  <c r="G18"/>
  <c r="F18"/>
  <c r="D18"/>
  <c r="C18"/>
  <c r="L18"/>
  <c r="O9" i="25"/>
  <c r="N18" i="23"/>
  <c r="O20" i="25" l="1"/>
  <c r="V20" i="2"/>
  <c r="AA68" i="1" l="1"/>
  <c r="Z69"/>
  <c r="Z68"/>
  <c r="Z67"/>
  <c r="Z66"/>
  <c r="Y69"/>
  <c r="Y68"/>
  <c r="Y67"/>
  <c r="Y66"/>
  <c r="X67"/>
  <c r="X66"/>
  <c r="U67"/>
  <c r="U66"/>
  <c r="T67"/>
  <c r="T66"/>
  <c r="S66"/>
  <c r="R69"/>
  <c r="AA69" s="1"/>
  <c r="R68"/>
  <c r="R67"/>
  <c r="AA67" s="1"/>
  <c r="R66"/>
  <c r="Q69"/>
  <c r="Q68"/>
  <c r="Q67"/>
  <c r="Q66"/>
  <c r="P69"/>
  <c r="P68"/>
  <c r="P67"/>
  <c r="P66"/>
  <c r="O70"/>
  <c r="N70"/>
  <c r="N72" s="1"/>
  <c r="M70"/>
  <c r="AA15"/>
  <c r="Z15"/>
  <c r="Y15"/>
  <c r="R70" l="1"/>
  <c r="AA66"/>
  <c r="F15" i="11" l="1"/>
  <c r="F38" s="1"/>
  <c r="E15"/>
  <c r="E38" s="1"/>
  <c r="D15"/>
  <c r="D38" s="1"/>
  <c r="D15" i="10" l="1"/>
  <c r="D21" s="1"/>
  <c r="C21" l="1"/>
  <c r="B21"/>
  <c r="G19" i="7" l="1"/>
  <c r="F45" i="11" l="1"/>
  <c r="E45"/>
  <c r="D45"/>
  <c r="F52"/>
  <c r="E52"/>
  <c r="D52"/>
  <c r="E53" l="1"/>
  <c r="D53"/>
  <c r="F53"/>
  <c r="H49" i="20"/>
  <c r="H58" s="1"/>
  <c r="U22" i="8" l="1"/>
  <c r="G37" l="1"/>
  <c r="G33" i="7"/>
  <c r="G29"/>
  <c r="G21"/>
  <c r="G17"/>
  <c r="G16"/>
  <c r="G34" s="1"/>
  <c r="V23" i="2" l="1"/>
  <c r="V24" s="1"/>
  <c r="AA40" i="1" l="1"/>
  <c r="Z40"/>
  <c r="Y40"/>
  <c r="AA21"/>
  <c r="Z21"/>
  <c r="Y21"/>
  <c r="E39" i="11" l="1"/>
  <c r="E54" s="1"/>
  <c r="D39"/>
  <c r="D54" s="1"/>
  <c r="F39"/>
  <c r="F54" s="1"/>
  <c r="R15" i="2"/>
  <c r="N15"/>
  <c r="J15"/>
  <c r="F15"/>
  <c r="K17" i="8" l="1"/>
  <c r="V17" s="1"/>
  <c r="J20"/>
  <c r="J21" s="1"/>
  <c r="J26" s="1"/>
  <c r="J37" s="1"/>
  <c r="D15"/>
  <c r="I21"/>
  <c r="R21" l="1"/>
  <c r="R26" s="1"/>
  <c r="Q21"/>
  <c r="Q26" s="1"/>
  <c r="U24"/>
  <c r="U23"/>
  <c r="U36"/>
  <c r="U35"/>
  <c r="U34"/>
  <c r="U33"/>
  <c r="U32"/>
  <c r="U31"/>
  <c r="U30"/>
  <c r="U29"/>
  <c r="U28"/>
  <c r="U27"/>
  <c r="U20"/>
  <c r="U19"/>
  <c r="U18"/>
  <c r="U17"/>
  <c r="U16"/>
  <c r="U15"/>
  <c r="T37"/>
  <c r="K21"/>
  <c r="L21"/>
  <c r="L37"/>
  <c r="K26" l="1"/>
  <c r="K37" s="1"/>
  <c r="E21" i="10"/>
  <c r="F21"/>
  <c r="G15"/>
  <c r="G21" s="1"/>
  <c r="D70" i="1" l="1"/>
  <c r="E70"/>
  <c r="F70"/>
  <c r="G70"/>
  <c r="H70"/>
  <c r="I70"/>
  <c r="L70"/>
  <c r="S70"/>
  <c r="T70"/>
  <c r="U70"/>
  <c r="V70"/>
  <c r="W70"/>
  <c r="W72" s="1"/>
  <c r="X70"/>
  <c r="F49" i="20" l="1"/>
  <c r="F58" s="1"/>
  <c r="G49" l="1"/>
  <c r="G58" s="1"/>
  <c r="H33" i="9" l="1"/>
  <c r="F33"/>
  <c r="D33"/>
  <c r="B33"/>
  <c r="Q15" i="4"/>
  <c r="Q14"/>
  <c r="Q13"/>
  <c r="Q12"/>
  <c r="AA34" i="1"/>
  <c r="AA41" s="1"/>
  <c r="Z34"/>
  <c r="Z41" s="1"/>
  <c r="Y34"/>
  <c r="Y41" s="1"/>
  <c r="M24" i="2" l="1"/>
  <c r="I21" i="10" l="1"/>
  <c r="H21"/>
  <c r="AA26" i="1" l="1"/>
  <c r="AA27" s="1"/>
  <c r="AA28" s="1"/>
  <c r="Z26"/>
  <c r="Z27" s="1"/>
  <c r="Z28" s="1"/>
  <c r="Y26"/>
  <c r="Y27" s="1"/>
  <c r="Y28" s="1"/>
  <c r="P21" i="8" l="1"/>
  <c r="P26" s="1"/>
  <c r="P37" s="1"/>
  <c r="M37"/>
  <c r="M21"/>
  <c r="F24" i="2" l="1"/>
  <c r="V14" l="1"/>
  <c r="V13"/>
  <c r="V12"/>
  <c r="U13" l="1"/>
  <c r="T13"/>
  <c r="S13"/>
  <c r="V15" l="1"/>
  <c r="J15" i="10" l="1"/>
  <c r="J21" s="1"/>
  <c r="I33" i="7" l="1"/>
  <c r="I32"/>
  <c r="I31"/>
  <c r="I30"/>
  <c r="I29"/>
  <c r="I28"/>
  <c r="I27"/>
  <c r="I26"/>
  <c r="I25"/>
  <c r="I24"/>
  <c r="I23"/>
  <c r="I22"/>
  <c r="I21"/>
  <c r="I20"/>
  <c r="I18"/>
  <c r="I17"/>
  <c r="I14"/>
  <c r="I13"/>
  <c r="R37" i="8" l="1"/>
  <c r="T72" i="1"/>
  <c r="E72"/>
  <c r="Y42" l="1"/>
  <c r="Y43" s="1"/>
  <c r="AA70"/>
  <c r="Q37" i="8" l="1"/>
  <c r="Q15" i="2" l="1"/>
  <c r="O15"/>
  <c r="M15"/>
  <c r="K15"/>
  <c r="I15"/>
  <c r="H15"/>
  <c r="G15"/>
  <c r="E15"/>
  <c r="D15"/>
  <c r="C15"/>
  <c r="S12"/>
  <c r="T12"/>
  <c r="U12"/>
  <c r="S14"/>
  <c r="T14"/>
  <c r="U14"/>
  <c r="L15"/>
  <c r="P15"/>
  <c r="J24"/>
  <c r="N24"/>
  <c r="T15" l="1"/>
  <c r="U15"/>
  <c r="S15"/>
  <c r="H21" i="8" l="1"/>
  <c r="E21"/>
  <c r="D21"/>
  <c r="C21"/>
  <c r="B21"/>
  <c r="I20" i="9"/>
  <c r="G14"/>
  <c r="G29" s="1"/>
  <c r="E14"/>
  <c r="E29" s="1"/>
  <c r="C14"/>
  <c r="B34" i="7"/>
  <c r="B36" s="1"/>
  <c r="B37" s="1"/>
  <c r="I28" i="9"/>
  <c r="H51"/>
  <c r="N16" i="4"/>
  <c r="K16"/>
  <c r="H16"/>
  <c r="P14"/>
  <c r="O14"/>
  <c r="F14" i="9"/>
  <c r="F46" s="1"/>
  <c r="H10"/>
  <c r="H12"/>
  <c r="H13"/>
  <c r="D14"/>
  <c r="D46" s="1"/>
  <c r="B14"/>
  <c r="B46" s="1"/>
  <c r="P12" i="4"/>
  <c r="P13"/>
  <c r="P15"/>
  <c r="O12"/>
  <c r="O13"/>
  <c r="O15"/>
  <c r="C16"/>
  <c r="C18" s="1"/>
  <c r="D16"/>
  <c r="B16"/>
  <c r="E16"/>
  <c r="F16"/>
  <c r="G16"/>
  <c r="G38" i="9"/>
  <c r="G36" i="7"/>
  <c r="G37" s="1"/>
  <c r="F34"/>
  <c r="F36" s="1"/>
  <c r="H37"/>
  <c r="C37"/>
  <c r="C34"/>
  <c r="K37"/>
  <c r="K34"/>
  <c r="I16" i="9"/>
  <c r="I18"/>
  <c r="I19"/>
  <c r="I22"/>
  <c r="I23"/>
  <c r="I24"/>
  <c r="I25"/>
  <c r="I26"/>
  <c r="I27"/>
  <c r="I10"/>
  <c r="I12"/>
  <c r="I11"/>
  <c r="I13"/>
  <c r="I17"/>
  <c r="I37"/>
  <c r="I38" s="1"/>
  <c r="I40"/>
  <c r="I41"/>
  <c r="I42"/>
  <c r="I43"/>
  <c r="I44"/>
  <c r="G45"/>
  <c r="E38"/>
  <c r="E45" s="1"/>
  <c r="C38"/>
  <c r="C45" s="1"/>
  <c r="U21" i="8" l="1"/>
  <c r="V21"/>
  <c r="H25" i="16"/>
  <c r="E26" i="8"/>
  <c r="C26"/>
  <c r="H26"/>
  <c r="D26"/>
  <c r="Q16" i="4"/>
  <c r="I45" i="9"/>
  <c r="H14"/>
  <c r="H46" s="1"/>
  <c r="C29"/>
  <c r="C46" s="1"/>
  <c r="C50" s="1"/>
  <c r="E46"/>
  <c r="E50" s="1"/>
  <c r="G46"/>
  <c r="G50" s="1"/>
  <c r="O16" i="4"/>
  <c r="P16"/>
  <c r="P18" s="1"/>
  <c r="I14" i="9"/>
  <c r="I29" s="1"/>
  <c r="F37" i="7"/>
  <c r="B26" i="8"/>
  <c r="U26" l="1"/>
  <c r="U37" s="1"/>
  <c r="E37"/>
  <c r="H37"/>
  <c r="I37" i="7"/>
  <c r="J37"/>
  <c r="C37" i="8"/>
  <c r="D37"/>
  <c r="I46" i="9"/>
  <c r="I50" s="1"/>
  <c r="I26" i="8"/>
  <c r="V26" s="1"/>
  <c r="B37"/>
  <c r="V37" l="1"/>
  <c r="I37"/>
  <c r="V39" s="1"/>
  <c r="Z42" i="1"/>
  <c r="Z43" s="1"/>
  <c r="AA42" l="1"/>
  <c r="AA43" s="1"/>
  <c r="P70"/>
  <c r="Q70"/>
  <c r="Q72" s="1"/>
  <c r="K70"/>
  <c r="K72" s="1"/>
  <c r="Z70"/>
  <c r="Z72" s="1"/>
  <c r="Y70" l="1"/>
  <c r="J70"/>
</calcChain>
</file>

<file path=xl/sharedStrings.xml><?xml version="1.0" encoding="utf-8"?>
<sst xmlns="http://schemas.openxmlformats.org/spreadsheetml/2006/main" count="1476" uniqueCount="451">
  <si>
    <t xml:space="preserve">     42.0 Insurance claims and indemnities</t>
  </si>
  <si>
    <t xml:space="preserve">     12.1 Personnel benefits:  PHS</t>
  </si>
  <si>
    <t>Continued on next Page</t>
  </si>
  <si>
    <t>ALLOCATION TO DEPT OF HEALTH &amp; HUMAN SVCS.</t>
  </si>
  <si>
    <t xml:space="preserve">     11.1 Personnel compensation:  PHS</t>
  </si>
  <si>
    <t xml:space="preserve">              Total workyears and personnel comp.</t>
  </si>
  <si>
    <t xml:space="preserve">              Total obligations Salaries and Exp.</t>
  </si>
  <si>
    <t>Detail of Permanent Positions by Category</t>
  </si>
  <si>
    <t>Reimbursable FTE</t>
  </si>
  <si>
    <t xml:space="preserve">    Pos.</t>
  </si>
  <si>
    <t xml:space="preserve">  Amount</t>
  </si>
  <si>
    <t xml:space="preserve">   FTE</t>
  </si>
  <si>
    <t xml:space="preserve">  Pos.</t>
  </si>
  <si>
    <t xml:space="preserve">  FTE</t>
  </si>
  <si>
    <t xml:space="preserve">   Pos.</t>
  </si>
  <si>
    <t xml:space="preserve"> Pos.</t>
  </si>
  <si>
    <t xml:space="preserve"> FTE</t>
  </si>
  <si>
    <t>Location of Description By</t>
  </si>
  <si>
    <t>Decision Unit (s)</t>
  </si>
  <si>
    <t>Corr.Off</t>
  </si>
  <si>
    <t>FTE</t>
  </si>
  <si>
    <t>Amount</t>
  </si>
  <si>
    <t>Total Program Increases</t>
  </si>
  <si>
    <t>Program</t>
  </si>
  <si>
    <t>Total Offsets</t>
  </si>
  <si>
    <t>Transfers</t>
  </si>
  <si>
    <t>Pos.</t>
  </si>
  <si>
    <t>Grades and Salary Ranges</t>
  </si>
  <si>
    <t>Object Class</t>
  </si>
  <si>
    <t>I: Detail of Permanent Positions by Category</t>
  </si>
  <si>
    <t>Federal Prison System</t>
  </si>
  <si>
    <t>Salaries and Expenses</t>
  </si>
  <si>
    <t>Total</t>
  </si>
  <si>
    <t xml:space="preserve"> Total</t>
  </si>
  <si>
    <t xml:space="preserve">  Total</t>
  </si>
  <si>
    <t>Category</t>
  </si>
  <si>
    <t>Authorized</t>
  </si>
  <si>
    <t>Increases</t>
  </si>
  <si>
    <t>Changes</t>
  </si>
  <si>
    <t>Total Program Changes</t>
  </si>
  <si>
    <t>1. Inmate Care &amp; Programs</t>
  </si>
  <si>
    <t>2. Institution Security &amp; Admin</t>
  </si>
  <si>
    <t>3. Contract Confinement</t>
  </si>
  <si>
    <t>Reimbursable FTEs</t>
  </si>
  <si>
    <t>(Dollars in thousands)</t>
  </si>
  <si>
    <t>Total Compensable FTE</t>
  </si>
  <si>
    <t>Federal Prison Industries</t>
  </si>
  <si>
    <t>Attorneys (905)</t>
  </si>
  <si>
    <t>Paralegal Specialist (950)</t>
  </si>
  <si>
    <t>Other Legal and Kindred (900-998)</t>
  </si>
  <si>
    <t>Correctional Institution Administration (006)</t>
  </si>
  <si>
    <t>Correctional Officers (007)</t>
  </si>
  <si>
    <t>Other Misc. Occupations (001-099)</t>
  </si>
  <si>
    <t>Soc. Science, Econ. and Kindred (100-199)</t>
  </si>
  <si>
    <t>Personnel Management (200-299)</t>
  </si>
  <si>
    <t>General Admin clerical and office services (300-399)</t>
  </si>
  <si>
    <t>Biological science (400-499)</t>
  </si>
  <si>
    <t>Accounting and Budget (500-599)</t>
  </si>
  <si>
    <t>Medical, Dental &amp; Public Health (600-799)</t>
  </si>
  <si>
    <t>Engineering and Architecture Group (800-899)</t>
  </si>
  <si>
    <t>Information and Arts Group (1000-1099)</t>
  </si>
  <si>
    <t>Business and Industry Group (1100-1199)</t>
  </si>
  <si>
    <t>Equipment, Facilities and Service Group (1600-1699)</t>
  </si>
  <si>
    <t>Education Group (1410-1411; 1700-1799)</t>
  </si>
  <si>
    <t>Supply Group (2000-2099)</t>
  </si>
  <si>
    <t>Transportation (2100-2199)</t>
  </si>
  <si>
    <t>Information Technology (2210)</t>
  </si>
  <si>
    <t>Ungraded (culinary, farm, mechanical &amp; construction)</t>
  </si>
  <si>
    <t>U.S. Field</t>
  </si>
  <si>
    <t>Headquarters (Washington, D.C.)</t>
  </si>
  <si>
    <t xml:space="preserve">  SES</t>
  </si>
  <si>
    <t xml:space="preserve">  GS-15</t>
  </si>
  <si>
    <t xml:space="preserve">  GS-14</t>
  </si>
  <si>
    <t xml:space="preserve">  GS-13</t>
  </si>
  <si>
    <t xml:space="preserve">  GS-12</t>
  </si>
  <si>
    <t xml:space="preserve">  GS-11</t>
  </si>
  <si>
    <t xml:space="preserve">  GS-10</t>
  </si>
  <si>
    <t xml:space="preserve">  GS-09</t>
  </si>
  <si>
    <t xml:space="preserve">  GS-08</t>
  </si>
  <si>
    <t xml:space="preserve">  GS-07</t>
  </si>
  <si>
    <t xml:space="preserve">  GS-06</t>
  </si>
  <si>
    <t xml:space="preserve">  GS-05</t>
  </si>
  <si>
    <t>Total Positions and annual Rate</t>
  </si>
  <si>
    <t>21.0 Travel and trans of persons</t>
  </si>
  <si>
    <t>12.0 Personnel benefits</t>
  </si>
  <si>
    <t>22.0 Transportation of things</t>
  </si>
  <si>
    <t>23.2 Rental payments to others</t>
  </si>
  <si>
    <t>24.0 Printing and reproduction</t>
  </si>
  <si>
    <t>25.2 Other services</t>
  </si>
  <si>
    <t>26.0 Supplies and materials</t>
  </si>
  <si>
    <t>31.0 Equipment</t>
  </si>
  <si>
    <t>11.5 Other personnel compensation</t>
  </si>
  <si>
    <t xml:space="preserve">     Lapse (-)</t>
  </si>
  <si>
    <t>11.1 Full-time permanent</t>
  </si>
  <si>
    <t>11.3 Other than full-time permanent</t>
  </si>
  <si>
    <t>11.8 Special personal compensation</t>
  </si>
  <si>
    <t xml:space="preserve">                   Total</t>
  </si>
  <si>
    <t>Reimbursable Workyears Full-time permanent</t>
  </si>
  <si>
    <t xml:space="preserve">                   Total direct obligations</t>
  </si>
  <si>
    <t>Ungraded positions</t>
  </si>
  <si>
    <t xml:space="preserve">     Total appropriated positions</t>
  </si>
  <si>
    <t>(Dollars in Thousands)</t>
  </si>
  <si>
    <t>Justification for Base Adjustments</t>
  </si>
  <si>
    <t>Grades</t>
  </si>
  <si>
    <t xml:space="preserve"> Amount</t>
  </si>
  <si>
    <t xml:space="preserve"> K: Summary of Requirement by Grade</t>
  </si>
  <si>
    <t xml:space="preserve">   * Excludes 136 reimbursable FTEs.</t>
  </si>
  <si>
    <t xml:space="preserve">   FTE*</t>
  </si>
  <si>
    <t xml:space="preserve">  </t>
  </si>
  <si>
    <t xml:space="preserve">    Appropriation</t>
  </si>
  <si>
    <t xml:space="preserve"> $000's</t>
  </si>
  <si>
    <t>$000's</t>
  </si>
  <si>
    <t>Other Objects:</t>
  </si>
  <si>
    <t xml:space="preserve"> </t>
  </si>
  <si>
    <t>B. Summary of Requirements</t>
  </si>
  <si>
    <t>Increases:</t>
  </si>
  <si>
    <t>Commissary</t>
  </si>
  <si>
    <t xml:space="preserve">  TOTAL</t>
  </si>
  <si>
    <t>Perm Pos.</t>
  </si>
  <si>
    <t>Program Offsets</t>
  </si>
  <si>
    <t>Financial Analysis of Program Changes</t>
  </si>
  <si>
    <t>Decision Unit</t>
  </si>
  <si>
    <t>Summary of Requirements by Grade</t>
  </si>
  <si>
    <t>Average SES Salary</t>
  </si>
  <si>
    <t>Average GS Salary</t>
  </si>
  <si>
    <t>Average GS Grade</t>
  </si>
  <si>
    <t>Summary of Requirements by Object Class</t>
  </si>
  <si>
    <t>Other Object Classes</t>
  </si>
  <si>
    <t xml:space="preserve">     12.0 Personnel benefits</t>
  </si>
  <si>
    <t xml:space="preserve">     13.0 Benefits for former personnel</t>
  </si>
  <si>
    <t xml:space="preserve">     21.0 Travel and transportation of persons</t>
  </si>
  <si>
    <t xml:space="preserve">     22.0 Transportation of things</t>
  </si>
  <si>
    <t xml:space="preserve">     23.1 GSA rent</t>
  </si>
  <si>
    <t xml:space="preserve">     24.0 Printing and reproduction</t>
  </si>
  <si>
    <t xml:space="preserve">     25.2 Other services</t>
  </si>
  <si>
    <t xml:space="preserve">     23.3 Comm., utilities and misc. charges</t>
  </si>
  <si>
    <t xml:space="preserve">     26.0 Supplies and materials</t>
  </si>
  <si>
    <t xml:space="preserve">     31.0 Equipment</t>
  </si>
  <si>
    <t xml:space="preserve">     41.0 Grants, subsidies, and contributions</t>
  </si>
  <si>
    <t>Contract Confinement</t>
  </si>
  <si>
    <t>Program Changes</t>
  </si>
  <si>
    <t xml:space="preserve">  Program Increases:</t>
  </si>
  <si>
    <t xml:space="preserve"> L: Summary of Requirements by Object Class</t>
  </si>
  <si>
    <t>WG</t>
  </si>
  <si>
    <t xml:space="preserve"> Total Pr.</t>
  </si>
  <si>
    <t>SES $119,554 - 179,700</t>
  </si>
  <si>
    <t>GS-15 $123,758 -155,500</t>
  </si>
  <si>
    <t>GS-14 $105,211-136,771</t>
  </si>
  <si>
    <t>GS-13 $89,033-115,742</t>
  </si>
  <si>
    <t>GS-12 $74,872-97,333</t>
  </si>
  <si>
    <t>GS-11 $62,467-81,204</t>
  </si>
  <si>
    <t>GS-10 $56,857-73,917</t>
  </si>
  <si>
    <t>GS-09 $51,630-67,114</t>
  </si>
  <si>
    <t>GS-08 $46,745-60,765</t>
  </si>
  <si>
    <t>GS-07 $42,209-54,875</t>
  </si>
  <si>
    <t>GS-06 $37,983-49,375</t>
  </si>
  <si>
    <t>GS-05 $34,075 - 44,293</t>
  </si>
  <si>
    <t>GS-04 $30,456 - 39,590</t>
  </si>
  <si>
    <t xml:space="preserve">Amount  </t>
  </si>
  <si>
    <t>end of line</t>
  </si>
  <si>
    <t>E.  Justification for Base Adjustments</t>
  </si>
  <si>
    <t>end of sheet</t>
  </si>
  <si>
    <t>POS</t>
  </si>
  <si>
    <t>Crosswalk of 2011 Availability</t>
  </si>
  <si>
    <t>Summary of Requirements</t>
  </si>
  <si>
    <t>4. Management &amp; Admin.</t>
  </si>
  <si>
    <t>Institution Security</t>
  </si>
  <si>
    <t xml:space="preserve">Management  </t>
  </si>
  <si>
    <t>Inmate Care &amp; Programs</t>
  </si>
  <si>
    <t>&amp; Administration</t>
  </si>
  <si>
    <t>Inmate Care &amp; Institution Security</t>
  </si>
  <si>
    <t>ATBs</t>
  </si>
  <si>
    <t>11.8 Special Personal services pay</t>
  </si>
  <si>
    <t>Total FTEs and personnel comp.</t>
  </si>
  <si>
    <t xml:space="preserve">              Total direct obl., HHS Allocation</t>
  </si>
  <si>
    <t>Summary of Change</t>
  </si>
  <si>
    <t>2011 Availability</t>
  </si>
  <si>
    <t>11.5 Other personnel comp.</t>
  </si>
  <si>
    <t>41.0 Grants, subsidies &amp; contrib.</t>
  </si>
  <si>
    <t>Total ATB Decreases:</t>
  </si>
  <si>
    <t>TOTAL ATB</t>
  </si>
  <si>
    <t>DU 2: Inst Sec &amp; Admin.</t>
  </si>
  <si>
    <t>DU 1: Inmate Care</t>
  </si>
  <si>
    <t>End of line</t>
  </si>
  <si>
    <t>End of sheet</t>
  </si>
  <si>
    <t>Reprogramming/Transfers</t>
  </si>
  <si>
    <t>Buildings and Facilities</t>
  </si>
  <si>
    <t>Total B&amp;F Resources</t>
  </si>
  <si>
    <t>Federal Prison System (Salaries and Expenses)</t>
  </si>
  <si>
    <t>Adjustments to Base</t>
  </si>
  <si>
    <t>Pay &amp; Benefits</t>
  </si>
  <si>
    <t>Total, Adjustments to Base</t>
  </si>
  <si>
    <t>DU 4: Manag. &amp; Admin.</t>
  </si>
  <si>
    <t>Subtotal Increases</t>
  </si>
  <si>
    <t>Supplementals</t>
  </si>
  <si>
    <t>23.3 Comm., utilities and misc.</t>
  </si>
  <si>
    <t>2013 Request</t>
  </si>
  <si>
    <t>2013 Current Services</t>
  </si>
  <si>
    <t>2013 Total Request</t>
  </si>
  <si>
    <t>2013  Request</t>
  </si>
  <si>
    <t xml:space="preserve">Domestic Rent &amp; Facilities </t>
  </si>
  <si>
    <t xml:space="preserve">Prison &amp; Detention </t>
  </si>
  <si>
    <t>F: Crosswalk of 2011 Availability</t>
  </si>
  <si>
    <t>FY 2011 Enacted</t>
  </si>
  <si>
    <t>Program Increases</t>
  </si>
  <si>
    <t>Summary by Appropriation (FY 2011 - FY 2013)</t>
  </si>
  <si>
    <t>Inc. 1:USP Yazoo</t>
  </si>
  <si>
    <t>Inc. 2:FCI Hazelton</t>
  </si>
  <si>
    <t>Inc. 3: Increase Staffing</t>
  </si>
  <si>
    <t>DU 3: Contract Confinement</t>
  </si>
  <si>
    <t>Inc. 1:USP Yazoo City</t>
  </si>
  <si>
    <t>Adjustment to Base Increases</t>
  </si>
  <si>
    <t>Transfers - JCON and JCON S/TS - To Components</t>
  </si>
  <si>
    <t>Transfers - Office of Information Policy (OIP) - From Components</t>
  </si>
  <si>
    <t>Transfers - Professional Responsibility Advisory Office (PRAO) - From Components</t>
  </si>
  <si>
    <t>Subtotal, ATB Transfers</t>
  </si>
  <si>
    <t>2012 Current Rate</t>
  </si>
  <si>
    <t>Offsets:</t>
  </si>
  <si>
    <t>IT Savings</t>
  </si>
  <si>
    <t>Subtotal Offsets</t>
  </si>
  <si>
    <t>2013 Increases</t>
  </si>
  <si>
    <t>2013 Offsets</t>
  </si>
  <si>
    <t>2011 Enacted</t>
  </si>
  <si>
    <t>Transfers - Joint Automated Booking System - To Components</t>
  </si>
  <si>
    <t xml:space="preserve">  Subtotal Offsets</t>
  </si>
  <si>
    <t xml:space="preserve">  Subtotal Program Increases</t>
  </si>
  <si>
    <t xml:space="preserve">                Subtotal, Program Changes</t>
  </si>
  <si>
    <t xml:space="preserve"> 2013 Request</t>
  </si>
  <si>
    <t>2011 Enacted w/Rescissions</t>
  </si>
  <si>
    <t>Transfers:</t>
  </si>
  <si>
    <t>Pay and Benefits:</t>
  </si>
  <si>
    <t>Prison and Detention:</t>
  </si>
  <si>
    <t>FY 2013Adjustments to Base:</t>
  </si>
  <si>
    <t>Transfer - JCON and JCON S/TS - To Components</t>
  </si>
  <si>
    <r>
      <t>Utility Cost Adjustments.</t>
    </r>
    <r>
      <rPr>
        <sz val="9"/>
        <rFont val="Times New Roman"/>
        <family val="1"/>
      </rPr>
      <t xml:space="preserve">  This provides the Bureau of Prisons with </t>
    </r>
    <r>
      <rPr>
        <u/>
        <sz val="9"/>
        <rFont val="Times New Roman"/>
        <family val="1"/>
      </rPr>
      <t>$15,509,000</t>
    </r>
    <r>
      <rPr>
        <sz val="9"/>
        <rFont val="Times New Roman"/>
        <family val="1"/>
      </rPr>
      <t xml:space="preserve"> in funding for FY 2013 mandatory cost increases incurred due to rising utility costs in the U.S. and the growing inmate population.  No increase is provided for FY 2012.</t>
    </r>
  </si>
  <si>
    <r>
      <t>Second Chance Act.</t>
    </r>
    <r>
      <rPr>
        <sz val="9"/>
        <rFont val="Times New Roman"/>
        <family val="1"/>
      </rPr>
      <t xml:space="preserve">  In order to meet the requirements of Second Chance Act and Violent Crime Control and Law Enforcement Act of 1994, the BOP needs to expand its capacity for Residential Drug Abuse Treatment Programs.  This will allow more inmates to complete the program earlier and, if eligible, receive the full one year off their sentence.</t>
    </r>
  </si>
  <si>
    <t>Offset 2: Good Conduct Time Offset</t>
  </si>
  <si>
    <t>Offset 1: IT Savings</t>
  </si>
  <si>
    <t>Employee Compensation Fund</t>
  </si>
  <si>
    <t>Changes in  Compensable Days</t>
  </si>
  <si>
    <t>FERS Rate Increase</t>
  </si>
  <si>
    <t>Retirement Increase</t>
  </si>
  <si>
    <t>Health Insurance Increase</t>
  </si>
  <si>
    <t>Transfer - JABS To Components</t>
  </si>
  <si>
    <t>Estimates by budget activity</t>
  </si>
  <si>
    <t xml:space="preserve">     Unobligated Balance, Start of year</t>
  </si>
  <si>
    <t xml:space="preserve">     Unobligated Balance, End of year</t>
  </si>
  <si>
    <t xml:space="preserve">     Recoveries prior year</t>
  </si>
  <si>
    <t xml:space="preserve">              Total Direct Requir.</t>
  </si>
  <si>
    <r>
      <t>Joint Automated Booking System</t>
    </r>
    <r>
      <rPr>
        <sz val="9"/>
        <rFont val="Times New Roman"/>
        <family val="1"/>
      </rPr>
      <t xml:space="preserve">.  A transfer of </t>
    </r>
    <r>
      <rPr>
        <u/>
        <sz val="9"/>
        <rFont val="Times New Roman"/>
        <family val="1"/>
      </rPr>
      <t>$1.615</t>
    </r>
    <r>
      <rPr>
        <sz val="9"/>
        <rFont val="Times New Roman"/>
        <family val="1"/>
      </rPr>
      <t xml:space="preserve"> million is included in support of the Department's Justice Automated Booking System program which will be moved to the Working Capital Fund and provided as a billable service in FY 2013.</t>
    </r>
  </si>
  <si>
    <r>
      <t>JCON and JCON S/TS</t>
    </r>
    <r>
      <rPr>
        <sz val="9"/>
        <rFont val="Times New Roman"/>
        <family val="1"/>
      </rPr>
      <t xml:space="preserve">.  A transfer of </t>
    </r>
    <r>
      <rPr>
        <u/>
        <sz val="9"/>
        <rFont val="Times New Roman"/>
        <family val="1"/>
      </rPr>
      <t>$18</t>
    </r>
    <r>
      <rPr>
        <sz val="9"/>
        <rFont val="Times New Roman"/>
        <family val="1"/>
      </rPr>
      <t xml:space="preserve"> thousand is included in support of the Department's Justice Consolidated Office Network (JCON) and JCON S/TS programs which will be moved to the Working Capital Fund and provided as a billable service in FY 2013.</t>
    </r>
  </si>
  <si>
    <t>Domestic Rent and Facilities:</t>
  </si>
  <si>
    <t xml:space="preserve"> Inmate Care and Programs</t>
  </si>
  <si>
    <t xml:space="preserve"> Institution Security &amp; Administration</t>
  </si>
  <si>
    <t xml:space="preserve"> Contract Confinement</t>
  </si>
  <si>
    <t xml:space="preserve"> Management &amp; Administration</t>
  </si>
  <si>
    <t>Contract Bed Increase (1,000 beds x $25,865)</t>
  </si>
  <si>
    <t>Activation: USP Yazoo City, MS (1,216 beds)</t>
  </si>
  <si>
    <t xml:space="preserve">Activation: FCI Hazelton, WV (1,280 new beds) </t>
  </si>
  <si>
    <t>Carryover/Recoveries**</t>
  </si>
  <si>
    <t>Reimbursable</t>
  </si>
  <si>
    <t xml:space="preserve">   2011 Enacted w/Rescissions</t>
  </si>
  <si>
    <t>FTE*</t>
  </si>
  <si>
    <t xml:space="preserve">      Contract Bed Increase (1,000 beds x $25,865)</t>
  </si>
  <si>
    <t>L: Summary of Requirements by Object Class (Cont'd)</t>
  </si>
  <si>
    <t xml:space="preserve">
Program Changes</t>
  </si>
  <si>
    <t>Department of Justice, Federal Bureau of Prisons</t>
  </si>
  <si>
    <t>Table 1</t>
  </si>
  <si>
    <t xml:space="preserve">PY 2011 (Actual) </t>
  </si>
  <si>
    <t xml:space="preserve">CY 2012 (Estimates) </t>
  </si>
  <si>
    <t>BY 2013* (Estimates)</t>
  </si>
  <si>
    <t>1)</t>
  </si>
  <si>
    <t>Number of Physicians Receiving PCAs</t>
  </si>
  <si>
    <t>2)</t>
  </si>
  <si>
    <t>Number of Physicians with One-Year PCA Agreements</t>
  </si>
  <si>
    <t>3)</t>
  </si>
  <si>
    <t>Number of Physicians with Multi-Year PCA Agreements</t>
  </si>
  <si>
    <t>4)</t>
  </si>
  <si>
    <t>Average Annual PCA Physician Pay (without PCA payment)</t>
  </si>
  <si>
    <t>5)</t>
  </si>
  <si>
    <t>Average Annual PCA Payment</t>
  </si>
  <si>
    <t>6)</t>
  </si>
  <si>
    <t>Number of Physicians Receiving PCAs by Category (non-add)</t>
  </si>
  <si>
    <t>Category I Clinical Position</t>
  </si>
  <si>
    <t>Category II Research Position</t>
  </si>
  <si>
    <t>Category III Occupational Health</t>
  </si>
  <si>
    <t xml:space="preserve">Category IV-A Disability Evaluation </t>
  </si>
  <si>
    <t>Category IV-B Health and Medical Admin.</t>
  </si>
  <si>
    <t xml:space="preserve">*FY 2013 data will be approved during the FY 2014 Budget cycle. </t>
  </si>
  <si>
    <t>7)</t>
  </si>
  <si>
    <t xml:space="preserve">If applicable, list and explain the necessity of any additional physician categories designated by your agency (for categories other than I through IV-B). Provide the number of PCA agreements per additional category for the PY, CY and BY. </t>
  </si>
  <si>
    <t>N/A</t>
  </si>
  <si>
    <t xml:space="preserve">8)     </t>
  </si>
  <si>
    <t xml:space="preserve">Provide the maximum annual PCA amount paid to each category of physician in your agency and explain the reasoning for these amounts by category. </t>
  </si>
  <si>
    <t xml:space="preserve">9)     </t>
  </si>
  <si>
    <t xml:space="preserve">Explain the recruitment and retention problem(s) for each category of physician in your agency (this should demonstrate that a current need continues to persist). </t>
  </si>
  <si>
    <t>10)</t>
  </si>
  <si>
    <t xml:space="preserve">Explain the degree to which recruitment and retention problems were alleviated in your agency through the use of PCAs in the prior fiscal year. </t>
  </si>
  <si>
    <t xml:space="preserve">Recruitment bonuses, student loan repayments, PCAPS, and annual leave credit for non-federal service have all been inducement packages to attract and retain physicians.  Historical data shows that physician positions have been among the top five in the highest turnover rates.  The loss of the PCAP tool would be devastating to BOP efforts to hire physicians.  </t>
  </si>
  <si>
    <t>11)</t>
  </si>
  <si>
    <t xml:space="preserve">Provide any additional information that may be useful in planning PCA staffing levels and amounts in your agency.  </t>
  </si>
  <si>
    <t xml:space="preserve">Maximum- Clinical Positions - $30,000
For over 24 months of Federal Service – Base- $18,000; Board Certified - $5,000; Clinical Director at Medical Center - $7,000
</t>
  </si>
  <si>
    <t xml:space="preserve">The National Recruitment office has attended several physician-related recruitment functions and posted ads.  Despite local and national efforts to recruit physicians, the BOP currently has 73 vacant physician positions which average 27 months unfilled.  There were 26 accessions and 16 separations for the fiscal year. Many of the facilities are in remote locations which make it difficult to recruit to these areas.  </t>
  </si>
  <si>
    <t xml:space="preserve"> * Excludes 136 Reimbursable Workyears.</t>
  </si>
  <si>
    <t>2013 Congressional Request</t>
  </si>
  <si>
    <t>FY 2013 Congressional Budget</t>
  </si>
  <si>
    <t>Total FY 2013 Congressional Request</t>
  </si>
  <si>
    <t xml:space="preserve"> FY 2012 Enacted</t>
  </si>
  <si>
    <t>2012 Enacted</t>
  </si>
  <si>
    <t xml:space="preserve">  Rescission of prior funding**</t>
  </si>
  <si>
    <t xml:space="preserve">   Subtotal, ATB Transfers</t>
  </si>
  <si>
    <t xml:space="preserve"> ** In 2012, the Congress funded New Construction at $23.035 million and also rescinded $45 million in prior year unobligated balances. In FY 2013, the Administration is proposing a cancellation of $75 million in prior year unobligated new construction balances.</t>
  </si>
  <si>
    <t>2013 Pay Raise (.005)</t>
  </si>
  <si>
    <t xml:space="preserve">  Program Decreases:</t>
  </si>
  <si>
    <t xml:space="preserve">      Program Offset - Expand Compassionate Release</t>
  </si>
  <si>
    <t xml:space="preserve">      Program Offset - IT Savings</t>
  </si>
  <si>
    <t>Annualization of FY 2012 Activation FCI Aliceville, AL</t>
  </si>
  <si>
    <t>Annualization of FY 2012 Activation FCI Berlin, NH</t>
  </si>
  <si>
    <t xml:space="preserve">GSA Rent </t>
  </si>
  <si>
    <t>Guard Service</t>
  </si>
  <si>
    <t>Moves</t>
  </si>
  <si>
    <t xml:space="preserve">Subtotal, Adjustment to Base </t>
  </si>
  <si>
    <t>2013 Current services</t>
  </si>
  <si>
    <t>Staffing Adjustment</t>
  </si>
  <si>
    <t>Second Chance Act: Expand Residential Drug Treatment</t>
  </si>
  <si>
    <t xml:space="preserve">Inmate Care - FY 2012 Leap Year Funding </t>
  </si>
  <si>
    <t>Transfer - Office of Information Policy</t>
  </si>
  <si>
    <t>Transfer - PRAO</t>
  </si>
  <si>
    <t>M.  Status of Congressionally Requested Studies, Reports, and Evaluations</t>
  </si>
  <si>
    <t>Status of Congressionally Requested Studies, Reports, and Evaluations</t>
  </si>
  <si>
    <t>2012 Enacted (without Rescissions, direct only)</t>
  </si>
  <si>
    <t>2012 Rescissions</t>
  </si>
  <si>
    <t>Total 2012 Enacted (with Rescissions)</t>
  </si>
  <si>
    <t>Expand Compassionate Release</t>
  </si>
  <si>
    <t>Good Conduct Time</t>
  </si>
  <si>
    <t>2012 - 2013  Total Change</t>
  </si>
  <si>
    <t>2012                                  Enacted</t>
  </si>
  <si>
    <t>2013  Adjustments to Base and Technical Adjustments</t>
  </si>
  <si>
    <t>Total Comp. FTE</t>
  </si>
  <si>
    <t>D: Resources by DOJ Strategic Goal and Strategic Objective</t>
  </si>
  <si>
    <t>Resources by Department of Justice Strategic Goal/ Objective</t>
  </si>
  <si>
    <t xml:space="preserve">   Increases</t>
  </si>
  <si>
    <t>Offsets</t>
  </si>
  <si>
    <t>Request</t>
  </si>
  <si>
    <t>Strategic Goal and Strategic Objective</t>
  </si>
  <si>
    <t>$000s</t>
  </si>
  <si>
    <t>Subtotal, Goal 2</t>
  </si>
  <si>
    <t>Subtotal, Goal 3</t>
  </si>
  <si>
    <t xml:space="preserve"> Grand Total </t>
  </si>
  <si>
    <t>Rescissions</t>
  </si>
  <si>
    <t>Recoveries</t>
  </si>
  <si>
    <t>Decision Unit:</t>
  </si>
  <si>
    <t>1. Inmate Care and Programs</t>
  </si>
  <si>
    <t>2. Inst. Security and Administration</t>
  </si>
  <si>
    <t>4. Management &amp; Administration</t>
  </si>
  <si>
    <t>G: Crosswalk of 2012 Availability</t>
  </si>
  <si>
    <t>Crosswalk of 2012 Availability</t>
  </si>
  <si>
    <t xml:space="preserve"> H: Summary of Reimbursable Resources</t>
  </si>
  <si>
    <t>Summary of Reimbursable Resources</t>
  </si>
  <si>
    <t>Increase/Decrease</t>
  </si>
  <si>
    <t>Collection by Source</t>
  </si>
  <si>
    <t>States and Other</t>
  </si>
  <si>
    <t>Staff Housing Rental</t>
  </si>
  <si>
    <t>Meal Tickets</t>
  </si>
  <si>
    <t>Sale of Farm By-Products</t>
  </si>
  <si>
    <t>USMS Medical Reimbursement</t>
  </si>
  <si>
    <t>NIC</t>
  </si>
  <si>
    <t>Recycling</t>
  </si>
  <si>
    <t>Sale of Vehicles</t>
  </si>
  <si>
    <t>Travel and purchase Cards</t>
  </si>
  <si>
    <t xml:space="preserve">          Budgetary Resources:</t>
  </si>
  <si>
    <t xml:space="preserve"> N: Summary by Appropriation</t>
  </si>
  <si>
    <t>O: Summary of Change</t>
  </si>
  <si>
    <t>Total Increases</t>
  </si>
  <si>
    <t>Inc.3: Contract Bed Increase</t>
  </si>
  <si>
    <t>Offset 3: Expand Compassionate Release</t>
  </si>
  <si>
    <t>Offset 4: Reorganize Regional Office</t>
  </si>
  <si>
    <r>
      <t>Retirement</t>
    </r>
    <r>
      <rPr>
        <sz val="9"/>
        <rFont val="Times New Roman"/>
        <family val="1"/>
      </rPr>
      <t xml:space="preserve">.  Agency retirement contributions increase as employees under CSRS retire and are replaced by FERS employees.  Based on OPM government-wide estimates, we project that the DOJ workforce will convert from CSRS to FERS at a rate of 1.3 percent per year.  The requested increase of  </t>
    </r>
    <r>
      <rPr>
        <u/>
        <sz val="9"/>
        <rFont val="Times New Roman"/>
        <family val="1"/>
      </rPr>
      <t>$11,183,000</t>
    </r>
    <r>
      <rPr>
        <sz val="9"/>
        <rFont val="Times New Roman"/>
        <family val="1"/>
      </rPr>
      <t xml:space="preserve"> is necessary to meet our increased retirement obligations as a result of this conversion.</t>
    </r>
  </si>
  <si>
    <r>
      <t>Employee  Compensation Fund.</t>
    </r>
    <r>
      <rPr>
        <sz val="9"/>
        <color indexed="8"/>
        <rFont val="Times New Roman"/>
        <family val="1"/>
      </rPr>
      <t xml:space="preserve">  The </t>
    </r>
    <r>
      <rPr>
        <u/>
        <sz val="9"/>
        <color indexed="8"/>
        <rFont val="Times New Roman"/>
        <family val="1"/>
      </rPr>
      <t>$6,191,000</t>
    </r>
    <r>
      <rPr>
        <sz val="9"/>
        <color indexed="8"/>
        <rFont val="Times New Roman"/>
        <family val="1"/>
      </rPr>
      <t xml:space="preserve"> increase reflects payments to the Department of Labor for injury benefits paid in the past years under the Federal Employee Compensation Act.  This estimate is based on the first quarter of prior year billing and current year estimates.</t>
    </r>
  </si>
  <si>
    <r>
      <t>GSA Rent.</t>
    </r>
    <r>
      <rPr>
        <sz val="9"/>
        <color indexed="8"/>
        <rFont val="Times New Roman"/>
        <family val="1"/>
      </rPr>
      <t xml:space="preserve">  GSA will continue to charge rental rates that approximate those charged to commercial tenants for equivalent space and related services.  The requested increase of </t>
    </r>
    <r>
      <rPr>
        <u/>
        <sz val="9"/>
        <color indexed="8"/>
        <rFont val="Times New Roman"/>
        <family val="1"/>
      </rPr>
      <t>$2,492,000</t>
    </r>
    <r>
      <rPr>
        <sz val="9"/>
        <color indexed="8"/>
        <rFont val="Times New Roman"/>
        <family val="1"/>
      </rPr>
      <t xml:space="preserve"> is required to meet our commitment to GSA.  The costs associated with GSA rent were derived through the use of an automated system, which uses the latest inventory data, including rate increases to be effective in FY 2013 for each building currently occupied by Department of Justice components, as well as the costs of new space to be occupied.  GSA provided data on the rate increases.</t>
    </r>
  </si>
  <si>
    <r>
      <t>2013 Pay Raise.</t>
    </r>
    <r>
      <rPr>
        <sz val="9"/>
        <rFont val="Times New Roman"/>
        <family val="1"/>
      </rPr>
      <t xml:space="preserve">  This request provides for a proposed 0.5 percent pay raise to be effective in January of 2013.  The increase only includes the general pay raise.  The amount requested, </t>
    </r>
    <r>
      <rPr>
        <u/>
        <sz val="9"/>
        <rFont val="Times New Roman"/>
        <family val="1"/>
      </rPr>
      <t>$12,742,000</t>
    </r>
    <r>
      <rPr>
        <sz val="9"/>
        <rFont val="Times New Roman"/>
        <family val="1"/>
      </rPr>
      <t>, represents the pay amounts for 3/4 of the fiscal year plus appropriate benefits (</t>
    </r>
    <r>
      <rPr>
        <u/>
        <sz val="9"/>
        <rFont val="Times New Roman"/>
        <family val="1"/>
      </rPr>
      <t>$8,919,400</t>
    </r>
    <r>
      <rPr>
        <sz val="9"/>
        <rFont val="Times New Roman"/>
        <family val="1"/>
      </rPr>
      <t xml:space="preserve"> for pay and </t>
    </r>
    <r>
      <rPr>
        <u/>
        <sz val="9"/>
        <rFont val="Times New Roman"/>
        <family val="1"/>
      </rPr>
      <t>$3,822,600</t>
    </r>
    <r>
      <rPr>
        <sz val="9"/>
        <rFont val="Times New Roman"/>
        <family val="1"/>
      </rPr>
      <t xml:space="preserve"> for benefits.)</t>
    </r>
  </si>
  <si>
    <r>
      <t>Medical Cost Adjustments.</t>
    </r>
    <r>
      <rPr>
        <sz val="9"/>
        <rFont val="Times New Roman"/>
        <family val="1"/>
      </rPr>
      <t xml:space="preserve">  This provides the Bureau of Prisons with </t>
    </r>
    <r>
      <rPr>
        <u/>
        <sz val="9"/>
        <rFont val="Times New Roman"/>
        <family val="1"/>
      </rPr>
      <t>$38,665,000</t>
    </r>
    <r>
      <rPr>
        <sz val="9"/>
        <rFont val="Times New Roman"/>
        <family val="1"/>
      </rPr>
      <t xml:space="preserve"> in funding for FY 2013 mandatory cost increases incurred due to rising health care costs in the U.S. and the growing inmate population. </t>
    </r>
  </si>
  <si>
    <r>
      <t>Food Cost Adjustments.</t>
    </r>
    <r>
      <rPr>
        <sz val="9"/>
        <rFont val="Times New Roman"/>
        <family val="1"/>
      </rPr>
      <t xml:space="preserve">  The Nation is experiencing high increases in food costs.  An increase of </t>
    </r>
    <r>
      <rPr>
        <u/>
        <sz val="9"/>
        <rFont val="Times New Roman"/>
        <family val="1"/>
      </rPr>
      <t>$14,891,000</t>
    </r>
    <r>
      <rPr>
        <sz val="9"/>
        <rFont val="Times New Roman"/>
        <family val="1"/>
      </rPr>
      <t xml:space="preserve"> for FY 2013 is necessary to keep pace with the cost of providing inmate meals.   </t>
    </r>
  </si>
  <si>
    <r>
      <t xml:space="preserve">Existing Contract Beds Cost Adjustments (Wage Increase and Contract Price Increases).  </t>
    </r>
    <r>
      <rPr>
        <sz val="9"/>
        <rFont val="Times New Roman"/>
        <family val="1"/>
      </rPr>
      <t xml:space="preserve">The Services Contract Act of 1965, as amended, states in paragraph (3) adjustment of compensation, that if the term of the contract is more than 1 year, the minimum monetary wages and fringe benefits to be paid or furnished there under to service employees under this contract shall be subject to adjustment after 1 year and not less than once every 2 years.  In addition, this request reflects resources for BOP to pay existing contract bed price increases, specifically costs for exercising option years; an increase of </t>
    </r>
    <r>
      <rPr>
        <u/>
        <sz val="9"/>
        <rFont val="Times New Roman"/>
        <family val="1"/>
      </rPr>
      <t xml:space="preserve">$20,670,000 </t>
    </r>
    <r>
      <rPr>
        <sz val="9"/>
        <rFont val="Times New Roman"/>
        <family val="1"/>
      </rPr>
      <t xml:space="preserve">is required for FY 2013. </t>
    </r>
  </si>
  <si>
    <t xml:space="preserve">  2012 Enacted</t>
  </si>
  <si>
    <t>2011 Appropriation Enacted</t>
  </si>
  <si>
    <t>Direct Amount</t>
  </si>
  <si>
    <t>Other FTE</t>
  </si>
  <si>
    <t>Direct, Reimb.</t>
  </si>
  <si>
    <t>FY 2012 Enacted Without Rescissions</t>
  </si>
  <si>
    <t>Reprogrammings/Transfers</t>
  </si>
  <si>
    <t>2012 Availability</t>
  </si>
  <si>
    <t>Carryover</t>
  </si>
  <si>
    <t>2012 Planned</t>
  </si>
  <si>
    <t>2011  Enacted</t>
  </si>
  <si>
    <t>Decreases</t>
  </si>
  <si>
    <t>Energy Savings</t>
  </si>
  <si>
    <t>Goal 2:  Prevent Crime, Protect the Rights of the American People, and Enforce Federal Law</t>
  </si>
  <si>
    <t>2.2 Prevent and intervene in crimes against vulnerable populations; uphold the rights of, and improve services to, America's crime victims</t>
  </si>
  <si>
    <t>2011 Actuals</t>
  </si>
  <si>
    <t>C:  Program Increases/Offsets By Decision Unit</t>
  </si>
  <si>
    <t>FY 2013 Program Increases/Offsets By Decision Unit</t>
  </si>
  <si>
    <t>Institution Security &amp; Administration</t>
  </si>
  <si>
    <t>Management and Administration</t>
  </si>
  <si>
    <t>Goal 3:  Ensure and Support the Fair, Impartial, Efficient, and Transparent Administration of Justice at the Federal, State, Local, Tribal, and International Levels</t>
  </si>
  <si>
    <r>
      <t xml:space="preserve">Health Insurance </t>
    </r>
    <r>
      <rPr>
        <sz val="9"/>
        <rFont val="Times New Roman"/>
        <family val="1"/>
      </rPr>
      <t xml:space="preserve">:  Effective January 2013, this component's contribution to Federal employees' health insurance premiums increased by </t>
    </r>
    <r>
      <rPr>
        <u/>
        <sz val="9"/>
        <rFont val="Times New Roman"/>
        <family val="1"/>
      </rPr>
      <t>11.17%</t>
    </r>
    <r>
      <rPr>
        <sz val="9"/>
        <rFont val="Times New Roman"/>
        <family val="1"/>
      </rPr>
      <t xml:space="preserve"> .  Applied against the 2011 estimate of $</t>
    </r>
    <r>
      <rPr>
        <u/>
        <sz val="9"/>
        <rFont val="Times New Roman"/>
        <family val="1"/>
      </rPr>
      <t>257,252,000</t>
    </r>
    <r>
      <rPr>
        <sz val="9"/>
        <rFont val="Times New Roman"/>
        <family val="1"/>
      </rPr>
      <t xml:space="preserve">, the additional amount required is </t>
    </r>
    <r>
      <rPr>
        <u/>
        <sz val="9"/>
        <rFont val="Times New Roman"/>
        <family val="1"/>
      </rPr>
      <t xml:space="preserve">$28,735,000 </t>
    </r>
    <r>
      <rPr>
        <sz val="9"/>
        <rFont val="Times New Roman"/>
        <family val="1"/>
      </rPr>
      <t>.</t>
    </r>
  </si>
  <si>
    <r>
      <t>Changes in Compensable Days</t>
    </r>
    <r>
      <rPr>
        <sz val="9"/>
        <rFont val="Times New Roman"/>
        <family val="1"/>
      </rPr>
      <t>.  The increased cost for one more compensable day in FY 2013 compared to FY 2012 is calculated by dividing the FY 2012 estimated personnel compensation $</t>
    </r>
    <r>
      <rPr>
        <u/>
        <sz val="9"/>
        <rFont val="Times New Roman"/>
        <family val="1"/>
      </rPr>
      <t>2,191,355,000</t>
    </r>
    <r>
      <rPr>
        <sz val="9"/>
        <rFont val="Times New Roman"/>
        <family val="1"/>
      </rPr>
      <t xml:space="preserve"> and applicable benefits </t>
    </r>
    <r>
      <rPr>
        <u/>
        <sz val="9"/>
        <rFont val="Times New Roman"/>
        <family val="1"/>
      </rPr>
      <t>$1,319,111,000</t>
    </r>
    <r>
      <rPr>
        <sz val="9"/>
        <rFont val="Times New Roman"/>
        <family val="1"/>
      </rPr>
      <t xml:space="preserve"> by 260 compensable days. </t>
    </r>
  </si>
  <si>
    <r>
      <t xml:space="preserve">Moves.  </t>
    </r>
    <r>
      <rPr>
        <sz val="9"/>
        <rFont val="Times New Roman"/>
        <family val="1"/>
      </rPr>
      <t xml:space="preserve">A decrease of </t>
    </r>
    <r>
      <rPr>
        <u/>
        <sz val="9"/>
        <rFont val="Times New Roman"/>
        <family val="1"/>
      </rPr>
      <t>$5,801,000</t>
    </r>
    <r>
      <rPr>
        <sz val="9"/>
        <rFont val="Times New Roman"/>
        <family val="1"/>
      </rPr>
      <t xml:space="preserve"> is necessary for Moves  funding requested and received in 2012 that was a one time cost.  </t>
    </r>
  </si>
  <si>
    <t>Adjustment to Base Decreases</t>
  </si>
  <si>
    <t>Total ATB Increases and Transfers:</t>
  </si>
  <si>
    <t xml:space="preserve">     23.2 Rental Payments to Others</t>
  </si>
  <si>
    <r>
      <t xml:space="preserve">DOJ Spending Plan - SEC. 538. The Departments of Commerce and Justice, the National Aeronautics and Space Administration, and the National Science Foundation shall submit spending plans, signed by the respective department or agency head, to the Committees on Appropriations of the House of Representatives and the Senate within 45 days after the date of enactment of this Act. </t>
    </r>
    <r>
      <rPr>
        <b/>
        <sz val="12"/>
        <rFont val="Times New Roman"/>
        <family val="1"/>
      </rPr>
      <t xml:space="preserve"> The spend plan was submitted to the Committees on Appropriations of the House of Representatives and the Senate on January 10, 2012.</t>
    </r>
  </si>
  <si>
    <r>
      <t xml:space="preserve">Federal Prisons Radicalization -The conferees further directs the Department to submit a report to the Committees on Appropriations not later than 120 days after the enactment of this Act on its maintenance of a central registry of acceptable materials and the processes employed to ensure that potentially radicalizing materials are not included.  </t>
    </r>
    <r>
      <rPr>
        <b/>
        <sz val="12"/>
        <rFont val="Times New Roman"/>
        <family val="1"/>
      </rPr>
      <t>Target response to committees March 17, 2012.</t>
    </r>
  </si>
  <si>
    <r>
      <t xml:space="preserve">BOP's Construction Report - The conferees direct BOP to resume providing to the Committees on Appropriations, not later than 30 days after the enactment of this Act, the most recent monthly status of construction report and to notify the Committees on Appropriations of any deviations from the construction and activation schedule identified in that report, including detailed explanations of the causes of delays and actions proposed to address them.  Target response to committee December 18, 2011 and monthly thereafter.  </t>
    </r>
    <r>
      <rPr>
        <b/>
        <sz val="12"/>
        <rFont val="Times New Roman"/>
        <family val="1"/>
      </rPr>
      <t>The first monthly report was submitted to the Committees on Appropriations of the House of Representatives and the Senate on January 4, 2012.</t>
    </r>
  </si>
  <si>
    <r>
      <t xml:space="preserve">Increasing Inmate Work Opportunities - The conferees direct the Department to report to the Committees on Appropriations not later than 120 days after the enactment of this Act on actions taken and planned to increase meaningful work opportunities available to inmates.  </t>
    </r>
    <r>
      <rPr>
        <b/>
        <sz val="12"/>
        <rFont val="Times New Roman"/>
        <family val="1"/>
      </rPr>
      <t>Target response to committees March 17, 2012.</t>
    </r>
  </si>
  <si>
    <r>
      <t xml:space="preserve">Vehicle Inventory - SEC. 545. All agencies and departments funded under this Act shall send to the Committees on Appropriations of the House of Representatives and the Senate at the end of the fiscal year a report containing a complete inventory of the total number of vehicles owned, permanently retired, and purchased during fiscal year 2012 as well as the total cost of the vehicle fleet, including maintenance, fuel, storage, purchasing, and leasing.  </t>
    </r>
    <r>
      <rPr>
        <b/>
        <sz val="12"/>
        <rFont val="Times New Roman"/>
        <family val="1"/>
      </rPr>
      <t>Target response to committees September 30, 2012.</t>
    </r>
  </si>
  <si>
    <r>
      <t xml:space="preserve">DOJ Unobligated Balances - SEC. 508. (a) The Departments of Commerce and Justice, the National Science Foundation, and the National Aeronautics and Space Administration shall provide to the Committees on Appropriations of the House of Representatives and the Senate a quarterly report on the status of balances of appropriations at the account level. For unobligated, uncommitted balances and unobligated, committed balances the quarterly reports shall separately identify the amounts attributable to each source year of appropriation from which the balances were derived. For balances that are obligated, but unexpended, the quarterly reports shall separately identify amounts by the year of obligation.  </t>
    </r>
    <r>
      <rPr>
        <b/>
        <sz val="12"/>
        <rFont val="Times New Roman"/>
        <family val="1"/>
      </rPr>
      <t>This report is due to the committee quarterly.</t>
    </r>
  </si>
  <si>
    <t>P.  Physicians’ Comparability Allowance (PCA) Worksheet</t>
  </si>
  <si>
    <r>
      <t>Guard Service.</t>
    </r>
    <r>
      <rPr>
        <sz val="9"/>
        <color indexed="8"/>
        <rFont val="Times New Roman"/>
        <family val="1"/>
      </rPr>
      <t xml:space="preserve"> Guard Service includes those costs paid directly by DOJ and those paid to Department of Homeland Security (DHS).  The requested increase of</t>
    </r>
    <r>
      <rPr>
        <u/>
        <sz val="9"/>
        <color indexed="8"/>
        <rFont val="Times New Roman"/>
        <family val="1"/>
      </rPr>
      <t xml:space="preserve"> $350,000</t>
    </r>
    <r>
      <rPr>
        <sz val="9"/>
        <color indexed="8"/>
        <rFont val="Times New Roman"/>
        <family val="1"/>
      </rPr>
      <t xml:space="preserve"> is required to meet our commitment to DHS and other security costs.</t>
    </r>
  </si>
  <si>
    <t>Begin Activation: USP Yazoo City, MS (1,216 Beds)</t>
  </si>
  <si>
    <t>Begin Activation: FCI Hazelton, WV (1,280 Beds)</t>
  </si>
  <si>
    <t>Reorganize Regional Office and Administrative Operations</t>
  </si>
  <si>
    <t>Good Conduct Time Offset</t>
  </si>
  <si>
    <t>Realign Regional and Administrative Operations</t>
  </si>
  <si>
    <t>3.3 Provide for the safe, secure, humane, and cost-effective confinement of detainees awaiting trial and/or sentencing, and those in the custody of the federal prison system</t>
  </si>
  <si>
    <r>
      <t>Office Of Information Policy</t>
    </r>
    <r>
      <rPr>
        <sz val="9"/>
        <rFont val="Times New Roman"/>
        <family val="1"/>
      </rPr>
      <t>.  The component transfers for the Office of Information Policy (OIP) into the General Administration appropriation will centralize appropriated funding and eliminate the current reimbursable financing process.  The centralization of the funding is administratively advantageous because it eliminates the paper-intensive reimbursement process.</t>
    </r>
  </si>
  <si>
    <r>
      <t>Professional Responsibility Advisory Office (PRAO)</t>
    </r>
    <r>
      <rPr>
        <sz val="9"/>
        <rFont val="Times New Roman"/>
        <family val="1"/>
      </rPr>
      <t>.  The component transfers for the PRAO into the General Administration appropriation will centralize appropriated funding and eliminate the current reimbursable financing process.  The centralization of the funding is administratively advantageous because it eliminates the paper-intensive reimbursement process.</t>
    </r>
  </si>
  <si>
    <r>
      <t>FERS Regular/Law Enforcement Retirement Contribution.</t>
    </r>
    <r>
      <rPr>
        <sz val="9"/>
        <color indexed="8"/>
        <rFont val="Times New Roman"/>
        <family val="1"/>
      </rPr>
      <t xml:space="preserve">  On June 11, 2010, the Board of Actuaries of the Civil Service Retirement System recommended a new set of economic assumptions for the Civil Service Retirement System (CSRS) and the Federal Employee Retirement System (FERS).  In accordance with this change, effective October 1, 2011 (FY 2012), the total Normal Cost of Regular retirement under FERS will increase from the current level of 12.5% of pay to 12.7%.  The FERS contribution for Law Enforcement retirement will increase from 27.0% to 27.6%.  This will result in new agency contribution rates of 11.9% for normal costs (up from the current 11.7%) and 26.3% for law enforcement personnel (up from the current 25.7%).  The amount requested, </t>
    </r>
    <r>
      <rPr>
        <u/>
        <sz val="9"/>
        <color indexed="8"/>
        <rFont val="Times New Roman"/>
        <family val="1"/>
      </rPr>
      <t>$14.105</t>
    </r>
    <r>
      <rPr>
        <sz val="9"/>
        <color indexed="8"/>
        <rFont val="Times New Roman"/>
        <family val="1"/>
      </rPr>
      <t xml:space="preserve"> million, represents the funds needed to cover this increase.</t>
    </r>
  </si>
  <si>
    <r>
      <t>Changes in Compensable Days (2012).</t>
    </r>
    <r>
      <rPr>
        <sz val="9"/>
        <color indexed="8"/>
        <rFont val="Times New Roman"/>
        <family val="1"/>
      </rPr>
      <t xml:space="preserve">  An offset of </t>
    </r>
    <r>
      <rPr>
        <u/>
        <sz val="9"/>
        <color indexed="8"/>
        <rFont val="Times New Roman"/>
        <family val="1"/>
      </rPr>
      <t>$7,135,000</t>
    </r>
    <r>
      <rPr>
        <sz val="9"/>
        <color indexed="8"/>
        <rFont val="Times New Roman"/>
        <family val="1"/>
      </rPr>
      <t xml:space="preserve"> was necessary for funding received in 2012 to cover inmate care for the additional day in 2012 due to the leap year. </t>
    </r>
  </si>
  <si>
    <r>
      <t>Annualization of 2012 Activation FCI Aliceville, AL</t>
    </r>
    <r>
      <rPr>
        <sz val="9"/>
        <rFont val="Times New Roman"/>
        <family val="1"/>
      </rPr>
      <t xml:space="preserve"> This provides for the annualization of the FCI Aliceville, AL activation, which has begun in FY 2012.  Annualization of new activation funding typically extends to 2-3 years.  This request includes an increase of </t>
    </r>
    <r>
      <rPr>
        <u/>
        <sz val="9"/>
        <rFont val="Times New Roman"/>
        <family val="1"/>
      </rPr>
      <t xml:space="preserve">$31,216,000 </t>
    </r>
    <r>
      <rPr>
        <sz val="9"/>
        <rFont val="Times New Roman"/>
        <family val="1"/>
      </rPr>
      <t xml:space="preserve"> for full costs associated with this activation. </t>
    </r>
  </si>
  <si>
    <r>
      <t xml:space="preserve">Annualization of 2012 Activation FCI Berlin.  </t>
    </r>
    <r>
      <rPr>
        <sz val="9"/>
        <rFont val="Times New Roman"/>
        <family val="1"/>
      </rPr>
      <t xml:space="preserve">This provides for the activation and annualization of the FCI Berlin activation, which has begun in FY 2012 .  Annualization of new activation funding typically extends to 2-3 years.  This request includes an increase of </t>
    </r>
    <r>
      <rPr>
        <u/>
        <sz val="9"/>
        <rFont val="Times New Roman"/>
        <family val="1"/>
      </rPr>
      <t xml:space="preserve">$12,775,000 </t>
    </r>
    <r>
      <rPr>
        <sz val="9"/>
        <rFont val="Times New Roman"/>
        <family val="1"/>
      </rPr>
      <t xml:space="preserve"> for full costs associated with this activation. </t>
    </r>
  </si>
  <si>
    <r>
      <t xml:space="preserve">Employee Retaliation Recommendations - The conferees expect BOP to certify to the Committees on Appropriations that it has implemented and met the recommendations included in the EEOC's November 2010 Final Program Evaluation Report for the Federal Bureau of Prisons, and submit concurrently a report on its compliance with the recommendations to the Department's OIG for review and comment.  </t>
    </r>
    <r>
      <rPr>
        <b/>
        <sz val="12"/>
        <rFont val="Times New Roman"/>
        <family val="1"/>
      </rPr>
      <t>The certification to the Committee will be sent upon completion of EEOC recommendations.</t>
    </r>
  </si>
  <si>
    <t xml:space="preserve">      Program Offset - Good Conduct Time</t>
  </si>
  <si>
    <t xml:space="preserve">      Begin Activation:  USP Yazoo City, MS (1,216 beds)</t>
  </si>
  <si>
    <t xml:space="preserve">      Begin Activation:  FCI Hazelton, WV (1,280 beds)</t>
  </si>
  <si>
    <t xml:space="preserve">      Program Offset - Reorganize Regional and Administrative Operations</t>
  </si>
  <si>
    <t>2011 Appropriations Enacted w/Rescissions</t>
  </si>
  <si>
    <t>Corr. Off</t>
  </si>
  <si>
    <t>** $817,000 was a carryover in no-year account; $20 million was carryover in FY 2010 Emergency Supplemental Appropriation for border security; and $20 million was a carryover in 10/11 account.</t>
  </si>
  <si>
    <t>Total, 2013 requested</t>
  </si>
  <si>
    <t xml:space="preserve">NOTE:  All FTE numbers in this table reflect authorized FTE, which is the total number of FTE available to a component. Because the FY 2013 President’s Budget Appendix builds the FTE request using actual FTE rather than authorized,  </t>
  </si>
  <si>
    <t xml:space="preserve"> it may not match the FY 2012 FTE enacted and FY 2013 FTE request reflected in this table.  </t>
  </si>
  <si>
    <r>
      <t>Staffing Adjustment.</t>
    </r>
    <r>
      <rPr>
        <sz val="9"/>
        <rFont val="Times New Roman"/>
        <family val="1"/>
      </rPr>
      <t xml:space="preserve"> This provides funding to increase institution staffing levels in FY 2013.  The funding and FTEs will allow the BOP to fill authorized positions that have remained vacant due to strained budgets.</t>
    </r>
  </si>
  <si>
    <t xml:space="preserve">2011 Enacted </t>
  </si>
  <si>
    <t>Balance Rescissions</t>
  </si>
  <si>
    <t>Without Balance Rescissions*</t>
  </si>
  <si>
    <t>Medical Cost Adjustment ($600,032 x 6.444%)</t>
  </si>
  <si>
    <t>Food Cost Adjustment ($237,643 x 6.266%)</t>
  </si>
  <si>
    <t>Utility Cost Adjustment ($259,008 x 5.988%)</t>
  </si>
  <si>
    <t>Existing Contract Beds Adjustment ($1,013,225 x 2.04%)</t>
  </si>
  <si>
    <t>*The across-the-board reduction of 0.2 percent is included in the enacted amount column.</t>
  </si>
</sst>
</file>

<file path=xl/styles.xml><?xml version="1.0" encoding="utf-8"?>
<styleSheet xmlns="http://schemas.openxmlformats.org/spreadsheetml/2006/main">
  <numFmts count="17">
    <numFmt numFmtId="5" formatCode="&quot;$&quot;#,##0_);\(&quot;$&quot;#,##0\)"/>
    <numFmt numFmtId="6" formatCode="&quot;$&quot;#,##0_);[Red]\(&quot;$&quot;#,##0\)"/>
    <numFmt numFmtId="41" formatCode="_(* #,##0_);_(* \(#,##0\);_(* &quot;-&quot;_);_(@_)"/>
    <numFmt numFmtId="44" formatCode="_(&quot;$&quot;* #,##0.00_);_(&quot;$&quot;* \(#,##0.00\);_(&quot;$&quot;* &quot;-&quot;??_);_(@_)"/>
    <numFmt numFmtId="43" formatCode="_(* #,##0.00_);_(* \(#,##0.00\);_(* &quot;-&quot;??_);_(@_)"/>
    <numFmt numFmtId="164" formatCode="&quot;$&quot;#,##0"/>
    <numFmt numFmtId="165" formatCode="_(&quot;$&quot;* #,##0_);_(&quot;$&quot;* \(#,##0\);_(&quot;$&quot;* &quot;-&quot;??_);_(@_)"/>
    <numFmt numFmtId="166" formatCode="0_);\(0\)"/>
    <numFmt numFmtId="167" formatCode="_(* #,##0_);_(* \(#,##0\);_(* &quot;-&quot;??_);_(@_)"/>
    <numFmt numFmtId="168" formatCode="0.000%"/>
    <numFmt numFmtId="169" formatCode="_(* #,##0_);_(* \(#,##0\);_(* &quot;0&quot;_);_(@_)"/>
    <numFmt numFmtId="170" formatCode="_(* #,##0_);_(* \(#,##0\);_(* &quot;-&quot;?_);_(@_)"/>
    <numFmt numFmtId="171" formatCode="_(&quot;$&quot;#,##0_);_(&quot;$&quot;\(#,##0\);_(&quot;$&quot;&quot;0&quot;_);_(@_)"/>
    <numFmt numFmtId="172" formatCode="_(* #,##0_);_(* \-#,##0_);_(* &quot;0&quot;_);_(@_)"/>
    <numFmt numFmtId="173" formatCode="&quot;$&quot;#,##0.00"/>
    <numFmt numFmtId="174" formatCode="&quot;$&quot;#,##0_;"/>
    <numFmt numFmtId="175" formatCode="#,##0;[Red]#,##0"/>
  </numFmts>
  <fonts count="40">
    <font>
      <sz val="12"/>
      <name val="Arial"/>
    </font>
    <font>
      <sz val="8"/>
      <name val="Arial"/>
      <family val="2"/>
    </font>
    <font>
      <sz val="12"/>
      <name val="Times New Roman"/>
      <family val="1"/>
    </font>
    <font>
      <b/>
      <sz val="12"/>
      <name val="Times New Roman"/>
      <family val="1"/>
    </font>
    <font>
      <u/>
      <sz val="9"/>
      <name val="Times New Roman"/>
      <family val="1"/>
    </font>
    <font>
      <sz val="9"/>
      <name val="Times New Roman"/>
      <family val="1"/>
    </font>
    <font>
      <sz val="9"/>
      <color indexed="8"/>
      <name val="Times New Roman"/>
      <family val="1"/>
    </font>
    <font>
      <sz val="12"/>
      <color indexed="8"/>
      <name val="Times New Roman"/>
      <family val="1"/>
    </font>
    <font>
      <sz val="12"/>
      <name val="Arial"/>
      <family val="2"/>
    </font>
    <font>
      <sz val="16"/>
      <name val="Times New Roman"/>
      <family val="1"/>
    </font>
    <font>
      <b/>
      <sz val="14"/>
      <name val="Times New Roman"/>
      <family val="1"/>
    </font>
    <font>
      <b/>
      <sz val="10"/>
      <name val="Times New Roman"/>
      <family val="1"/>
    </font>
    <font>
      <b/>
      <i/>
      <sz val="12"/>
      <name val="Times New Roman"/>
      <family val="1"/>
    </font>
    <font>
      <b/>
      <sz val="12"/>
      <color indexed="8"/>
      <name val="Times New Roman"/>
      <family val="1"/>
    </font>
    <font>
      <i/>
      <sz val="12"/>
      <name val="Times New Roman"/>
      <family val="1"/>
    </font>
    <font>
      <u/>
      <sz val="9"/>
      <color indexed="8"/>
      <name val="Times New Roman"/>
      <family val="1"/>
    </font>
    <font>
      <sz val="8"/>
      <color indexed="9"/>
      <name val="Arial"/>
      <family val="2"/>
    </font>
    <font>
      <sz val="9"/>
      <name val="Arial"/>
      <family val="2"/>
    </font>
    <font>
      <sz val="10"/>
      <name val="Arial"/>
      <family val="2"/>
    </font>
    <font>
      <b/>
      <sz val="16"/>
      <name val="Times New Roman"/>
      <family val="1"/>
    </font>
    <font>
      <sz val="8"/>
      <color indexed="9"/>
      <name val="Times New Roman"/>
      <family val="1"/>
    </font>
    <font>
      <sz val="10"/>
      <name val="Times New Roman"/>
      <family val="1"/>
    </font>
    <font>
      <sz val="10"/>
      <color indexed="9"/>
      <name val="Times New Roman"/>
      <family val="1"/>
    </font>
    <font>
      <b/>
      <u/>
      <sz val="9"/>
      <name val="Times New Roman"/>
      <family val="1"/>
    </font>
    <font>
      <b/>
      <sz val="9"/>
      <name val="Times New Roman"/>
      <family val="1"/>
    </font>
    <font>
      <sz val="12"/>
      <name val="Arial"/>
      <family val="2"/>
    </font>
    <font>
      <sz val="14"/>
      <name val="Times New Roman"/>
      <family val="1"/>
    </font>
    <font>
      <b/>
      <sz val="14"/>
      <color indexed="8"/>
      <name val="Times New Roman"/>
      <family val="1"/>
    </font>
    <font>
      <sz val="8"/>
      <color theme="0"/>
      <name val="Times New Roman"/>
      <family val="1"/>
    </font>
    <font>
      <sz val="9"/>
      <color indexed="9"/>
      <name val="Arial"/>
      <family val="2"/>
    </font>
    <font>
      <sz val="9"/>
      <color indexed="9"/>
      <name val="Times New Roman"/>
      <family val="1"/>
    </font>
    <font>
      <b/>
      <sz val="11"/>
      <name val="Times New Roman"/>
      <family val="1"/>
    </font>
    <font>
      <sz val="10"/>
      <color theme="0"/>
      <name val="Times New Roman"/>
      <family val="1"/>
    </font>
    <font>
      <sz val="14"/>
      <name val="Arial"/>
      <family val="2"/>
    </font>
    <font>
      <sz val="11"/>
      <name val="Times New Roman"/>
      <family val="1"/>
    </font>
    <font>
      <sz val="12"/>
      <color theme="1"/>
      <name val="Times New Roman"/>
      <family val="1"/>
    </font>
    <font>
      <sz val="12"/>
      <color theme="0"/>
      <name val="Times New Roman"/>
      <family val="1"/>
    </font>
    <font>
      <b/>
      <u/>
      <sz val="12"/>
      <name val="Times New Roman"/>
      <family val="1"/>
    </font>
    <font>
      <u/>
      <sz val="12"/>
      <name val="Times New Roman"/>
      <family val="1"/>
    </font>
    <font>
      <sz val="12"/>
      <color theme="0"/>
      <name val="Arial"/>
      <family val="2"/>
    </font>
  </fonts>
  <fills count="4">
    <fill>
      <patternFill patternType="none"/>
    </fill>
    <fill>
      <patternFill patternType="gray125"/>
    </fill>
    <fill>
      <patternFill patternType="solid">
        <fgColor rgb="FFFFFFFF"/>
        <bgColor indexed="64"/>
      </patternFill>
    </fill>
    <fill>
      <patternFill patternType="solid">
        <fgColor rgb="FFFFFF00"/>
        <bgColor indexed="64"/>
      </patternFill>
    </fill>
  </fills>
  <borders count="145">
    <border>
      <left/>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style="medium">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right/>
      <top style="thin">
        <color indexed="8"/>
      </top>
      <bottom/>
      <diagonal/>
    </border>
    <border>
      <left/>
      <right style="thin">
        <color indexed="8"/>
      </right>
      <top style="thin">
        <color indexed="8"/>
      </top>
      <bottom/>
      <diagonal/>
    </border>
    <border>
      <left style="thin">
        <color indexed="8"/>
      </left>
      <right/>
      <top style="thin">
        <color indexed="8"/>
      </top>
      <bottom/>
      <diagonal/>
    </border>
    <border>
      <left/>
      <right/>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right style="thin">
        <color indexed="8"/>
      </right>
      <top/>
      <bottom/>
      <diagonal/>
    </border>
    <border>
      <left/>
      <right style="thin">
        <color indexed="64"/>
      </right>
      <top/>
      <bottom style="thin">
        <color indexed="64"/>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8"/>
      </right>
      <top/>
      <bottom style="hair">
        <color indexed="8"/>
      </bottom>
      <diagonal/>
    </border>
    <border>
      <left/>
      <right/>
      <top/>
      <bottom style="hair">
        <color indexed="8"/>
      </bottom>
      <diagonal/>
    </border>
    <border>
      <left/>
      <right style="thin">
        <color indexed="64"/>
      </right>
      <top/>
      <bottom style="hair">
        <color indexed="8"/>
      </bottom>
      <diagonal/>
    </border>
    <border>
      <left style="thin">
        <color indexed="8"/>
      </left>
      <right/>
      <top/>
      <bottom style="thin">
        <color indexed="64"/>
      </bottom>
      <diagonal/>
    </border>
    <border>
      <left/>
      <right style="thin">
        <color indexed="8"/>
      </right>
      <top/>
      <bottom style="thin">
        <color indexed="64"/>
      </bottom>
      <diagonal/>
    </border>
    <border>
      <left style="thin">
        <color indexed="8"/>
      </left>
      <right/>
      <top style="hair">
        <color indexed="8"/>
      </top>
      <bottom/>
      <diagonal/>
    </border>
    <border>
      <left/>
      <right style="thin">
        <color indexed="8"/>
      </right>
      <top style="hair">
        <color indexed="8"/>
      </top>
      <bottom style="hair">
        <color indexed="8"/>
      </bottom>
      <diagonal/>
    </border>
    <border>
      <left/>
      <right/>
      <top style="hair">
        <color indexed="8"/>
      </top>
      <bottom style="medium">
        <color indexed="64"/>
      </bottom>
      <diagonal/>
    </border>
    <border>
      <left/>
      <right style="thin">
        <color indexed="64"/>
      </right>
      <top style="hair">
        <color indexed="8"/>
      </top>
      <bottom style="medium">
        <color indexed="64"/>
      </bottom>
      <diagonal/>
    </border>
    <border>
      <left style="thin">
        <color indexed="64"/>
      </left>
      <right/>
      <top/>
      <bottom style="medium">
        <color indexed="64"/>
      </bottom>
      <diagonal/>
    </border>
    <border>
      <left/>
      <right style="medium">
        <color indexed="8"/>
      </right>
      <top/>
      <bottom style="medium">
        <color indexed="64"/>
      </bottom>
      <diagonal/>
    </border>
    <border>
      <left style="medium">
        <color indexed="64"/>
      </left>
      <right/>
      <top/>
      <bottom style="hair">
        <color indexed="8"/>
      </bottom>
      <diagonal/>
    </border>
    <border>
      <left/>
      <right style="medium">
        <color indexed="64"/>
      </right>
      <top/>
      <bottom style="hair">
        <color indexed="8"/>
      </bottom>
      <diagonal/>
    </border>
    <border>
      <left/>
      <right style="medium">
        <color indexed="64"/>
      </right>
      <top style="hair">
        <color indexed="8"/>
      </top>
      <bottom style="hair">
        <color indexed="8"/>
      </bottom>
      <diagonal/>
    </border>
    <border>
      <left style="medium">
        <color indexed="64"/>
      </left>
      <right/>
      <top style="hair">
        <color indexed="8"/>
      </top>
      <bottom style="medium">
        <color indexed="64"/>
      </bottom>
      <diagonal/>
    </border>
    <border>
      <left/>
      <right style="thin">
        <color indexed="8"/>
      </right>
      <top style="hair">
        <color indexed="8"/>
      </top>
      <bottom style="medium">
        <color indexed="64"/>
      </bottom>
      <diagonal/>
    </border>
    <border>
      <left/>
      <right style="medium">
        <color indexed="64"/>
      </right>
      <top style="hair">
        <color indexed="8"/>
      </top>
      <bottom style="medium">
        <color indexed="64"/>
      </bottom>
      <diagonal/>
    </border>
    <border>
      <left/>
      <right style="medium">
        <color indexed="64"/>
      </right>
      <top style="medium">
        <color indexed="64"/>
      </top>
      <bottom style="hair">
        <color indexed="8"/>
      </bottom>
      <diagonal/>
    </border>
    <border>
      <left style="thin">
        <color indexed="64"/>
      </left>
      <right/>
      <top style="thin">
        <color indexed="8"/>
      </top>
      <bottom/>
      <diagonal/>
    </border>
    <border>
      <left style="thin">
        <color indexed="64"/>
      </left>
      <right/>
      <top/>
      <bottom style="thin">
        <color indexed="8"/>
      </bottom>
      <diagonal/>
    </border>
    <border>
      <left/>
      <right style="thin">
        <color indexed="64"/>
      </right>
      <top style="medium">
        <color indexed="64"/>
      </top>
      <bottom style="medium">
        <color indexed="64"/>
      </bottom>
      <diagonal/>
    </border>
    <border>
      <left style="thin">
        <color indexed="64"/>
      </left>
      <right/>
      <top style="thin">
        <color indexed="8"/>
      </top>
      <bottom style="thin">
        <color indexed="64"/>
      </bottom>
      <diagonal/>
    </border>
    <border>
      <left/>
      <right/>
      <top style="thin">
        <color indexed="64"/>
      </top>
      <bottom style="medium">
        <color indexed="64"/>
      </bottom>
      <diagonal/>
    </border>
    <border>
      <left/>
      <right style="thin">
        <color indexed="64"/>
      </right>
      <top style="hair">
        <color indexed="8"/>
      </top>
      <bottom style="hair">
        <color indexed="8"/>
      </bottom>
      <diagonal/>
    </border>
    <border>
      <left style="medium">
        <color indexed="64"/>
      </left>
      <right/>
      <top style="hair">
        <color indexed="64"/>
      </top>
      <bottom style="hair">
        <color indexed="64"/>
      </bottom>
      <diagonal/>
    </border>
    <border>
      <left/>
      <right style="thin">
        <color indexed="8"/>
      </right>
      <top style="hair">
        <color indexed="64"/>
      </top>
      <bottom style="hair">
        <color indexed="8"/>
      </bottom>
      <diagonal/>
    </border>
    <border>
      <left/>
      <right style="thin">
        <color indexed="64"/>
      </right>
      <top style="hair">
        <color indexed="8"/>
      </top>
      <bottom style="hair">
        <color indexed="64"/>
      </bottom>
      <diagonal/>
    </border>
    <border>
      <left/>
      <right style="thin">
        <color indexed="64"/>
      </right>
      <top style="hair">
        <color indexed="64"/>
      </top>
      <bottom style="hair">
        <color indexed="64"/>
      </bottom>
      <diagonal/>
    </border>
    <border>
      <left style="thin">
        <color indexed="8"/>
      </left>
      <right/>
      <top style="medium">
        <color indexed="64"/>
      </top>
      <bottom style="hair">
        <color indexed="8"/>
      </bottom>
      <diagonal/>
    </border>
    <border>
      <left/>
      <right style="medium">
        <color indexed="64"/>
      </right>
      <top style="hair">
        <color indexed="64"/>
      </top>
      <bottom style="hair">
        <color indexed="64"/>
      </bottom>
      <diagonal/>
    </border>
    <border>
      <left/>
      <right style="thin">
        <color indexed="8"/>
      </right>
      <top/>
      <bottom style="medium">
        <color indexed="64"/>
      </bottom>
      <diagonal/>
    </border>
    <border>
      <left style="thin">
        <color indexed="8"/>
      </left>
      <right/>
      <top style="hair">
        <color indexed="8"/>
      </top>
      <bottom style="medium">
        <color indexed="64"/>
      </bottom>
      <diagonal/>
    </border>
    <border>
      <left/>
      <right style="thin">
        <color indexed="8"/>
      </right>
      <top/>
      <bottom style="hair">
        <color indexed="64"/>
      </bottom>
      <diagonal/>
    </border>
    <border>
      <left style="thin">
        <color indexed="8"/>
      </left>
      <right/>
      <top/>
      <bottom style="medium">
        <color indexed="64"/>
      </bottom>
      <diagonal/>
    </border>
    <border>
      <left style="medium">
        <color indexed="64"/>
      </left>
      <right/>
      <top/>
      <bottom style="medium">
        <color indexed="8"/>
      </bottom>
      <diagonal/>
    </border>
    <border>
      <left/>
      <right style="thin">
        <color indexed="8"/>
      </right>
      <top/>
      <bottom style="medium">
        <color indexed="8"/>
      </bottom>
      <diagonal/>
    </border>
    <border>
      <left/>
      <right/>
      <top/>
      <bottom style="medium">
        <color indexed="8"/>
      </bottom>
      <diagonal/>
    </border>
    <border>
      <left/>
      <right style="thin">
        <color indexed="64"/>
      </right>
      <top/>
      <bottom style="medium">
        <color indexed="8"/>
      </bottom>
      <diagonal/>
    </border>
    <border>
      <left/>
      <right style="medium">
        <color indexed="64"/>
      </right>
      <top/>
      <bottom style="medium">
        <color indexed="8"/>
      </bottom>
      <diagonal/>
    </border>
    <border>
      <left style="thin">
        <color indexed="64"/>
      </left>
      <right style="thin">
        <color indexed="64"/>
      </right>
      <top style="thin">
        <color indexed="8"/>
      </top>
      <bottom style="thin">
        <color indexed="8"/>
      </bottom>
      <diagonal/>
    </border>
    <border>
      <left style="thin">
        <color indexed="64"/>
      </left>
      <right style="thin">
        <color indexed="64"/>
      </right>
      <top/>
      <bottom style="thin">
        <color indexed="8"/>
      </bottom>
      <diagonal/>
    </border>
    <border>
      <left/>
      <right/>
      <top style="thin">
        <color indexed="8"/>
      </top>
      <bottom style="thin">
        <color indexed="64"/>
      </bottom>
      <diagonal/>
    </border>
    <border>
      <left style="thin">
        <color indexed="8"/>
      </left>
      <right style="thin">
        <color indexed="64"/>
      </right>
      <top style="thin">
        <color indexed="8"/>
      </top>
      <bottom/>
      <diagonal/>
    </border>
    <border>
      <left style="thin">
        <color indexed="64"/>
      </left>
      <right style="thin">
        <color indexed="64"/>
      </right>
      <top style="thin">
        <color indexed="8"/>
      </top>
      <bottom style="thin">
        <color indexed="64"/>
      </bottom>
      <diagonal/>
    </border>
    <border>
      <left style="thin">
        <color indexed="64"/>
      </left>
      <right style="thin">
        <color indexed="64"/>
      </right>
      <top style="thin">
        <color indexed="8"/>
      </top>
      <bottom/>
      <diagonal/>
    </border>
    <border>
      <left style="thin">
        <color indexed="8"/>
      </left>
      <right style="thin">
        <color indexed="64"/>
      </right>
      <top style="thin">
        <color indexed="8"/>
      </top>
      <bottom style="thin">
        <color indexed="8"/>
      </bottom>
      <diagonal/>
    </border>
    <border>
      <left style="thin">
        <color indexed="64"/>
      </left>
      <right/>
      <top/>
      <bottom style="hair">
        <color indexed="8"/>
      </bottom>
      <diagonal/>
    </border>
    <border>
      <left style="thin">
        <color indexed="64"/>
      </left>
      <right/>
      <top style="hair">
        <color indexed="8"/>
      </top>
      <bottom style="medium">
        <color indexed="64"/>
      </bottom>
      <diagonal/>
    </border>
    <border>
      <left style="thin">
        <color indexed="64"/>
      </left>
      <right/>
      <top style="medium">
        <color indexed="64"/>
      </top>
      <bottom style="hair">
        <color indexed="8"/>
      </bottom>
      <diagonal/>
    </border>
    <border>
      <left style="thin">
        <color indexed="64"/>
      </left>
      <right/>
      <top style="hair">
        <color indexed="8"/>
      </top>
      <bottom/>
      <diagonal/>
    </border>
    <border>
      <left style="thin">
        <color indexed="64"/>
      </left>
      <right/>
      <top/>
      <bottom style="medium">
        <color indexed="8"/>
      </bottom>
      <diagonal/>
    </border>
    <border>
      <left style="thin">
        <color indexed="64"/>
      </left>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8"/>
      </bottom>
      <diagonal/>
    </border>
    <border>
      <left style="medium">
        <color indexed="64"/>
      </left>
      <right/>
      <top style="thin">
        <color indexed="64"/>
      </top>
      <bottom style="medium">
        <color indexed="64"/>
      </bottom>
      <diagonal/>
    </border>
    <border>
      <left/>
      <right/>
      <top style="hair">
        <color indexed="64"/>
      </top>
      <bottom style="hair">
        <color indexed="8"/>
      </bottom>
      <diagonal/>
    </border>
    <border>
      <left/>
      <right/>
      <top style="hair">
        <color indexed="8"/>
      </top>
      <bottom style="hair">
        <color indexed="8"/>
      </bottom>
      <diagonal/>
    </border>
    <border>
      <left/>
      <right/>
      <top/>
      <bottom style="hair">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hair">
        <color indexed="8"/>
      </bottom>
      <diagonal/>
    </border>
    <border>
      <left style="thin">
        <color indexed="64"/>
      </left>
      <right style="medium">
        <color indexed="64"/>
      </right>
      <top style="hair">
        <color indexed="8"/>
      </top>
      <bottom style="medium">
        <color indexed="64"/>
      </bottom>
      <diagonal/>
    </border>
    <border>
      <left style="thin">
        <color indexed="64"/>
      </left>
      <right style="medium">
        <color indexed="64"/>
      </right>
      <top style="hair">
        <color indexed="8"/>
      </top>
      <bottom style="hair">
        <color indexed="8"/>
      </bottom>
      <diagonal/>
    </border>
    <border>
      <left style="thin">
        <color indexed="64"/>
      </left>
      <right style="medium">
        <color indexed="64"/>
      </right>
      <top/>
      <bottom style="hair">
        <color indexed="64"/>
      </bottom>
      <diagonal/>
    </border>
    <border>
      <left style="thin">
        <color indexed="64"/>
      </left>
      <right style="medium">
        <color indexed="64"/>
      </right>
      <top/>
      <bottom style="medium">
        <color indexed="8"/>
      </bottom>
      <diagonal/>
    </border>
    <border>
      <left style="medium">
        <color indexed="64"/>
      </left>
      <right/>
      <top style="hair">
        <color indexed="8"/>
      </top>
      <bottom style="hair">
        <color indexed="8"/>
      </bottom>
      <diagonal/>
    </border>
    <border>
      <left style="thin">
        <color indexed="64"/>
      </left>
      <right style="thin">
        <color indexed="64"/>
      </right>
      <top/>
      <bottom style="hair">
        <color indexed="8"/>
      </bottom>
      <diagonal/>
    </border>
    <border>
      <left style="thin">
        <color indexed="64"/>
      </left>
      <right style="thin">
        <color indexed="64"/>
      </right>
      <top style="hair">
        <color indexed="8"/>
      </top>
      <bottom style="hair">
        <color indexed="64"/>
      </bottom>
      <diagonal/>
    </border>
    <border>
      <left/>
      <right style="medium">
        <color indexed="64"/>
      </right>
      <top style="hair">
        <color indexed="8"/>
      </top>
      <bottom style="hair">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hair">
        <color indexed="8"/>
      </bottom>
      <diagonal/>
    </border>
    <border>
      <left style="medium">
        <color indexed="64"/>
      </left>
      <right style="medium">
        <color indexed="64"/>
      </right>
      <top style="hair">
        <color indexed="8"/>
      </top>
      <bottom style="medium">
        <color indexed="64"/>
      </bottom>
      <diagonal/>
    </border>
    <border>
      <left style="medium">
        <color indexed="64"/>
      </left>
      <right/>
      <top style="hair">
        <color indexed="8"/>
      </top>
      <bottom style="hair">
        <color indexed="64"/>
      </bottom>
      <diagonal/>
    </border>
    <border>
      <left style="medium">
        <color indexed="64"/>
      </left>
      <right/>
      <top style="hair">
        <color indexed="64"/>
      </top>
      <bottom style="hair">
        <color indexed="8"/>
      </bottom>
      <diagonal/>
    </border>
    <border>
      <left style="medium">
        <color indexed="64"/>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s>
  <cellStyleXfs count="14">
    <xf numFmtId="0" fontId="0" fillId="0" borderId="0"/>
    <xf numFmtId="43" fontId="8" fillId="0" borderId="0" applyFont="0" applyFill="0" applyBorder="0" applyAlignment="0" applyProtection="0"/>
    <xf numFmtId="0" fontId="18" fillId="0" borderId="0"/>
    <xf numFmtId="0" fontId="18" fillId="0" borderId="0"/>
    <xf numFmtId="44" fontId="25" fillId="0" borderId="0" applyFont="0" applyFill="0" applyBorder="0" applyAlignment="0" applyProtection="0"/>
    <xf numFmtId="0" fontId="8" fillId="0" borderId="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9" fontId="18" fillId="0" borderId="0" applyFont="0" applyFill="0" applyBorder="0" applyAlignment="0" applyProtection="0"/>
    <xf numFmtId="9" fontId="18" fillId="0" borderId="0" applyFont="0" applyFill="0" applyBorder="0" applyAlignment="0" applyProtection="0"/>
    <xf numFmtId="0" fontId="18" fillId="0" borderId="0"/>
    <xf numFmtId="0" fontId="18" fillId="0" borderId="0"/>
  </cellStyleXfs>
  <cellXfs count="949">
    <xf numFmtId="0" fontId="0" fillId="0" borderId="0" xfId="0"/>
    <xf numFmtId="0" fontId="2" fillId="0" borderId="0" xfId="0" applyFont="1"/>
    <xf numFmtId="0" fontId="3" fillId="0" borderId="0" xfId="0" applyFont="1"/>
    <xf numFmtId="0" fontId="5" fillId="0" borderId="0" xfId="0" applyFont="1"/>
    <xf numFmtId="0" fontId="0" fillId="0" borderId="0" xfId="0" applyBorder="1" applyAlignment="1">
      <alignment horizontal="center"/>
    </xf>
    <xf numFmtId="0" fontId="2" fillId="0" borderId="0" xfId="0" applyFont="1" applyAlignment="1">
      <alignment horizontal="center"/>
    </xf>
    <xf numFmtId="0" fontId="2" fillId="0" borderId="0" xfId="0" applyFont="1" applyBorder="1"/>
    <xf numFmtId="0" fontId="2" fillId="0" borderId="1" xfId="0" applyFont="1" applyBorder="1"/>
    <xf numFmtId="0" fontId="2" fillId="0" borderId="2" xfId="0" applyFont="1" applyBorder="1"/>
    <xf numFmtId="0" fontId="2" fillId="0" borderId="3" xfId="0" applyFont="1" applyBorder="1"/>
    <xf numFmtId="0" fontId="2" fillId="0" borderId="4" xfId="0" applyFont="1" applyBorder="1"/>
    <xf numFmtId="0" fontId="2" fillId="0" borderId="5" xfId="0" applyFont="1" applyBorder="1"/>
    <xf numFmtId="0" fontId="2" fillId="0" borderId="7" xfId="0" applyFont="1" applyBorder="1"/>
    <xf numFmtId="0" fontId="2" fillId="0" borderId="8" xfId="0" applyFont="1" applyBorder="1"/>
    <xf numFmtId="0" fontId="2" fillId="0" borderId="9" xfId="0" applyFont="1" applyBorder="1"/>
    <xf numFmtId="0" fontId="2" fillId="0" borderId="10" xfId="0" applyFont="1" applyBorder="1"/>
    <xf numFmtId="0" fontId="2" fillId="0" borderId="11" xfId="0" applyFont="1" applyBorder="1"/>
    <xf numFmtId="0" fontId="2" fillId="0" borderId="13" xfId="0" applyFont="1" applyBorder="1"/>
    <xf numFmtId="3" fontId="2" fillId="0" borderId="14" xfId="0" applyNumberFormat="1" applyFont="1" applyBorder="1"/>
    <xf numFmtId="3" fontId="2" fillId="0" borderId="3" xfId="0" applyNumberFormat="1" applyFont="1" applyBorder="1"/>
    <xf numFmtId="3" fontId="2" fillId="0" borderId="17" xfId="0" applyNumberFormat="1" applyFont="1" applyBorder="1"/>
    <xf numFmtId="0" fontId="2" fillId="0" borderId="14" xfId="0" applyFont="1" applyBorder="1"/>
    <xf numFmtId="37" fontId="2" fillId="0" borderId="12" xfId="0" applyNumberFormat="1" applyFont="1" applyBorder="1"/>
    <xf numFmtId="41" fontId="2" fillId="0" borderId="0" xfId="0" applyNumberFormat="1" applyFont="1" applyBorder="1"/>
    <xf numFmtId="37" fontId="2" fillId="0" borderId="0" xfId="0" applyNumberFormat="1" applyFont="1" applyBorder="1"/>
    <xf numFmtId="3" fontId="3" fillId="0" borderId="0" xfId="0" applyNumberFormat="1" applyFont="1" applyAlignment="1"/>
    <xf numFmtId="3" fontId="10" fillId="0" borderId="0" xfId="0" applyNumberFormat="1" applyFont="1"/>
    <xf numFmtId="3" fontId="2" fillId="0" borderId="0" xfId="0" applyNumberFormat="1" applyFont="1"/>
    <xf numFmtId="3" fontId="2" fillId="0" borderId="29" xfId="0" applyNumberFormat="1" applyFont="1" applyBorder="1" applyAlignment="1">
      <alignment horizontal="center"/>
    </xf>
    <xf numFmtId="3" fontId="2" fillId="0" borderId="30" xfId="0" applyNumberFormat="1" applyFont="1" applyBorder="1" applyAlignment="1"/>
    <xf numFmtId="3" fontId="2" fillId="0" borderId="0" xfId="0" applyNumberFormat="1" applyFont="1" applyAlignment="1"/>
    <xf numFmtId="3" fontId="2" fillId="0" borderId="30" xfId="0" applyNumberFormat="1" applyFont="1" applyBorder="1" applyAlignment="1">
      <alignment horizontal="right"/>
    </xf>
    <xf numFmtId="3" fontId="3" fillId="0" borderId="30" xfId="0" applyNumberFormat="1" applyFont="1" applyBorder="1"/>
    <xf numFmtId="3" fontId="2" fillId="0" borderId="30" xfId="0" applyNumberFormat="1" applyFont="1" applyBorder="1"/>
    <xf numFmtId="3" fontId="3" fillId="0" borderId="0" xfId="0" applyNumberFormat="1" applyFont="1"/>
    <xf numFmtId="0" fontId="3" fillId="0" borderId="0" xfId="0" applyNumberFormat="1" applyFont="1" applyAlignment="1"/>
    <xf numFmtId="0" fontId="2" fillId="0" borderId="32" xfId="0" applyNumberFormat="1" applyFont="1" applyBorder="1" applyAlignment="1"/>
    <xf numFmtId="3" fontId="2" fillId="0" borderId="36" xfId="0" applyNumberFormat="1" applyFont="1" applyBorder="1"/>
    <xf numFmtId="3" fontId="2" fillId="0" borderId="40" xfId="0" applyNumberFormat="1" applyFont="1" applyBorder="1" applyAlignment="1"/>
    <xf numFmtId="3" fontId="2" fillId="0" borderId="41" xfId="0" applyNumberFormat="1" applyFont="1" applyBorder="1"/>
    <xf numFmtId="3" fontId="2" fillId="0" borderId="0" xfId="0" applyNumberFormat="1" applyFont="1" applyBorder="1"/>
    <xf numFmtId="3" fontId="2" fillId="0" borderId="12" xfId="0" applyNumberFormat="1" applyFont="1" applyBorder="1"/>
    <xf numFmtId="3" fontId="2" fillId="0" borderId="51" xfId="0" applyNumberFormat="1" applyFont="1" applyBorder="1"/>
    <xf numFmtId="3" fontId="2" fillId="0" borderId="52" xfId="0" applyNumberFormat="1" applyFont="1" applyBorder="1" applyAlignment="1"/>
    <xf numFmtId="3" fontId="2" fillId="0" borderId="53" xfId="0" applyNumberFormat="1" applyFont="1" applyBorder="1" applyAlignment="1"/>
    <xf numFmtId="3" fontId="2" fillId="0" borderId="45" xfId="0" applyNumberFormat="1" applyFont="1" applyBorder="1" applyAlignment="1"/>
    <xf numFmtId="0" fontId="3" fillId="0" borderId="33" xfId="0" applyFont="1" applyBorder="1"/>
    <xf numFmtId="0" fontId="3" fillId="0" borderId="13" xfId="0" applyFont="1" applyBorder="1"/>
    <xf numFmtId="0" fontId="3" fillId="0" borderId="40" xfId="0" applyFont="1" applyBorder="1"/>
    <xf numFmtId="0" fontId="3" fillId="0" borderId="41" xfId="0" applyFont="1" applyBorder="1" applyAlignment="1">
      <alignment horizontal="center"/>
    </xf>
    <xf numFmtId="0" fontId="3" fillId="0" borderId="29" xfId="0" applyFont="1" applyBorder="1"/>
    <xf numFmtId="0" fontId="3" fillId="0" borderId="40" xfId="0" applyFont="1" applyBorder="1" applyAlignment="1">
      <alignment horizontal="center"/>
    </xf>
    <xf numFmtId="0" fontId="3" fillId="0" borderId="51" xfId="0" applyFont="1" applyBorder="1" applyAlignment="1">
      <alignment horizontal="center"/>
    </xf>
    <xf numFmtId="0" fontId="3" fillId="0" borderId="26" xfId="0" applyFont="1" applyBorder="1" applyAlignment="1">
      <alignment horizontal="center"/>
    </xf>
    <xf numFmtId="0" fontId="3" fillId="0" borderId="27" xfId="0" applyFont="1" applyBorder="1" applyAlignment="1">
      <alignment horizontal="center"/>
    </xf>
    <xf numFmtId="0" fontId="3" fillId="0" borderId="29" xfId="0" applyFont="1" applyBorder="1" applyAlignment="1">
      <alignment horizontal="center"/>
    </xf>
    <xf numFmtId="37" fontId="2" fillId="0" borderId="13" xfId="0" applyNumberFormat="1" applyFont="1" applyBorder="1"/>
    <xf numFmtId="0" fontId="2" fillId="0" borderId="42" xfId="0" applyFont="1" applyBorder="1"/>
    <xf numFmtId="37" fontId="3" fillId="0" borderId="30" xfId="0" applyNumberFormat="1" applyFont="1" applyBorder="1"/>
    <xf numFmtId="0" fontId="2" fillId="0" borderId="31" xfId="0" applyFont="1" applyBorder="1"/>
    <xf numFmtId="0" fontId="2" fillId="0" borderId="32" xfId="0" applyFont="1" applyBorder="1"/>
    <xf numFmtId="41" fontId="2" fillId="0" borderId="31" xfId="0" applyNumberFormat="1" applyFont="1" applyBorder="1"/>
    <xf numFmtId="41" fontId="2" fillId="0" borderId="12" xfId="0" applyNumberFormat="1" applyFont="1" applyBorder="1"/>
    <xf numFmtId="0" fontId="2" fillId="0" borderId="29" xfId="0" applyFont="1" applyBorder="1"/>
    <xf numFmtId="0" fontId="2" fillId="0" borderId="40" xfId="0" applyFont="1" applyBorder="1"/>
    <xf numFmtId="0" fontId="2" fillId="0" borderId="30" xfId="0" applyFont="1" applyBorder="1"/>
    <xf numFmtId="0" fontId="2" fillId="0" borderId="26" xfId="0" applyFont="1" applyBorder="1"/>
    <xf numFmtId="0" fontId="3" fillId="0" borderId="0" xfId="0" applyFont="1" applyBorder="1"/>
    <xf numFmtId="0" fontId="3" fillId="0" borderId="0" xfId="0" applyFont="1" applyBorder="1" applyAlignment="1">
      <alignment horizontal="center"/>
    </xf>
    <xf numFmtId="41" fontId="2" fillId="0" borderId="0" xfId="0" applyNumberFormat="1" applyFont="1"/>
    <xf numFmtId="0" fontId="3" fillId="0" borderId="28" xfId="0" applyFont="1" applyBorder="1" applyAlignment="1">
      <alignment horizontal="center"/>
    </xf>
    <xf numFmtId="41" fontId="2" fillId="0" borderId="51" xfId="0" applyNumberFormat="1" applyFont="1" applyBorder="1"/>
    <xf numFmtId="0" fontId="2" fillId="0" borderId="0" xfId="0" applyFont="1" applyFill="1"/>
    <xf numFmtId="0" fontId="2" fillId="0" borderId="0" xfId="0" applyFont="1" applyFill="1" applyBorder="1"/>
    <xf numFmtId="0" fontId="3" fillId="0" borderId="13" xfId="0" applyFont="1" applyFill="1" applyBorder="1"/>
    <xf numFmtId="37" fontId="2" fillId="0" borderId="12" xfId="0" applyNumberFormat="1" applyFont="1" applyBorder="1" applyAlignment="1">
      <alignment horizontal="right"/>
    </xf>
    <xf numFmtId="1" fontId="2" fillId="0" borderId="13" xfId="0" applyNumberFormat="1" applyFont="1" applyFill="1" applyBorder="1"/>
    <xf numFmtId="37" fontId="2" fillId="0" borderId="13" xfId="0" applyNumberFormat="1" applyFont="1" applyBorder="1" applyAlignment="1">
      <alignment horizontal="right"/>
    </xf>
    <xf numFmtId="41" fontId="2" fillId="0" borderId="0" xfId="0" applyNumberFormat="1" applyFont="1" applyFill="1"/>
    <xf numFmtId="3" fontId="2" fillId="0" borderId="13" xfId="0" applyNumberFormat="1" applyFont="1" applyBorder="1"/>
    <xf numFmtId="1" fontId="2" fillId="0" borderId="13" xfId="0" applyNumberFormat="1" applyFont="1" applyFill="1" applyBorder="1" applyAlignment="1">
      <alignment horizontal="right"/>
    </xf>
    <xf numFmtId="41" fontId="3" fillId="0" borderId="30" xfId="0" applyNumberFormat="1" applyFont="1" applyBorder="1"/>
    <xf numFmtId="37" fontId="3" fillId="0" borderId="30" xfId="0" applyNumberFormat="1" applyFont="1" applyBorder="1" applyAlignment="1">
      <alignment horizontal="right"/>
    </xf>
    <xf numFmtId="41" fontId="3" fillId="0" borderId="0" xfId="0" applyNumberFormat="1" applyFont="1" applyBorder="1"/>
    <xf numFmtId="41" fontId="3" fillId="0" borderId="0" xfId="0" applyNumberFormat="1" applyFont="1"/>
    <xf numFmtId="41" fontId="3" fillId="0" borderId="0" xfId="0" applyNumberFormat="1" applyFont="1" applyFill="1"/>
    <xf numFmtId="0" fontId="2" fillId="0" borderId="3" xfId="0" applyFont="1" applyBorder="1" applyAlignment="1">
      <alignment horizontal="center"/>
    </xf>
    <xf numFmtId="41" fontId="2" fillId="0" borderId="0" xfId="0" applyNumberFormat="1" applyFont="1" applyBorder="1" applyAlignment="1">
      <alignment horizontal="center"/>
    </xf>
    <xf numFmtId="0" fontId="2" fillId="0" borderId="2" xfId="0" applyFont="1" applyBorder="1" applyAlignment="1">
      <alignment horizontal="center"/>
    </xf>
    <xf numFmtId="0" fontId="2" fillId="0" borderId="54" xfId="0" applyFont="1" applyBorder="1"/>
    <xf numFmtId="0" fontId="2" fillId="0" borderId="60" xfId="0" applyFont="1" applyBorder="1"/>
    <xf numFmtId="0" fontId="3" fillId="0" borderId="42" xfId="0" applyFont="1" applyBorder="1"/>
    <xf numFmtId="0" fontId="3" fillId="0" borderId="30" xfId="0" applyFont="1" applyBorder="1"/>
    <xf numFmtId="164" fontId="2" fillId="0" borderId="12" xfId="0" applyNumberFormat="1" applyFont="1" applyBorder="1"/>
    <xf numFmtId="0" fontId="11" fillId="0" borderId="0" xfId="0" applyFont="1" applyBorder="1"/>
    <xf numFmtId="1" fontId="2" fillId="0" borderId="0" xfId="0" applyNumberFormat="1" applyFont="1" applyBorder="1"/>
    <xf numFmtId="1" fontId="2" fillId="0" borderId="0" xfId="0" applyNumberFormat="1" applyFont="1" applyBorder="1" applyAlignment="1">
      <alignment horizontal="right"/>
    </xf>
    <xf numFmtId="0" fontId="12" fillId="0" borderId="0" xfId="0" applyFont="1" applyBorder="1"/>
    <xf numFmtId="41" fontId="2" fillId="0" borderId="0" xfId="0" applyNumberFormat="1" applyFont="1" applyFill="1" applyBorder="1"/>
    <xf numFmtId="1" fontId="2" fillId="0" borderId="0" xfId="0" applyNumberFormat="1" applyFont="1" applyFill="1" applyBorder="1"/>
    <xf numFmtId="41" fontId="2" fillId="0" borderId="40" xfId="0" applyNumberFormat="1" applyFont="1" applyBorder="1" applyAlignment="1">
      <alignment horizontal="center"/>
    </xf>
    <xf numFmtId="41" fontId="2" fillId="0" borderId="41" xfId="0" applyNumberFormat="1" applyFont="1" applyBorder="1" applyAlignment="1">
      <alignment horizontal="center"/>
    </xf>
    <xf numFmtId="41" fontId="2" fillId="0" borderId="26" xfId="0" applyNumberFormat="1" applyFont="1" applyBorder="1" applyAlignment="1">
      <alignment horizontal="center"/>
    </xf>
    <xf numFmtId="41" fontId="2" fillId="0" borderId="27" xfId="0" applyNumberFormat="1" applyFont="1" applyBorder="1" applyAlignment="1">
      <alignment horizontal="center"/>
    </xf>
    <xf numFmtId="41" fontId="2" fillId="0" borderId="28" xfId="0" applyNumberFormat="1" applyFont="1" applyBorder="1" applyAlignment="1">
      <alignment horizontal="center"/>
    </xf>
    <xf numFmtId="41" fontId="2" fillId="0" borderId="42" xfId="0" applyNumberFormat="1" applyFont="1" applyBorder="1"/>
    <xf numFmtId="41" fontId="3" fillId="0" borderId="28" xfId="0" applyNumberFormat="1" applyFont="1" applyBorder="1"/>
    <xf numFmtId="41" fontId="2" fillId="0" borderId="40" xfId="0" applyNumberFormat="1" applyFont="1" applyBorder="1"/>
    <xf numFmtId="0" fontId="11" fillId="0" borderId="13" xfId="0" applyFont="1" applyBorder="1"/>
    <xf numFmtId="0" fontId="2" fillId="0" borderId="23" xfId="0" applyFont="1" applyBorder="1" applyAlignment="1">
      <alignment horizontal="center"/>
    </xf>
    <xf numFmtId="0" fontId="2" fillId="0" borderId="24" xfId="0" applyFont="1" applyBorder="1" applyAlignment="1">
      <alignment horizontal="center"/>
    </xf>
    <xf numFmtId="0" fontId="2" fillId="0" borderId="25" xfId="0" applyFont="1" applyBorder="1" applyAlignment="1">
      <alignment horizontal="center"/>
    </xf>
    <xf numFmtId="3" fontId="2" fillId="0" borderId="15" xfId="0" applyNumberFormat="1" applyFont="1" applyBorder="1"/>
    <xf numFmtId="3" fontId="2" fillId="0" borderId="19" xfId="0" applyNumberFormat="1" applyFont="1" applyBorder="1"/>
    <xf numFmtId="3" fontId="2" fillId="0" borderId="18" xfId="0" applyNumberFormat="1" applyFont="1" applyBorder="1"/>
    <xf numFmtId="3" fontId="2" fillId="0" borderId="2" xfId="0" applyNumberFormat="1" applyFont="1" applyBorder="1"/>
    <xf numFmtId="0" fontId="2" fillId="0" borderId="55" xfId="0" applyFont="1" applyBorder="1"/>
    <xf numFmtId="3" fontId="2" fillId="0" borderId="6" xfId="0" applyNumberFormat="1" applyFont="1" applyBorder="1"/>
    <xf numFmtId="0" fontId="2" fillId="0" borderId="0" xfId="0" applyFont="1" applyFill="1" applyAlignment="1">
      <alignment horizontal="center"/>
    </xf>
    <xf numFmtId="0" fontId="16" fillId="0" borderId="0" xfId="0" applyFont="1"/>
    <xf numFmtId="0" fontId="5" fillId="0" borderId="0" xfId="0" applyFont="1" applyBorder="1" applyAlignment="1">
      <alignment horizontal="center"/>
    </xf>
    <xf numFmtId="0" fontId="0" fillId="0" borderId="0" xfId="0" applyAlignment="1">
      <alignment vertical="top"/>
    </xf>
    <xf numFmtId="0" fontId="5" fillId="0" borderId="0" xfId="0" applyFont="1" applyAlignment="1">
      <alignment vertical="top"/>
    </xf>
    <xf numFmtId="0" fontId="5" fillId="0" borderId="0" xfId="0" applyFont="1" applyBorder="1" applyAlignment="1">
      <alignment vertical="top" wrapText="1"/>
    </xf>
    <xf numFmtId="0" fontId="20" fillId="0" borderId="0" xfId="2" applyFont="1"/>
    <xf numFmtId="37" fontId="2" fillId="0" borderId="0" xfId="0" applyNumberFormat="1" applyFont="1"/>
    <xf numFmtId="0" fontId="21" fillId="0" borderId="0" xfId="0" applyFont="1"/>
    <xf numFmtId="0" fontId="22" fillId="0" borderId="0" xfId="2" applyFont="1"/>
    <xf numFmtId="0" fontId="2" fillId="0" borderId="5" xfId="0" applyFont="1" applyFill="1" applyBorder="1"/>
    <xf numFmtId="0" fontId="2" fillId="0" borderId="4" xfId="0" applyFont="1" applyFill="1" applyBorder="1"/>
    <xf numFmtId="0" fontId="3" fillId="0" borderId="1" xfId="0" applyFont="1" applyFill="1" applyBorder="1"/>
    <xf numFmtId="0" fontId="2" fillId="0" borderId="1" xfId="0" applyFont="1" applyFill="1" applyBorder="1"/>
    <xf numFmtId="0" fontId="3" fillId="0" borderId="1" xfId="0" applyFont="1" applyFill="1" applyBorder="1" applyAlignment="1">
      <alignment horizontal="left"/>
    </xf>
    <xf numFmtId="0" fontId="14" fillId="0" borderId="0" xfId="0" applyFont="1" applyFill="1" applyBorder="1" applyAlignment="1">
      <alignment horizontal="left"/>
    </xf>
    <xf numFmtId="166" fontId="13" fillId="0" borderId="0" xfId="0" applyNumberFormat="1" applyFont="1" applyFill="1" applyBorder="1" applyAlignment="1"/>
    <xf numFmtId="5" fontId="13" fillId="0" borderId="0" xfId="0" applyNumberFormat="1" applyFont="1" applyFill="1" applyBorder="1" applyAlignment="1"/>
    <xf numFmtId="0" fontId="3" fillId="0" borderId="0" xfId="0" applyFont="1" applyFill="1" applyBorder="1" applyAlignment="1">
      <alignment horizontal="left"/>
    </xf>
    <xf numFmtId="37" fontId="2" fillId="0" borderId="0" xfId="0" applyNumberFormat="1" applyFont="1" applyFill="1" applyBorder="1" applyAlignment="1">
      <alignment horizontal="right"/>
    </xf>
    <xf numFmtId="0" fontId="0" fillId="0" borderId="0" xfId="0" applyAlignment="1">
      <alignment horizontal="center"/>
    </xf>
    <xf numFmtId="0" fontId="23" fillId="0" borderId="0" xfId="0" applyFont="1" applyBorder="1" applyAlignment="1">
      <alignment horizontal="center"/>
    </xf>
    <xf numFmtId="0" fontId="5" fillId="0" borderId="0" xfId="0" applyFont="1" applyBorder="1" applyAlignment="1">
      <alignment horizontal="center" vertical="top"/>
    </xf>
    <xf numFmtId="0" fontId="24" fillId="0" borderId="0" xfId="0" applyFont="1" applyBorder="1" applyAlignment="1">
      <alignment vertical="top" wrapText="1"/>
    </xf>
    <xf numFmtId="0" fontId="17" fillId="0" borderId="0" xfId="0" applyFont="1" applyBorder="1" applyAlignment="1">
      <alignment vertical="top" wrapText="1"/>
    </xf>
    <xf numFmtId="3" fontId="2" fillId="0" borderId="65" xfId="0" applyNumberFormat="1" applyFont="1" applyBorder="1" applyAlignment="1"/>
    <xf numFmtId="0" fontId="2" fillId="0" borderId="5" xfId="0" applyFont="1" applyBorder="1" applyAlignment="1">
      <alignment horizontal="center"/>
    </xf>
    <xf numFmtId="0" fontId="2" fillId="0" borderId="1" xfId="0" applyFont="1" applyBorder="1" applyAlignment="1">
      <alignment horizontal="center"/>
    </xf>
    <xf numFmtId="0" fontId="2" fillId="0" borderId="9" xfId="0" applyFont="1" applyBorder="1" applyAlignment="1">
      <alignment wrapText="1"/>
    </xf>
    <xf numFmtId="3" fontId="2" fillId="0" borderId="13" xfId="0" applyNumberFormat="1" applyFont="1" applyFill="1" applyBorder="1"/>
    <xf numFmtId="3" fontId="2" fillId="0" borderId="3" xfId="1" applyNumberFormat="1" applyFont="1" applyBorder="1"/>
    <xf numFmtId="3" fontId="2" fillId="0" borderId="15" xfId="0" applyNumberFormat="1" applyFont="1" applyFill="1" applyBorder="1"/>
    <xf numFmtId="3" fontId="2" fillId="0" borderId="16" xfId="1" applyNumberFormat="1" applyFont="1" applyBorder="1"/>
    <xf numFmtId="3" fontId="2" fillId="0" borderId="11" xfId="0" applyNumberFormat="1" applyFont="1" applyBorder="1"/>
    <xf numFmtId="3" fontId="2" fillId="0" borderId="9" xfId="0" applyNumberFormat="1" applyFont="1" applyBorder="1" applyAlignment="1">
      <alignment wrapText="1"/>
    </xf>
    <xf numFmtId="3" fontId="2" fillId="0" borderId="9" xfId="0" applyNumberFormat="1" applyFont="1" applyBorder="1"/>
    <xf numFmtId="3" fontId="2" fillId="0" borderId="10" xfId="0" applyNumberFormat="1" applyFont="1" applyBorder="1"/>
    <xf numFmtId="0" fontId="3" fillId="0" borderId="0" xfId="0" applyFont="1" applyAlignment="1"/>
    <xf numFmtId="0" fontId="3" fillId="0" borderId="31" xfId="0" applyFont="1" applyBorder="1" applyAlignment="1"/>
    <xf numFmtId="0" fontId="3" fillId="0" borderId="13" xfId="0" applyFont="1" applyFill="1" applyBorder="1" applyAlignment="1">
      <alignment horizontal="center"/>
    </xf>
    <xf numFmtId="0" fontId="3" fillId="0" borderId="13" xfId="0" applyFont="1" applyBorder="1" applyAlignment="1">
      <alignment horizontal="center"/>
    </xf>
    <xf numFmtId="0" fontId="3" fillId="0" borderId="29" xfId="0" applyFont="1" applyFill="1" applyBorder="1" applyAlignment="1">
      <alignment horizontal="center"/>
    </xf>
    <xf numFmtId="0" fontId="3" fillId="0" borderId="12" xfId="0" applyFont="1" applyBorder="1" applyAlignment="1">
      <alignment horizontal="center"/>
    </xf>
    <xf numFmtId="164" fontId="2" fillId="0" borderId="42" xfId="0" applyNumberFormat="1" applyFont="1" applyBorder="1"/>
    <xf numFmtId="167" fontId="5" fillId="0" borderId="0" xfId="1" applyNumberFormat="1" applyFont="1" applyBorder="1" applyAlignment="1">
      <alignment vertical="top" wrapText="1"/>
    </xf>
    <xf numFmtId="167" fontId="23" fillId="0" borderId="0" xfId="1" applyNumberFormat="1" applyFont="1" applyBorder="1" applyAlignment="1">
      <alignment horizontal="center"/>
    </xf>
    <xf numFmtId="167" fontId="5" fillId="0" borderId="0" xfId="1" applyNumberFormat="1" applyFont="1" applyBorder="1" applyAlignment="1">
      <alignment horizontal="left" vertical="top" wrapText="1"/>
    </xf>
    <xf numFmtId="167" fontId="5" fillId="0" borderId="0" xfId="1" applyNumberFormat="1" applyFont="1"/>
    <xf numFmtId="3" fontId="2" fillId="0" borderId="57" xfId="0" applyNumberFormat="1" applyFont="1" applyBorder="1"/>
    <xf numFmtId="3" fontId="2" fillId="0" borderId="29" xfId="0" applyNumberFormat="1" applyFont="1" applyBorder="1"/>
    <xf numFmtId="3" fontId="2" fillId="0" borderId="58" xfId="0" applyNumberFormat="1" applyFont="1" applyBorder="1"/>
    <xf numFmtId="0" fontId="2" fillId="0" borderId="60" xfId="0" applyFont="1" applyFill="1" applyBorder="1" applyAlignment="1">
      <alignment vertical="center" wrapText="1"/>
    </xf>
    <xf numFmtId="0" fontId="2" fillId="0" borderId="0" xfId="0" applyFont="1" applyFill="1" applyAlignment="1">
      <alignment vertical="center" wrapText="1"/>
    </xf>
    <xf numFmtId="0" fontId="26" fillId="0" borderId="0" xfId="0" applyFont="1" applyFill="1"/>
    <xf numFmtId="5" fontId="2" fillId="0" borderId="0" xfId="0" applyNumberFormat="1" applyFont="1" applyFill="1"/>
    <xf numFmtId="0" fontId="2" fillId="0" borderId="33" xfId="0" applyFont="1" applyBorder="1"/>
    <xf numFmtId="167" fontId="2" fillId="0" borderId="3" xfId="1" applyNumberFormat="1" applyFont="1" applyBorder="1"/>
    <xf numFmtId="167" fontId="2" fillId="0" borderId="0" xfId="1" applyNumberFormat="1" applyFont="1"/>
    <xf numFmtId="167" fontId="2" fillId="0" borderId="0" xfId="1" applyNumberFormat="1" applyFont="1" applyBorder="1"/>
    <xf numFmtId="167" fontId="2" fillId="0" borderId="10" xfId="1" applyNumberFormat="1" applyFont="1" applyBorder="1"/>
    <xf numFmtId="167" fontId="2" fillId="0" borderId="14" xfId="1" applyNumberFormat="1" applyFont="1" applyFill="1" applyBorder="1"/>
    <xf numFmtId="167" fontId="2" fillId="0" borderId="14" xfId="1" applyNumberFormat="1" applyFont="1" applyBorder="1"/>
    <xf numFmtId="0" fontId="2" fillId="0" borderId="36" xfId="0" applyFont="1" applyBorder="1"/>
    <xf numFmtId="1" fontId="5" fillId="0" borderId="0" xfId="0" applyNumberFormat="1" applyFont="1"/>
    <xf numFmtId="0" fontId="0" fillId="0" borderId="0" xfId="0" applyBorder="1" applyAlignment="1">
      <alignment horizontal="center"/>
    </xf>
    <xf numFmtId="3" fontId="3" fillId="0" borderId="0" xfId="3" applyNumberFormat="1" applyFont="1" applyAlignment="1">
      <alignment horizontal="center"/>
    </xf>
    <xf numFmtId="3" fontId="2" fillId="0" borderId="27" xfId="0" applyNumberFormat="1" applyFont="1" applyBorder="1" applyAlignment="1">
      <alignment horizontal="left"/>
    </xf>
    <xf numFmtId="3" fontId="2" fillId="0" borderId="28" xfId="0" applyNumberFormat="1" applyFont="1" applyBorder="1" applyAlignment="1"/>
    <xf numFmtId="3" fontId="2" fillId="0" borderId="31" xfId="0" applyNumberFormat="1" applyFont="1" applyBorder="1" applyAlignment="1"/>
    <xf numFmtId="3" fontId="2" fillId="0" borderId="0" xfId="0" applyNumberFormat="1" applyFont="1" applyBorder="1" applyAlignment="1"/>
    <xf numFmtId="0" fontId="2" fillId="0" borderId="27" xfId="0" applyNumberFormat="1" applyFont="1" applyBorder="1" applyAlignment="1"/>
    <xf numFmtId="3" fontId="2" fillId="0" borderId="28" xfId="0" applyNumberFormat="1" applyFont="1" applyBorder="1" applyAlignment="1">
      <alignment horizontal="center"/>
    </xf>
    <xf numFmtId="3" fontId="2" fillId="0" borderId="26" xfId="0" applyNumberFormat="1" applyFont="1" applyBorder="1" applyAlignment="1"/>
    <xf numFmtId="3" fontId="2" fillId="0" borderId="26" xfId="0" applyNumberFormat="1" applyFont="1" applyBorder="1" applyAlignment="1"/>
    <xf numFmtId="3" fontId="2" fillId="0" borderId="14" xfId="1" applyNumberFormat="1" applyFont="1" applyBorder="1"/>
    <xf numFmtId="3" fontId="2" fillId="0" borderId="0" xfId="0" applyNumberFormat="1" applyFont="1" applyFill="1" applyAlignment="1">
      <alignment horizontal="center"/>
    </xf>
    <xf numFmtId="3" fontId="13" fillId="0" borderId="0" xfId="0" applyNumberFormat="1" applyFont="1" applyFill="1" applyBorder="1" applyAlignment="1"/>
    <xf numFmtId="3" fontId="2" fillId="0" borderId="0" xfId="0" applyNumberFormat="1" applyFont="1" applyFill="1" applyBorder="1" applyAlignment="1">
      <alignment horizontal="right"/>
    </xf>
    <xf numFmtId="167" fontId="2" fillId="0" borderId="0" xfId="0" applyNumberFormat="1" applyFont="1"/>
    <xf numFmtId="167" fontId="3" fillId="0" borderId="30" xfId="1" applyNumberFormat="1" applyFont="1" applyFill="1" applyBorder="1"/>
    <xf numFmtId="167" fontId="2" fillId="0" borderId="13" xfId="1" applyNumberFormat="1" applyFont="1" applyFill="1" applyBorder="1"/>
    <xf numFmtId="3" fontId="2" fillId="0" borderId="27" xfId="0" applyNumberFormat="1" applyFont="1" applyBorder="1" applyAlignment="1"/>
    <xf numFmtId="3" fontId="2" fillId="0" borderId="26" xfId="0" applyNumberFormat="1" applyFont="1" applyBorder="1" applyAlignment="1"/>
    <xf numFmtId="0" fontId="0" fillId="0" borderId="40" xfId="0" applyBorder="1"/>
    <xf numFmtId="3" fontId="2" fillId="0" borderId="105" xfId="0" applyNumberFormat="1" applyFont="1" applyBorder="1" applyAlignment="1"/>
    <xf numFmtId="3" fontId="2" fillId="0" borderId="108" xfId="0" applyNumberFormat="1" applyFont="1" applyBorder="1" applyAlignment="1"/>
    <xf numFmtId="3" fontId="2" fillId="0" borderId="110" xfId="0" applyNumberFormat="1" applyFont="1" applyBorder="1" applyAlignment="1"/>
    <xf numFmtId="3" fontId="2" fillId="0" borderId="111" xfId="0" applyNumberFormat="1" applyFont="1" applyBorder="1" applyAlignment="1"/>
    <xf numFmtId="37" fontId="2" fillId="0" borderId="29" xfId="0" applyNumberFormat="1" applyFont="1" applyBorder="1"/>
    <xf numFmtId="3" fontId="2" fillId="0" borderId="30" xfId="0" applyNumberFormat="1" applyFont="1" applyBorder="1" applyAlignment="1">
      <alignment horizontal="center"/>
    </xf>
    <xf numFmtId="0" fontId="0" fillId="0" borderId="42" xfId="0" applyBorder="1"/>
    <xf numFmtId="0" fontId="0" fillId="0" borderId="27" xfId="0" applyBorder="1"/>
    <xf numFmtId="3" fontId="13" fillId="0" borderId="64" xfId="0" applyNumberFormat="1" applyFont="1" applyFill="1" applyBorder="1" applyAlignment="1">
      <alignment horizontal="center" vertical="center" wrapText="1"/>
    </xf>
    <xf numFmtId="0" fontId="2" fillId="0" borderId="0" xfId="0" applyFont="1" applyFill="1" applyAlignment="1">
      <alignment horizontal="right"/>
    </xf>
    <xf numFmtId="166" fontId="13" fillId="0" borderId="0" xfId="0" applyNumberFormat="1" applyFont="1" applyFill="1" applyBorder="1" applyAlignment="1">
      <alignment horizontal="right"/>
    </xf>
    <xf numFmtId="168" fontId="2" fillId="0" borderId="0" xfId="0" applyNumberFormat="1" applyFont="1" applyBorder="1"/>
    <xf numFmtId="3" fontId="2" fillId="0" borderId="31" xfId="0" applyNumberFormat="1" applyFont="1" applyBorder="1" applyAlignment="1"/>
    <xf numFmtId="0" fontId="4" fillId="0" borderId="0" xfId="0" applyFont="1" applyBorder="1" applyAlignment="1">
      <alignment horizontal="left" vertical="top" wrapText="1"/>
    </xf>
    <xf numFmtId="0" fontId="4" fillId="0" borderId="0" xfId="0" applyFont="1" applyAlignment="1">
      <alignment horizontal="left" vertical="top" wrapText="1"/>
    </xf>
    <xf numFmtId="0" fontId="0" fillId="0" borderId="0" xfId="0" applyAlignment="1">
      <alignment horizontal="left" vertical="top" wrapText="1"/>
    </xf>
    <xf numFmtId="0" fontId="0" fillId="0" borderId="0" xfId="0" applyBorder="1" applyAlignment="1">
      <alignment horizontal="center"/>
    </xf>
    <xf numFmtId="0" fontId="5" fillId="0" borderId="0" xfId="0" applyFont="1" applyFill="1" applyBorder="1" applyAlignment="1">
      <alignment vertical="top" wrapText="1"/>
    </xf>
    <xf numFmtId="167" fontId="5" fillId="0" borderId="0" xfId="1" applyNumberFormat="1" applyFont="1" applyFill="1" applyBorder="1" applyAlignment="1">
      <alignment vertical="top" wrapText="1"/>
    </xf>
    <xf numFmtId="0" fontId="16" fillId="0" borderId="0" xfId="0" applyFont="1" applyFill="1"/>
    <xf numFmtId="0" fontId="5" fillId="0" borderId="0" xfId="0" applyFont="1" applyFill="1" applyBorder="1" applyAlignment="1">
      <alignment horizontal="center"/>
    </xf>
    <xf numFmtId="0" fontId="0" fillId="0" borderId="0" xfId="0" applyFill="1" applyAlignment="1">
      <alignment vertical="top"/>
    </xf>
    <xf numFmtId="0" fontId="3" fillId="0" borderId="1" xfId="0" applyFont="1" applyBorder="1"/>
    <xf numFmtId="3" fontId="2" fillId="0" borderId="26" xfId="0" applyNumberFormat="1" applyFont="1" applyBorder="1" applyAlignment="1"/>
    <xf numFmtId="3" fontId="2" fillId="0" borderId="27" xfId="0" applyNumberFormat="1" applyFont="1" applyBorder="1" applyAlignment="1"/>
    <xf numFmtId="167" fontId="21" fillId="0" borderId="0" xfId="0" applyNumberFormat="1" applyFont="1"/>
    <xf numFmtId="0" fontId="0" fillId="0" borderId="0" xfId="0" applyBorder="1"/>
    <xf numFmtId="0" fontId="2" fillId="0" borderId="2" xfId="0" applyFont="1" applyBorder="1" applyAlignment="1">
      <alignment horizontal="center"/>
    </xf>
    <xf numFmtId="0" fontId="2" fillId="0" borderId="3" xfId="0" applyFont="1" applyBorder="1" applyAlignment="1">
      <alignment horizontal="center"/>
    </xf>
    <xf numFmtId="0" fontId="2" fillId="0" borderId="0" xfId="0" applyFont="1" applyBorder="1"/>
    <xf numFmtId="3" fontId="2" fillId="0" borderId="31" xfId="0" applyNumberFormat="1" applyFont="1" applyBorder="1" applyAlignment="1"/>
    <xf numFmtId="3" fontId="2" fillId="0" borderId="27" xfId="0" applyNumberFormat="1" applyFont="1" applyBorder="1" applyAlignment="1"/>
    <xf numFmtId="3" fontId="2" fillId="0" borderId="26" xfId="0" applyNumberFormat="1" applyFont="1" applyBorder="1" applyAlignment="1"/>
    <xf numFmtId="0" fontId="2" fillId="0" borderId="6" xfId="0" applyFont="1" applyBorder="1"/>
    <xf numFmtId="0" fontId="2" fillId="0" borderId="34" xfId="0" applyFont="1" applyBorder="1"/>
    <xf numFmtId="0" fontId="2" fillId="0" borderId="35" xfId="0" applyFont="1" applyBorder="1"/>
    <xf numFmtId="3" fontId="2" fillId="0" borderId="35" xfId="0" applyNumberFormat="1" applyFont="1" applyBorder="1"/>
    <xf numFmtId="6" fontId="2" fillId="0" borderId="36" xfId="0" applyNumberFormat="1" applyFont="1" applyBorder="1"/>
    <xf numFmtId="3" fontId="2" fillId="0" borderId="62" xfId="0" applyNumberFormat="1" applyFont="1" applyBorder="1"/>
    <xf numFmtId="3" fontId="2" fillId="0" borderId="1" xfId="0" applyNumberFormat="1" applyFont="1" applyBorder="1"/>
    <xf numFmtId="0" fontId="2" fillId="0" borderId="62" xfId="0" applyFont="1" applyBorder="1"/>
    <xf numFmtId="2" fontId="0" fillId="0" borderId="0" xfId="0" applyNumberFormat="1"/>
    <xf numFmtId="3" fontId="2" fillId="0" borderId="32" xfId="0" applyNumberFormat="1" applyFont="1" applyBorder="1" applyAlignment="1">
      <alignment horizontal="left"/>
    </xf>
    <xf numFmtId="0" fontId="2" fillId="0" borderId="0" xfId="0" applyFont="1" applyBorder="1"/>
    <xf numFmtId="0" fontId="3" fillId="0" borderId="0" xfId="0" applyFont="1" applyAlignment="1">
      <alignment horizontal="center"/>
    </xf>
    <xf numFmtId="0" fontId="3" fillId="0" borderId="136" xfId="0" applyFont="1" applyFill="1" applyBorder="1" applyAlignment="1">
      <alignment horizontal="center" vertical="center" wrapText="1"/>
    </xf>
    <xf numFmtId="0" fontId="4" fillId="0" borderId="0" xfId="0" applyFont="1" applyFill="1" applyBorder="1" applyAlignment="1">
      <alignment horizontal="center" vertical="top" wrapText="1"/>
    </xf>
    <xf numFmtId="167" fontId="4" fillId="0" borderId="0" xfId="1" applyNumberFormat="1" applyFont="1" applyFill="1" applyBorder="1" applyAlignment="1">
      <alignment horizontal="center" vertical="top" wrapText="1"/>
    </xf>
    <xf numFmtId="0" fontId="5" fillId="0" borderId="0" xfId="0" applyFont="1" applyFill="1" applyBorder="1" applyAlignment="1">
      <alignment horizontal="right" vertical="top" wrapText="1"/>
    </xf>
    <xf numFmtId="0" fontId="4" fillId="0" borderId="0" xfId="0" applyFont="1" applyFill="1" applyBorder="1" applyAlignment="1">
      <alignment vertical="top" wrapText="1"/>
    </xf>
    <xf numFmtId="167" fontId="4" fillId="0" borderId="0" xfId="1" applyNumberFormat="1" applyFont="1" applyFill="1" applyBorder="1" applyAlignment="1">
      <alignment vertical="top" wrapText="1"/>
    </xf>
    <xf numFmtId="3" fontId="5" fillId="0" borderId="0" xfId="0" applyNumberFormat="1" applyFont="1" applyFill="1" applyBorder="1" applyAlignment="1">
      <alignment vertical="top" wrapText="1"/>
    </xf>
    <xf numFmtId="0" fontId="0" fillId="0" borderId="0" xfId="0" applyFill="1" applyAlignment="1">
      <alignment horizontal="center"/>
    </xf>
    <xf numFmtId="0" fontId="0" fillId="0" borderId="0" xfId="0" applyFill="1" applyBorder="1" applyAlignment="1">
      <alignment horizontal="center"/>
    </xf>
    <xf numFmtId="0" fontId="0" fillId="0" borderId="0" xfId="0" applyFill="1"/>
    <xf numFmtId="3" fontId="3" fillId="0" borderId="0" xfId="3" applyNumberFormat="1" applyFont="1" applyFill="1" applyAlignment="1">
      <alignment horizontal="center"/>
    </xf>
    <xf numFmtId="0" fontId="23" fillId="0" borderId="0" xfId="0" applyFont="1" applyFill="1" applyBorder="1" applyAlignment="1">
      <alignment horizontal="center"/>
    </xf>
    <xf numFmtId="167" fontId="23" fillId="0" borderId="0" xfId="1" applyNumberFormat="1" applyFont="1" applyFill="1" applyBorder="1" applyAlignment="1">
      <alignment horizontal="center"/>
    </xf>
    <xf numFmtId="0" fontId="5" fillId="0" borderId="0" xfId="0" applyFont="1" applyFill="1" applyBorder="1" applyAlignment="1">
      <alignment horizontal="center" vertical="top"/>
    </xf>
    <xf numFmtId="0" fontId="17" fillId="0" borderId="0" xfId="0" applyFont="1" applyFill="1" applyAlignment="1">
      <alignment vertical="top"/>
    </xf>
    <xf numFmtId="0" fontId="29" fillId="0" borderId="0" xfId="0" applyFont="1" applyFill="1"/>
    <xf numFmtId="167" fontId="5" fillId="0" borderId="0" xfId="1" applyNumberFormat="1" applyFont="1" applyFill="1" applyBorder="1" applyAlignment="1">
      <alignment horizontal="left" vertical="top" wrapText="1"/>
    </xf>
    <xf numFmtId="0" fontId="2" fillId="0" borderId="0" xfId="0" applyFont="1" applyBorder="1"/>
    <xf numFmtId="0" fontId="3" fillId="0" borderId="60" xfId="0" applyFont="1" applyBorder="1"/>
    <xf numFmtId="0" fontId="3" fillId="0" borderId="34" xfId="0" applyFont="1" applyBorder="1"/>
    <xf numFmtId="3" fontId="3" fillId="0" borderId="62" xfId="0" applyNumberFormat="1" applyFont="1" applyBorder="1"/>
    <xf numFmtId="0" fontId="2" fillId="0" borderId="0" xfId="0" applyFont="1" applyBorder="1"/>
    <xf numFmtId="1" fontId="2" fillId="0" borderId="14" xfId="0" applyNumberFormat="1" applyFont="1" applyBorder="1"/>
    <xf numFmtId="1" fontId="24" fillId="0" borderId="0" xfId="4" applyNumberFormat="1" applyFont="1"/>
    <xf numFmtId="0" fontId="28" fillId="0" borderId="0" xfId="2" applyFont="1"/>
    <xf numFmtId="0" fontId="11" fillId="0" borderId="0" xfId="0" applyFont="1" applyBorder="1" applyAlignment="1">
      <alignment horizontal="center" vertical="top"/>
    </xf>
    <xf numFmtId="0" fontId="2" fillId="0" borderId="0" xfId="0" applyFont="1" applyAlignment="1">
      <alignment vertical="top"/>
    </xf>
    <xf numFmtId="0" fontId="11" fillId="0" borderId="0" xfId="0" applyFont="1" applyFill="1" applyBorder="1" applyAlignment="1">
      <alignment horizontal="center" vertical="top"/>
    </xf>
    <xf numFmtId="0" fontId="2" fillId="0" borderId="0" xfId="0" applyFont="1" applyFill="1" applyAlignment="1">
      <alignment vertical="top"/>
    </xf>
    <xf numFmtId="0" fontId="5" fillId="0" borderId="0" xfId="0" applyFont="1" applyFill="1" applyAlignment="1">
      <alignment vertical="top"/>
    </xf>
    <xf numFmtId="167" fontId="5" fillId="0" borderId="0" xfId="1" applyNumberFormat="1" applyFont="1" applyFill="1" applyAlignment="1">
      <alignment vertical="top"/>
    </xf>
    <xf numFmtId="0" fontId="3" fillId="0" borderId="33" xfId="0" applyFont="1" applyBorder="1" applyAlignment="1">
      <alignment horizontal="center"/>
    </xf>
    <xf numFmtId="0" fontId="9" fillId="0" borderId="0" xfId="0" applyNumberFormat="1" applyFont="1" applyAlignment="1"/>
    <xf numFmtId="3" fontId="3" fillId="0" borderId="0" xfId="0" applyNumberFormat="1" applyFont="1" applyAlignment="1">
      <alignment horizontal="center"/>
    </xf>
    <xf numFmtId="0" fontId="3" fillId="0" borderId="0" xfId="0" applyFont="1" applyAlignment="1">
      <alignment horizontal="left"/>
    </xf>
    <xf numFmtId="169" fontId="2" fillId="0" borderId="41" xfId="0" applyNumberFormat="1" applyFont="1" applyBorder="1"/>
    <xf numFmtId="169" fontId="2" fillId="0" borderId="31" xfId="0" applyNumberFormat="1" applyFont="1" applyBorder="1"/>
    <xf numFmtId="169" fontId="2" fillId="0" borderId="32" xfId="0" applyNumberFormat="1" applyFont="1" applyBorder="1"/>
    <xf numFmtId="169" fontId="2" fillId="0" borderId="43" xfId="0" applyNumberFormat="1" applyFont="1" applyBorder="1"/>
    <xf numFmtId="169" fontId="2" fillId="0" borderId="42" xfId="0" applyNumberFormat="1" applyFont="1" applyBorder="1"/>
    <xf numFmtId="169" fontId="2" fillId="0" borderId="0" xfId="0" applyNumberFormat="1" applyFont="1" applyBorder="1"/>
    <xf numFmtId="169" fontId="2" fillId="0" borderId="12" xfId="0" applyNumberFormat="1" applyFont="1" applyBorder="1"/>
    <xf numFmtId="169" fontId="2" fillId="0" borderId="42" xfId="0" applyNumberFormat="1" applyFont="1" applyBorder="1" applyAlignment="1">
      <alignment horizontal="right"/>
    </xf>
    <xf numFmtId="169" fontId="2" fillId="0" borderId="0" xfId="0" applyNumberFormat="1" applyFont="1" applyBorder="1" applyAlignment="1">
      <alignment horizontal="right"/>
    </xf>
    <xf numFmtId="169" fontId="2" fillId="0" borderId="0" xfId="1" applyNumberFormat="1" applyFont="1" applyBorder="1"/>
    <xf numFmtId="169" fontId="2" fillId="0" borderId="40" xfId="0" applyNumberFormat="1" applyFont="1" applyBorder="1" applyAlignment="1">
      <alignment horizontal="right"/>
    </xf>
    <xf numFmtId="169" fontId="2" fillId="0" borderId="51" xfId="0" applyNumberFormat="1" applyFont="1" applyBorder="1"/>
    <xf numFmtId="169" fontId="2" fillId="0" borderId="40" xfId="0" applyNumberFormat="1" applyFont="1" applyBorder="1"/>
    <xf numFmtId="169" fontId="3" fillId="0" borderId="26" xfId="0" applyNumberFormat="1" applyFont="1" applyBorder="1"/>
    <xf numFmtId="169" fontId="3" fillId="0" borderId="28" xfId="0" applyNumberFormat="1" applyFont="1" applyBorder="1"/>
    <xf numFmtId="169" fontId="3" fillId="0" borderId="27" xfId="0" applyNumberFormat="1" applyFont="1" applyBorder="1"/>
    <xf numFmtId="169" fontId="2" fillId="0" borderId="26" xfId="0" applyNumberFormat="1" applyFont="1" applyBorder="1"/>
    <xf numFmtId="169" fontId="2" fillId="0" borderId="27" xfId="0" applyNumberFormat="1" applyFont="1" applyBorder="1"/>
    <xf numFmtId="169" fontId="2" fillId="0" borderId="28" xfId="0" applyNumberFormat="1" applyFont="1" applyBorder="1"/>
    <xf numFmtId="169" fontId="2" fillId="0" borderId="51" xfId="0" applyNumberFormat="1" applyFont="1" applyFill="1" applyBorder="1"/>
    <xf numFmtId="169" fontId="2" fillId="0" borderId="12" xfId="0" applyNumberFormat="1" applyFont="1" applyFill="1" applyBorder="1"/>
    <xf numFmtId="169" fontId="2" fillId="0" borderId="12" xfId="0" applyNumberFormat="1" applyFont="1" applyBorder="1" applyAlignment="1">
      <alignment horizontal="right"/>
    </xf>
    <xf numFmtId="169" fontId="2" fillId="0" borderId="51" xfId="0" applyNumberFormat="1" applyFont="1" applyBorder="1" applyAlignment="1">
      <alignment horizontal="right"/>
    </xf>
    <xf numFmtId="169" fontId="3" fillId="0" borderId="40" xfId="0" applyNumberFormat="1" applyFont="1" applyBorder="1"/>
    <xf numFmtId="169" fontId="3" fillId="0" borderId="51" xfId="0" applyNumberFormat="1" applyFont="1" applyBorder="1"/>
    <xf numFmtId="169" fontId="3" fillId="0" borderId="41" xfId="0" applyNumberFormat="1" applyFont="1" applyBorder="1"/>
    <xf numFmtId="169" fontId="3" fillId="0" borderId="0" xfId="0" applyNumberFormat="1" applyFont="1" applyBorder="1"/>
    <xf numFmtId="169" fontId="3" fillId="0" borderId="43" xfId="0" applyNumberFormat="1" applyFont="1" applyBorder="1"/>
    <xf numFmtId="169" fontId="3" fillId="0" borderId="12" xfId="0" applyNumberFormat="1" applyFont="1" applyBorder="1"/>
    <xf numFmtId="169" fontId="2" fillId="0" borderId="26" xfId="0" applyNumberFormat="1" applyFont="1" applyBorder="1" applyAlignment="1">
      <alignment horizontal="center"/>
    </xf>
    <xf numFmtId="170" fontId="2" fillId="0" borderId="51" xfId="0" applyNumberFormat="1" applyFont="1" applyBorder="1"/>
    <xf numFmtId="169" fontId="2" fillId="0" borderId="31" xfId="0" applyNumberFormat="1" applyFont="1" applyBorder="1" applyAlignment="1">
      <alignment horizontal="right"/>
    </xf>
    <xf numFmtId="169" fontId="2" fillId="0" borderId="60" xfId="0" applyNumberFormat="1" applyFont="1" applyFill="1" applyBorder="1"/>
    <xf numFmtId="169" fontId="2" fillId="0" borderId="56" xfId="0" applyNumberFormat="1" applyFont="1" applyFill="1" applyBorder="1" applyAlignment="1">
      <alignment horizontal="center"/>
    </xf>
    <xf numFmtId="169" fontId="7" fillId="0" borderId="67" xfId="0" applyNumberFormat="1" applyFont="1" applyFill="1" applyBorder="1" applyAlignment="1"/>
    <xf numFmtId="169" fontId="7" fillId="0" borderId="68" xfId="0" applyNumberFormat="1" applyFont="1" applyFill="1" applyBorder="1" applyAlignment="1"/>
    <xf numFmtId="169" fontId="7" fillId="0" borderId="83" xfId="0" applyNumberFormat="1" applyFont="1" applyFill="1" applyBorder="1" applyAlignment="1"/>
    <xf numFmtId="169" fontId="7" fillId="0" borderId="67" xfId="0" applyNumberFormat="1" applyFont="1" applyFill="1" applyBorder="1" applyAlignment="1">
      <alignment horizontal="right"/>
    </xf>
    <xf numFmtId="169" fontId="7" fillId="0" borderId="66" xfId="0" applyNumberFormat="1" applyFont="1" applyFill="1" applyBorder="1" applyAlignment="1"/>
    <xf numFmtId="169" fontId="2" fillId="0" borderId="125" xfId="0" applyNumberFormat="1" applyFont="1" applyFill="1" applyBorder="1" applyAlignment="1">
      <alignment horizontal="right"/>
    </xf>
    <xf numFmtId="169" fontId="7" fillId="0" borderId="77" xfId="0" applyNumberFormat="1" applyFont="1" applyFill="1" applyBorder="1" applyAlignment="1"/>
    <xf numFmtId="169" fontId="7" fillId="0" borderId="138" xfId="0" applyNumberFormat="1" applyFont="1" applyFill="1" applyBorder="1" applyAlignment="1"/>
    <xf numFmtId="169" fontId="7" fillId="0" borderId="90" xfId="0" applyNumberFormat="1" applyFont="1" applyFill="1" applyBorder="1" applyAlignment="1"/>
    <xf numFmtId="169" fontId="7" fillId="0" borderId="93" xfId="0" applyNumberFormat="1" applyFont="1" applyFill="1" applyBorder="1" applyAlignment="1"/>
    <xf numFmtId="169" fontId="7" fillId="0" borderId="133" xfId="0" applyNumberFormat="1" applyFont="1" applyFill="1" applyBorder="1" applyAlignment="1"/>
    <xf numFmtId="169" fontId="7" fillId="0" borderId="78" xfId="0" applyNumberFormat="1" applyFont="1" applyFill="1" applyBorder="1" applyAlignment="1"/>
    <xf numFmtId="169" fontId="7" fillId="0" borderId="126" xfId="0" applyNumberFormat="1" applyFont="1" applyFill="1" applyBorder="1" applyAlignment="1"/>
    <xf numFmtId="169" fontId="2" fillId="0" borderId="90" xfId="0" applyNumberFormat="1" applyFont="1" applyFill="1" applyBorder="1"/>
    <xf numFmtId="169" fontId="2" fillId="0" borderId="93" xfId="0" applyNumberFormat="1" applyFont="1" applyFill="1" applyBorder="1" applyAlignment="1">
      <alignment horizontal="center"/>
    </xf>
    <xf numFmtId="169" fontId="2" fillId="0" borderId="126" xfId="0" applyNumberFormat="1" applyFont="1" applyFill="1" applyBorder="1" applyAlignment="1">
      <alignment horizontal="right"/>
    </xf>
    <xf numFmtId="169" fontId="7" fillId="0" borderId="77" xfId="0" applyNumberFormat="1" applyFont="1" applyFill="1" applyBorder="1" applyAlignment="1">
      <alignment horizontal="right"/>
    </xf>
    <xf numFmtId="169" fontId="2" fillId="0" borderId="132" xfId="0" applyNumberFormat="1" applyFont="1" applyFill="1" applyBorder="1"/>
    <xf numFmtId="169" fontId="2" fillId="0" borderId="138" xfId="0" applyNumberFormat="1" applyFont="1" applyFill="1" applyBorder="1"/>
    <xf numFmtId="169" fontId="7" fillId="0" borderId="127" xfId="0" applyNumberFormat="1" applyFont="1" applyFill="1" applyBorder="1" applyAlignment="1"/>
    <xf numFmtId="169" fontId="7" fillId="0" borderId="66" xfId="0" applyNumberFormat="1" applyFont="1" applyFill="1" applyBorder="1" applyAlignment="1">
      <alignment horizontal="right"/>
    </xf>
    <xf numFmtId="169" fontId="7" fillId="0" borderId="13" xfId="0" applyNumberFormat="1" applyFont="1" applyFill="1" applyBorder="1" applyAlignment="1"/>
    <xf numFmtId="169" fontId="7" fillId="0" borderId="14" xfId="0" applyNumberFormat="1" applyFont="1" applyFill="1" applyBorder="1" applyAlignment="1"/>
    <xf numFmtId="169" fontId="2" fillId="0" borderId="92" xfId="1" applyNumberFormat="1" applyFont="1" applyFill="1" applyBorder="1" applyAlignment="1">
      <alignment horizontal="right"/>
    </xf>
    <xf numFmtId="169" fontId="7" fillId="0" borderId="132" xfId="0" applyNumberFormat="1" applyFont="1" applyFill="1" applyBorder="1" applyAlignment="1"/>
    <xf numFmtId="169" fontId="7" fillId="0" borderId="89" xfId="0" applyNumberFormat="1" applyFont="1" applyFill="1" applyBorder="1" applyAlignment="1"/>
    <xf numFmtId="169" fontId="7" fillId="0" borderId="95" xfId="0" applyNumberFormat="1" applyFont="1" applyFill="1" applyBorder="1" applyAlignment="1"/>
    <xf numFmtId="169" fontId="7" fillId="0" borderId="117" xfId="0" applyNumberFormat="1" applyFont="1" applyFill="1" applyBorder="1" applyAlignment="1"/>
    <xf numFmtId="169" fontId="2" fillId="0" borderId="93" xfId="1" applyNumberFormat="1" applyFont="1" applyFill="1" applyBorder="1" applyAlignment="1">
      <alignment horizontal="center"/>
    </xf>
    <xf numFmtId="169" fontId="2" fillId="0" borderId="117" xfId="0" applyNumberFormat="1" applyFont="1" applyFill="1" applyBorder="1" applyAlignment="1">
      <alignment horizontal="right"/>
    </xf>
    <xf numFmtId="169" fontId="7" fillId="0" borderId="91" xfId="0" applyNumberFormat="1" applyFont="1" applyFill="1" applyBorder="1" applyAlignment="1"/>
    <xf numFmtId="169" fontId="7" fillId="0" borderId="121" xfId="0" applyNumberFormat="1" applyFont="1" applyFill="1" applyBorder="1" applyAlignment="1"/>
    <xf numFmtId="169" fontId="7" fillId="0" borderId="119" xfId="0" applyNumberFormat="1" applyFont="1" applyFill="1" applyBorder="1" applyAlignment="1"/>
    <xf numFmtId="169" fontId="7" fillId="0" borderId="79" xfId="0" applyNumberFormat="1" applyFont="1" applyFill="1" applyBorder="1" applyAlignment="1"/>
    <xf numFmtId="169" fontId="2" fillId="0" borderId="80" xfId="0" applyNumberFormat="1" applyFont="1" applyFill="1" applyBorder="1"/>
    <xf numFmtId="169" fontId="2" fillId="0" borderId="74" xfId="0" applyNumberFormat="1" applyFont="1" applyFill="1" applyBorder="1" applyAlignment="1">
      <alignment horizontal="right"/>
    </xf>
    <xf numFmtId="169" fontId="7" fillId="0" borderId="73" xfId="0" applyNumberFormat="1" applyFont="1" applyFill="1" applyBorder="1" applyAlignment="1"/>
    <xf numFmtId="169" fontId="7" fillId="0" borderId="74" xfId="0" applyNumberFormat="1" applyFont="1" applyFill="1" applyBorder="1" applyAlignment="1"/>
    <xf numFmtId="169" fontId="7" fillId="0" borderId="82" xfId="0" applyNumberFormat="1" applyFont="1" applyFill="1" applyBorder="1" applyAlignment="1"/>
    <xf numFmtId="169" fontId="7" fillId="0" borderId="73" xfId="0" applyNumberFormat="1" applyFont="1" applyFill="1" applyBorder="1" applyAlignment="1">
      <alignment horizontal="right"/>
    </xf>
    <xf numFmtId="169" fontId="7" fillId="0" borderId="81" xfId="0" applyNumberFormat="1" applyFont="1" applyFill="1" applyBorder="1" applyAlignment="1">
      <alignment horizontal="right"/>
    </xf>
    <xf numFmtId="169" fontId="2" fillId="0" borderId="128" xfId="0" applyNumberFormat="1" applyFont="1" applyFill="1" applyBorder="1" applyAlignment="1">
      <alignment horizontal="right"/>
    </xf>
    <xf numFmtId="169" fontId="7" fillId="0" borderId="80" xfId="0" applyNumberFormat="1" applyFont="1" applyFill="1" applyBorder="1" applyAlignment="1"/>
    <xf numFmtId="169" fontId="7" fillId="0" borderId="81" xfId="0" applyNumberFormat="1" applyFont="1" applyFill="1" applyBorder="1" applyAlignment="1"/>
    <xf numFmtId="169" fontId="7" fillId="0" borderId="139" xfId="0" applyNumberFormat="1" applyFont="1" applyFill="1" applyBorder="1" applyAlignment="1"/>
    <xf numFmtId="169" fontId="7" fillId="0" borderId="3" xfId="0" applyNumberFormat="1" applyFont="1" applyFill="1" applyBorder="1" applyAlignment="1"/>
    <xf numFmtId="169" fontId="7" fillId="0" borderId="94" xfId="0" applyNumberFormat="1" applyFont="1" applyFill="1" applyBorder="1" applyAlignment="1"/>
    <xf numFmtId="169" fontId="7" fillId="0" borderId="7" xfId="0" applyNumberFormat="1" applyFont="1" applyFill="1" applyBorder="1" applyAlignment="1"/>
    <xf numFmtId="169" fontId="7" fillId="0" borderId="60" xfId="0" applyNumberFormat="1" applyFont="1" applyFill="1" applyBorder="1" applyAlignment="1"/>
    <xf numFmtId="169" fontId="7" fillId="0" borderId="72" xfId="0" applyNumberFormat="1" applyFont="1" applyFill="1" applyBorder="1" applyAlignment="1"/>
    <xf numFmtId="169" fontId="7" fillId="0" borderId="71" xfId="0" applyNumberFormat="1" applyFont="1" applyFill="1" applyBorder="1" applyAlignment="1"/>
    <xf numFmtId="169" fontId="7" fillId="0" borderId="134" xfId="0" applyNumberFormat="1" applyFont="1" applyFill="1" applyBorder="1" applyAlignment="1"/>
    <xf numFmtId="169" fontId="7" fillId="0" borderId="135" xfId="0" applyNumberFormat="1" applyFont="1" applyFill="1" applyBorder="1" applyAlignment="1"/>
    <xf numFmtId="169" fontId="7" fillId="0" borderId="122" xfId="0" applyNumberFormat="1" applyFont="1" applyFill="1" applyBorder="1" applyAlignment="1"/>
    <xf numFmtId="169" fontId="7" fillId="0" borderId="129" xfId="0" applyNumberFormat="1" applyFont="1" applyFill="1" applyBorder="1" applyAlignment="1"/>
    <xf numFmtId="169" fontId="7" fillId="0" borderId="96" xfId="0" applyNumberFormat="1" applyFont="1" applyFill="1" applyBorder="1" applyAlignment="1"/>
    <xf numFmtId="169" fontId="7" fillId="0" borderId="97" xfId="0" applyNumberFormat="1" applyFont="1" applyFill="1" applyBorder="1" applyAlignment="1"/>
    <xf numFmtId="169" fontId="7" fillId="0" borderId="17" xfId="0" applyNumberFormat="1" applyFont="1" applyFill="1" applyBorder="1" applyAlignment="1"/>
    <xf numFmtId="169" fontId="7" fillId="0" borderId="18" xfId="0" applyNumberFormat="1" applyFont="1" applyFill="1" applyBorder="1" applyAlignment="1"/>
    <xf numFmtId="169" fontId="7" fillId="0" borderId="2" xfId="0" applyNumberFormat="1" applyFont="1" applyFill="1" applyBorder="1" applyAlignment="1"/>
    <xf numFmtId="169" fontId="7" fillId="0" borderId="61" xfId="0" applyNumberFormat="1" applyFont="1" applyFill="1" applyBorder="1" applyAlignment="1"/>
    <xf numFmtId="169" fontId="7" fillId="0" borderId="55" xfId="0" applyNumberFormat="1" applyFont="1" applyFill="1" applyBorder="1" applyAlignment="1"/>
    <xf numFmtId="169" fontId="7" fillId="0" borderId="1" xfId="0" applyNumberFormat="1" applyFont="1" applyFill="1" applyBorder="1" applyAlignment="1"/>
    <xf numFmtId="169" fontId="7" fillId="0" borderId="50" xfId="0" applyNumberFormat="1" applyFont="1" applyFill="1" applyBorder="1" applyAlignment="1"/>
    <xf numFmtId="169" fontId="7" fillId="0" borderId="0" xfId="0" applyNumberFormat="1" applyFont="1" applyFill="1" applyBorder="1" applyAlignment="1"/>
    <xf numFmtId="169" fontId="7" fillId="0" borderId="12" xfId="0" applyNumberFormat="1" applyFont="1" applyFill="1" applyBorder="1" applyAlignment="1"/>
    <xf numFmtId="169" fontId="7" fillId="0" borderId="16" xfId="0" applyNumberFormat="1" applyFont="1" applyFill="1" applyBorder="1" applyAlignment="1"/>
    <xf numFmtId="169" fontId="7" fillId="0" borderId="4" xfId="0" applyNumberFormat="1" applyFont="1" applyFill="1" applyBorder="1" applyAlignment="1"/>
    <xf numFmtId="169" fontId="7" fillId="0" borderId="99" xfId="0" applyNumberFormat="1" applyFont="1" applyFill="1" applyBorder="1" applyAlignment="1"/>
    <xf numFmtId="169" fontId="7" fillId="0" borderId="98" xfId="0" applyNumberFormat="1" applyFont="1" applyFill="1" applyBorder="1" applyAlignment="1"/>
    <xf numFmtId="169" fontId="7" fillId="0" borderId="123" xfId="0" applyNumberFormat="1" applyFont="1" applyFill="1" applyBorder="1" applyAlignment="1"/>
    <xf numFmtId="169" fontId="7" fillId="0" borderId="118" xfId="0" applyNumberFormat="1" applyFont="1" applyFill="1" applyBorder="1" applyAlignment="1"/>
    <xf numFmtId="169" fontId="7" fillId="0" borderId="130" xfId="0" applyNumberFormat="1" applyFont="1" applyFill="1" applyBorder="1" applyAlignment="1"/>
    <xf numFmtId="169" fontId="7" fillId="0" borderId="128" xfId="0" applyNumberFormat="1" applyFont="1" applyFill="1" applyBorder="1" applyAlignment="1"/>
    <xf numFmtId="169" fontId="13" fillId="0" borderId="100" xfId="0" applyNumberFormat="1" applyFont="1" applyFill="1" applyBorder="1" applyAlignment="1"/>
    <xf numFmtId="169" fontId="13" fillId="0" borderId="102" xfId="0" applyNumberFormat="1" applyFont="1" applyFill="1" applyBorder="1" applyAlignment="1"/>
    <xf numFmtId="169" fontId="13" fillId="0" borderId="100" xfId="4" applyNumberFormat="1" applyFont="1" applyFill="1" applyBorder="1" applyAlignment="1"/>
    <xf numFmtId="169" fontId="13" fillId="0" borderId="102" xfId="1" applyNumberFormat="1" applyFont="1" applyFill="1" applyBorder="1" applyAlignment="1"/>
    <xf numFmtId="171" fontId="13" fillId="0" borderId="101" xfId="0" applyNumberFormat="1" applyFont="1" applyFill="1" applyBorder="1" applyAlignment="1"/>
    <xf numFmtId="171" fontId="13" fillId="0" borderId="103" xfId="0" applyNumberFormat="1" applyFont="1" applyFill="1" applyBorder="1" applyAlignment="1"/>
    <xf numFmtId="171" fontId="13" fillId="0" borderId="104" xfId="0" applyNumberFormat="1" applyFont="1" applyFill="1" applyBorder="1" applyAlignment="1"/>
    <xf numFmtId="171" fontId="13" fillId="0" borderId="131" xfId="0" applyNumberFormat="1" applyFont="1" applyFill="1" applyBorder="1" applyAlignment="1"/>
    <xf numFmtId="171" fontId="13" fillId="0" borderId="62" xfId="0" applyNumberFormat="1" applyFont="1" applyFill="1" applyBorder="1" applyAlignment="1"/>
    <xf numFmtId="169" fontId="2" fillId="0" borderId="18" xfId="0" applyNumberFormat="1" applyFont="1" applyBorder="1"/>
    <xf numFmtId="172" fontId="2" fillId="0" borderId="15" xfId="0" applyNumberFormat="1" applyFont="1" applyBorder="1"/>
    <xf numFmtId="172" fontId="2" fillId="0" borderId="13" xfId="0" applyNumberFormat="1" applyFont="1" applyBorder="1"/>
    <xf numFmtId="172" fontId="2" fillId="0" borderId="14" xfId="0" applyNumberFormat="1" applyFont="1" applyBorder="1"/>
    <xf numFmtId="172" fontId="2" fillId="0" borderId="12" xfId="0" applyNumberFormat="1" applyFont="1" applyBorder="1"/>
    <xf numFmtId="172" fontId="2" fillId="0" borderId="0" xfId="0" applyNumberFormat="1" applyFont="1" applyBorder="1"/>
    <xf numFmtId="172" fontId="2" fillId="0" borderId="16" xfId="0" applyNumberFormat="1" applyFont="1" applyBorder="1"/>
    <xf numFmtId="172" fontId="2" fillId="0" borderId="57" xfId="0" applyNumberFormat="1" applyFont="1" applyBorder="1"/>
    <xf numFmtId="172" fontId="2" fillId="0" borderId="29" xfId="0" applyNumberFormat="1" applyFont="1" applyBorder="1"/>
    <xf numFmtId="172" fontId="2" fillId="0" borderId="58" xfId="0" applyNumberFormat="1" applyFont="1" applyBorder="1"/>
    <xf numFmtId="172" fontId="2" fillId="0" borderId="51" xfId="0" applyNumberFormat="1" applyFont="1" applyBorder="1"/>
    <xf numFmtId="172" fontId="2" fillId="0" borderId="58" xfId="1" applyNumberFormat="1" applyFont="1" applyBorder="1"/>
    <xf numFmtId="172" fontId="2" fillId="0" borderId="19" xfId="0" applyNumberFormat="1" applyFont="1" applyBorder="1"/>
    <xf numFmtId="172" fontId="2" fillId="0" borderId="18" xfId="0" applyNumberFormat="1" applyFont="1" applyBorder="1"/>
    <xf numFmtId="172" fontId="2" fillId="0" borderId="3" xfId="0" applyNumberFormat="1" applyFont="1" applyBorder="1"/>
    <xf numFmtId="172" fontId="2" fillId="0" borderId="17" xfId="0" applyNumberFormat="1" applyFont="1" applyBorder="1"/>
    <xf numFmtId="172" fontId="2" fillId="0" borderId="2" xfId="0" applyNumberFormat="1" applyFont="1" applyBorder="1"/>
    <xf numFmtId="172" fontId="2" fillId="0" borderId="39" xfId="0" applyNumberFormat="1" applyFont="1" applyBorder="1"/>
    <xf numFmtId="172" fontId="2" fillId="0" borderId="36" xfId="0" applyNumberFormat="1" applyFont="1" applyBorder="1"/>
    <xf numFmtId="171" fontId="2" fillId="0" borderId="14" xfId="0" applyNumberFormat="1" applyFont="1" applyBorder="1"/>
    <xf numFmtId="171" fontId="2" fillId="0" borderId="0" xfId="0" applyNumberFormat="1" applyFont="1" applyBorder="1"/>
    <xf numFmtId="173" fontId="13" fillId="0" borderId="0" xfId="4" applyNumberFormat="1" applyFont="1" applyFill="1" applyBorder="1" applyAlignment="1"/>
    <xf numFmtId="171" fontId="2" fillId="0" borderId="51" xfId="0" applyNumberFormat="1" applyFont="1" applyBorder="1"/>
    <xf numFmtId="171" fontId="2" fillId="0" borderId="26" xfId="0" applyNumberFormat="1" applyFont="1" applyBorder="1" applyAlignment="1"/>
    <xf numFmtId="171" fontId="2" fillId="0" borderId="30" xfId="0" applyNumberFormat="1" applyFont="1" applyBorder="1" applyAlignment="1"/>
    <xf numFmtId="3" fontId="3" fillId="0" borderId="87" xfId="0" applyNumberFormat="1" applyFont="1" applyBorder="1" applyAlignment="1"/>
    <xf numFmtId="171" fontId="3" fillId="0" borderId="87" xfId="0" applyNumberFormat="1" applyFont="1" applyBorder="1" applyAlignment="1"/>
    <xf numFmtId="3" fontId="3" fillId="0" borderId="109" xfId="0" applyNumberFormat="1" applyFont="1" applyBorder="1" applyAlignment="1"/>
    <xf numFmtId="3" fontId="3" fillId="0" borderId="107" xfId="0" applyNumberFormat="1" applyFont="1" applyBorder="1" applyAlignment="1"/>
    <xf numFmtId="171" fontId="3" fillId="0" borderId="107" xfId="0" applyNumberFormat="1" applyFont="1" applyBorder="1" applyAlignment="1"/>
    <xf numFmtId="171" fontId="3" fillId="0" borderId="28" xfId="0" applyNumberFormat="1" applyFont="1" applyBorder="1" applyAlignment="1"/>
    <xf numFmtId="169" fontId="2" fillId="0" borderId="13" xfId="0" applyNumberFormat="1" applyFont="1" applyBorder="1" applyAlignment="1"/>
    <xf numFmtId="169" fontId="2" fillId="0" borderId="110" xfId="0" applyNumberFormat="1" applyFont="1" applyBorder="1" applyAlignment="1"/>
    <xf numFmtId="169" fontId="2" fillId="0" borderId="33" xfId="0" applyNumberFormat="1" applyFont="1" applyBorder="1" applyAlignment="1"/>
    <xf numFmtId="169" fontId="2" fillId="0" borderId="43" xfId="0" applyNumberFormat="1" applyFont="1" applyBorder="1" applyAlignment="1"/>
    <xf numFmtId="169" fontId="2" fillId="0" borderId="13" xfId="0" applyNumberFormat="1" applyFont="1" applyBorder="1" applyAlignment="1">
      <alignment horizontal="right"/>
    </xf>
    <xf numFmtId="169" fontId="2" fillId="0" borderId="0" xfId="0" applyNumberFormat="1" applyFont="1" applyAlignment="1">
      <alignment horizontal="right"/>
    </xf>
    <xf numFmtId="169" fontId="2" fillId="0" borderId="12" xfId="0" applyNumberFormat="1" applyFont="1" applyBorder="1" applyAlignment="1"/>
    <xf numFmtId="169" fontId="2" fillId="0" borderId="106" xfId="0" applyNumberFormat="1" applyFont="1" applyBorder="1" applyAlignment="1"/>
    <xf numFmtId="169" fontId="2" fillId="0" borderId="29" xfId="0" applyNumberFormat="1" applyFont="1" applyBorder="1" applyAlignment="1"/>
    <xf numFmtId="169" fontId="2" fillId="0" borderId="51" xfId="0" applyNumberFormat="1" applyFont="1" applyBorder="1" applyAlignment="1"/>
    <xf numFmtId="169" fontId="2" fillId="0" borderId="30" xfId="0" applyNumberFormat="1" applyFont="1" applyBorder="1" applyAlignment="1"/>
    <xf numFmtId="169" fontId="3" fillId="0" borderId="30" xfId="0" applyNumberFormat="1" applyFont="1" applyBorder="1"/>
    <xf numFmtId="169" fontId="2" fillId="0" borderId="24" xfId="0" applyNumberFormat="1" applyFont="1" applyBorder="1" applyAlignment="1"/>
    <xf numFmtId="169" fontId="0" fillId="0" borderId="24" xfId="0" applyNumberFormat="1" applyBorder="1"/>
    <xf numFmtId="169" fontId="2" fillId="0" borderId="24" xfId="1" applyNumberFormat="1" applyFont="1" applyBorder="1"/>
    <xf numFmtId="169" fontId="0" fillId="0" borderId="18" xfId="0" applyNumberFormat="1" applyBorder="1"/>
    <xf numFmtId="169" fontId="3" fillId="0" borderId="38" xfId="0" applyNumberFormat="1" applyFont="1" applyBorder="1" applyAlignment="1">
      <alignment horizontal="right"/>
    </xf>
    <xf numFmtId="169" fontId="3" fillId="0" borderId="37" xfId="0" applyNumberFormat="1" applyFont="1" applyBorder="1" applyAlignment="1">
      <alignment horizontal="right"/>
    </xf>
    <xf numFmtId="169" fontId="3" fillId="0" borderId="9" xfId="0" applyNumberFormat="1" applyFont="1" applyBorder="1" applyAlignment="1">
      <alignment horizontal="right"/>
    </xf>
    <xf numFmtId="169" fontId="2" fillId="0" borderId="30" xfId="0" applyNumberFormat="1" applyFont="1" applyBorder="1" applyAlignment="1">
      <alignment horizontal="right"/>
    </xf>
    <xf numFmtId="169" fontId="2" fillId="0" borderId="33" xfId="0" applyNumberFormat="1" applyFont="1" applyBorder="1" applyAlignment="1">
      <alignment horizontal="right"/>
    </xf>
    <xf numFmtId="169" fontId="2" fillId="0" borderId="24" xfId="0" applyNumberFormat="1" applyFont="1" applyBorder="1" applyAlignment="1">
      <alignment horizontal="right"/>
    </xf>
    <xf numFmtId="169" fontId="2" fillId="0" borderId="9" xfId="0" applyNumberFormat="1" applyFont="1" applyBorder="1" applyAlignment="1">
      <alignment horizontal="right"/>
    </xf>
    <xf numFmtId="169" fontId="2" fillId="0" borderId="29" xfId="0" applyNumberFormat="1" applyFont="1" applyBorder="1" applyAlignment="1">
      <alignment horizontal="right"/>
    </xf>
    <xf numFmtId="169" fontId="2" fillId="0" borderId="38" xfId="0" applyNumberFormat="1" applyFont="1" applyBorder="1" applyAlignment="1">
      <alignment horizontal="right"/>
    </xf>
    <xf numFmtId="169" fontId="2" fillId="0" borderId="38" xfId="0" applyNumberFormat="1" applyFont="1" applyBorder="1" applyAlignment="1"/>
    <xf numFmtId="169" fontId="3" fillId="0" borderId="38" xfId="0" applyNumberFormat="1" applyFont="1" applyBorder="1" applyAlignment="1"/>
    <xf numFmtId="169" fontId="2" fillId="0" borderId="30" xfId="1" applyNumberFormat="1" applyFont="1" applyBorder="1" applyAlignment="1"/>
    <xf numFmtId="169" fontId="3" fillId="0" borderId="30" xfId="1" applyNumberFormat="1" applyFont="1" applyBorder="1"/>
    <xf numFmtId="169" fontId="2" fillId="0" borderId="29" xfId="1" applyNumberFormat="1" applyFont="1" applyBorder="1" applyAlignment="1"/>
    <xf numFmtId="169" fontId="2" fillId="0" borderId="24" xfId="0" applyNumberFormat="1" applyFont="1" applyBorder="1"/>
    <xf numFmtId="169" fontId="2" fillId="0" borderId="30" xfId="0" applyNumberFormat="1" applyFont="1" applyBorder="1"/>
    <xf numFmtId="169" fontId="2" fillId="0" borderId="18" xfId="0" applyNumberFormat="1" applyFont="1" applyBorder="1" applyAlignment="1">
      <alignment horizontal="right"/>
    </xf>
    <xf numFmtId="171" fontId="3" fillId="0" borderId="38" xfId="0" applyNumberFormat="1" applyFont="1" applyBorder="1" applyAlignment="1"/>
    <xf numFmtId="172" fontId="2" fillId="0" borderId="42" xfId="0" applyNumberFormat="1" applyFont="1" applyBorder="1"/>
    <xf numFmtId="172" fontId="2" fillId="0" borderId="0" xfId="0" applyNumberFormat="1" applyFont="1" applyBorder="1" applyAlignment="1">
      <alignment horizontal="right"/>
    </xf>
    <xf numFmtId="172" fontId="2" fillId="0" borderId="31" xfId="0" applyNumberFormat="1" applyFont="1" applyBorder="1"/>
    <xf numFmtId="172" fontId="2" fillId="0" borderId="32" xfId="0" applyNumberFormat="1" applyFont="1" applyBorder="1"/>
    <xf numFmtId="172" fontId="2" fillId="0" borderId="12" xfId="1" applyNumberFormat="1" applyFont="1" applyBorder="1"/>
    <xf numFmtId="172" fontId="2" fillId="0" borderId="13" xfId="4" applyNumberFormat="1" applyFont="1" applyBorder="1" applyAlignment="1">
      <alignment horizontal="right"/>
    </xf>
    <xf numFmtId="172" fontId="2" fillId="0" borderId="43" xfId="1" applyNumberFormat="1" applyFont="1" applyBorder="1"/>
    <xf numFmtId="172" fontId="2" fillId="0" borderId="13" xfId="0" applyNumberFormat="1" applyFont="1" applyBorder="1" applyAlignment="1">
      <alignment horizontal="right"/>
    </xf>
    <xf numFmtId="172" fontId="2" fillId="0" borderId="40" xfId="0" applyNumberFormat="1" applyFont="1" applyBorder="1"/>
    <xf numFmtId="172" fontId="2" fillId="0" borderId="41" xfId="0" applyNumberFormat="1" applyFont="1" applyBorder="1"/>
    <xf numFmtId="172" fontId="2" fillId="0" borderId="51" xfId="0" applyNumberFormat="1" applyFont="1" applyBorder="1" applyAlignment="1">
      <alignment horizontal="right"/>
    </xf>
    <xf numFmtId="172" fontId="3" fillId="0" borderId="40" xfId="0" applyNumberFormat="1" applyFont="1" applyBorder="1"/>
    <xf numFmtId="172" fontId="3" fillId="0" borderId="41" xfId="0" applyNumberFormat="1" applyFont="1" applyBorder="1"/>
    <xf numFmtId="172" fontId="3" fillId="0" borderId="26" xfId="0" applyNumberFormat="1" applyFont="1" applyBorder="1"/>
    <xf numFmtId="172" fontId="3" fillId="0" borderId="27" xfId="0" applyNumberFormat="1" applyFont="1" applyBorder="1"/>
    <xf numFmtId="172" fontId="3" fillId="0" borderId="28" xfId="0" applyNumberFormat="1" applyFont="1" applyBorder="1"/>
    <xf numFmtId="172" fontId="3" fillId="0" borderId="30" xfId="0" applyNumberFormat="1" applyFont="1" applyBorder="1" applyAlignment="1">
      <alignment horizontal="right"/>
    </xf>
    <xf numFmtId="172" fontId="2" fillId="0" borderId="26" xfId="0" applyNumberFormat="1" applyFont="1" applyBorder="1"/>
    <xf numFmtId="172" fontId="2" fillId="0" borderId="27" xfId="0" applyNumberFormat="1" applyFont="1" applyBorder="1"/>
    <xf numFmtId="172" fontId="2" fillId="0" borderId="28" xfId="0" applyNumberFormat="1" applyFont="1" applyBorder="1"/>
    <xf numFmtId="172" fontId="2" fillId="0" borderId="30" xfId="0" applyNumberFormat="1" applyFont="1" applyBorder="1"/>
    <xf numFmtId="169" fontId="2" fillId="0" borderId="140" xfId="0" applyNumberFormat="1" applyFont="1" applyFill="1" applyBorder="1" applyAlignment="1">
      <alignment horizontal="right"/>
    </xf>
    <xf numFmtId="169" fontId="7" fillId="0" borderId="90" xfId="0" applyNumberFormat="1" applyFont="1" applyFill="1" applyBorder="1" applyAlignment="1">
      <alignment horizontal="right"/>
    </xf>
    <xf numFmtId="169" fontId="2" fillId="0" borderId="90" xfId="0" applyNumberFormat="1" applyFont="1" applyFill="1" applyBorder="1" applyAlignment="1">
      <alignment horizontal="right"/>
    </xf>
    <xf numFmtId="169" fontId="7" fillId="0" borderId="141" xfId="0" applyNumberFormat="1" applyFont="1" applyFill="1" applyBorder="1" applyAlignment="1">
      <alignment horizontal="right"/>
    </xf>
    <xf numFmtId="169" fontId="7" fillId="0" borderId="80" xfId="0" applyNumberFormat="1" applyFont="1" applyFill="1" applyBorder="1" applyAlignment="1">
      <alignment horizontal="right"/>
    </xf>
    <xf numFmtId="169" fontId="7" fillId="0" borderId="60" xfId="0" applyNumberFormat="1" applyFont="1" applyFill="1" applyBorder="1" applyAlignment="1">
      <alignment horizontal="right"/>
    </xf>
    <xf numFmtId="169" fontId="7" fillId="0" borderId="55" xfId="0" applyNumberFormat="1" applyFont="1" applyFill="1" applyBorder="1" applyAlignment="1">
      <alignment horizontal="right"/>
    </xf>
    <xf numFmtId="169" fontId="13" fillId="0" borderId="100" xfId="0" applyNumberFormat="1" applyFont="1" applyFill="1" applyBorder="1" applyAlignment="1">
      <alignment horizontal="right"/>
    </xf>
    <xf numFmtId="3" fontId="13" fillId="0" borderId="58" xfId="0" applyNumberFormat="1" applyFont="1" applyFill="1" applyBorder="1" applyAlignment="1">
      <alignment horizontal="center" vertical="center" wrapText="1"/>
    </xf>
    <xf numFmtId="0" fontId="3" fillId="0" borderId="0" xfId="0" applyFont="1" applyAlignment="1">
      <alignment vertical="distributed"/>
    </xf>
    <xf numFmtId="0" fontId="2" fillId="0" borderId="0" xfId="0" applyFont="1" applyAlignment="1">
      <alignment vertical="distributed"/>
    </xf>
    <xf numFmtId="0" fontId="2" fillId="0" borderId="0" xfId="0" applyFont="1" applyFill="1" applyAlignment="1">
      <alignment vertical="distributed"/>
    </xf>
    <xf numFmtId="0" fontId="22" fillId="0" borderId="0" xfId="2" applyFont="1" applyAlignment="1">
      <alignment vertical="distributed"/>
    </xf>
    <xf numFmtId="0" fontId="21" fillId="0" borderId="0" xfId="0" applyFont="1" applyAlignment="1">
      <alignment vertical="distributed"/>
    </xf>
    <xf numFmtId="3" fontId="13" fillId="0" borderId="2" xfId="0" applyNumberFormat="1" applyFont="1" applyFill="1" applyBorder="1" applyAlignment="1">
      <alignment horizontal="center" vertical="center" wrapText="1"/>
    </xf>
    <xf numFmtId="3" fontId="13" fillId="0" borderId="55" xfId="0" applyNumberFormat="1" applyFont="1" applyFill="1" applyBorder="1" applyAlignment="1">
      <alignment horizontal="center" vertical="center"/>
    </xf>
    <xf numFmtId="3" fontId="13" fillId="0" borderId="25" xfId="0" applyNumberFormat="1" applyFont="1" applyFill="1" applyBorder="1" applyAlignment="1">
      <alignment horizontal="center" vertical="center"/>
    </xf>
    <xf numFmtId="3" fontId="13" fillId="0" borderId="75" xfId="0" applyNumberFormat="1" applyFont="1" applyFill="1" applyBorder="1" applyAlignment="1">
      <alignment horizontal="center" vertical="center"/>
    </xf>
    <xf numFmtId="3" fontId="13" fillId="0" borderId="17" xfId="0" applyNumberFormat="1" applyFont="1" applyFill="1" applyBorder="1" applyAlignment="1">
      <alignment horizontal="center" vertical="center"/>
    </xf>
    <xf numFmtId="3" fontId="13" fillId="0" borderId="3" xfId="0" applyNumberFormat="1" applyFont="1" applyFill="1" applyBorder="1" applyAlignment="1">
      <alignment horizontal="center" vertical="center"/>
    </xf>
    <xf numFmtId="3" fontId="13" fillId="0" borderId="124" xfId="0" applyNumberFormat="1" applyFont="1" applyFill="1" applyBorder="1" applyAlignment="1">
      <alignment horizontal="center" vertical="center"/>
    </xf>
    <xf numFmtId="3" fontId="13" fillId="0" borderId="120" xfId="0" applyNumberFormat="1" applyFont="1" applyFill="1" applyBorder="1" applyAlignment="1">
      <alignment horizontal="center" vertical="center"/>
    </xf>
    <xf numFmtId="3" fontId="13" fillId="0" borderId="137" xfId="0" applyNumberFormat="1" applyFont="1" applyFill="1" applyBorder="1" applyAlignment="1">
      <alignment horizontal="center" vertical="center"/>
    </xf>
    <xf numFmtId="3" fontId="13" fillId="0" borderId="76" xfId="0" applyNumberFormat="1" applyFont="1" applyFill="1" applyBorder="1" applyAlignment="1">
      <alignment horizontal="center" vertical="center"/>
    </xf>
    <xf numFmtId="0" fontId="10" fillId="0" borderId="0" xfId="0" applyFont="1"/>
    <xf numFmtId="0" fontId="19" fillId="0" borderId="0" xfId="0" applyFont="1" applyAlignment="1">
      <alignment horizontal="left" vertical="top"/>
    </xf>
    <xf numFmtId="0" fontId="10" fillId="0" borderId="0" xfId="0" applyFont="1" applyAlignment="1">
      <alignment vertical="top"/>
    </xf>
    <xf numFmtId="0" fontId="26" fillId="0" borderId="0" xfId="0" applyFont="1"/>
    <xf numFmtId="0" fontId="10" fillId="0" borderId="0" xfId="0" applyFont="1" applyAlignment="1">
      <alignment horizontal="left" vertical="top"/>
    </xf>
    <xf numFmtId="41" fontId="10" fillId="0" borderId="0" xfId="0" applyNumberFormat="1" applyFont="1" applyAlignment="1">
      <alignment vertical="top"/>
    </xf>
    <xf numFmtId="0" fontId="10" fillId="0" borderId="0" xfId="0" applyFont="1" applyAlignment="1">
      <alignment horizontal="left"/>
    </xf>
    <xf numFmtId="0" fontId="10" fillId="0" borderId="0" xfId="0" applyFont="1" applyAlignment="1"/>
    <xf numFmtId="0" fontId="22" fillId="0" borderId="0" xfId="2" applyFont="1" applyAlignment="1">
      <alignment vertical="top"/>
    </xf>
    <xf numFmtId="0" fontId="32" fillId="0" borderId="0" xfId="0" applyFont="1" applyFill="1"/>
    <xf numFmtId="0" fontId="21" fillId="0" borderId="0" xfId="0" applyFont="1" applyFill="1"/>
    <xf numFmtId="0" fontId="26" fillId="0" borderId="5" xfId="0" applyFont="1" applyFill="1" applyBorder="1" applyAlignment="1">
      <alignment vertical="center"/>
    </xf>
    <xf numFmtId="0" fontId="3" fillId="0" borderId="0" xfId="5" applyFont="1" applyAlignment="1">
      <alignment vertical="top"/>
    </xf>
    <xf numFmtId="0" fontId="2" fillId="0" borderId="0" xfId="5" applyFont="1" applyAlignment="1">
      <alignment vertical="top"/>
    </xf>
    <xf numFmtId="0" fontId="3" fillId="0" borderId="0" xfId="5" applyFont="1" applyAlignment="1">
      <alignment horizontal="left" vertical="top" indent="1"/>
    </xf>
    <xf numFmtId="0" fontId="34" fillId="0" borderId="0" xfId="5" applyFont="1" applyAlignment="1">
      <alignment vertical="top"/>
    </xf>
    <xf numFmtId="0" fontId="21" fillId="0" borderId="0" xfId="5" applyFont="1" applyAlignment="1">
      <alignment horizontal="left" vertical="top"/>
    </xf>
    <xf numFmtId="0" fontId="21" fillId="0" borderId="0" xfId="5" applyFont="1" applyAlignment="1">
      <alignment vertical="top"/>
    </xf>
    <xf numFmtId="0" fontId="34" fillId="0" borderId="0" xfId="5" applyFont="1" applyAlignment="1">
      <alignment horizontal="right" vertical="top"/>
    </xf>
    <xf numFmtId="0" fontId="34" fillId="0" borderId="0" xfId="5" applyFont="1" applyAlignment="1">
      <alignment horizontal="left" vertical="top"/>
    </xf>
    <xf numFmtId="0" fontId="34" fillId="0" borderId="0" xfId="5" applyFont="1" applyBorder="1" applyAlignment="1">
      <alignment horizontal="right" vertical="top" wrapText="1"/>
    </xf>
    <xf numFmtId="0" fontId="34" fillId="0" borderId="0" xfId="5" applyFont="1" applyBorder="1" applyAlignment="1">
      <alignment horizontal="right" vertical="top"/>
    </xf>
    <xf numFmtId="0" fontId="34" fillId="0" borderId="0" xfId="5" applyFont="1" applyBorder="1" applyAlignment="1">
      <alignment vertical="top" wrapText="1"/>
    </xf>
    <xf numFmtId="0" fontId="34" fillId="0" borderId="0" xfId="5" applyFont="1" applyBorder="1" applyAlignment="1">
      <alignment vertical="top"/>
    </xf>
    <xf numFmtId="0" fontId="34" fillId="0" borderId="26" xfId="5" applyFont="1" applyBorder="1" applyAlignment="1">
      <alignment horizontal="right" vertical="top"/>
    </xf>
    <xf numFmtId="169" fontId="34" fillId="0" borderId="30" xfId="5" applyNumberFormat="1" applyFont="1" applyBorder="1" applyAlignment="1">
      <alignment vertical="top"/>
    </xf>
    <xf numFmtId="174" fontId="34" fillId="0" borderId="30" xfId="6" applyNumberFormat="1" applyFont="1" applyBorder="1" applyAlignment="1">
      <alignment vertical="top"/>
    </xf>
    <xf numFmtId="0" fontId="34" fillId="0" borderId="30" xfId="5" applyFont="1" applyBorder="1" applyAlignment="1">
      <alignment vertical="top"/>
    </xf>
    <xf numFmtId="0" fontId="34" fillId="0" borderId="30" xfId="5" applyFont="1" applyBorder="1" applyAlignment="1">
      <alignment horizontal="justify" vertical="top"/>
    </xf>
    <xf numFmtId="0" fontId="2" fillId="0" borderId="63" xfId="0" applyFont="1" applyBorder="1"/>
    <xf numFmtId="0" fontId="2" fillId="0" borderId="142" xfId="0" applyFont="1" applyBorder="1"/>
    <xf numFmtId="3" fontId="3" fillId="0" borderId="0" xfId="0" applyNumberFormat="1" applyFont="1" applyAlignment="1">
      <alignment horizontal="center"/>
    </xf>
    <xf numFmtId="3" fontId="3" fillId="0" borderId="26" xfId="0" applyNumberFormat="1" applyFont="1" applyBorder="1" applyAlignment="1"/>
    <xf numFmtId="3" fontId="2" fillId="0" borderId="26" xfId="0" applyNumberFormat="1" applyFont="1" applyBorder="1" applyAlignment="1"/>
    <xf numFmtId="0" fontId="3" fillId="0" borderId="0" xfId="0" applyFont="1" applyFill="1"/>
    <xf numFmtId="0" fontId="35" fillId="0" borderId="0" xfId="0" applyFont="1" applyFill="1"/>
    <xf numFmtId="0" fontId="36" fillId="0" borderId="0" xfId="0" applyFont="1" applyFill="1"/>
    <xf numFmtId="3" fontId="3" fillId="0" borderId="0" xfId="5" applyNumberFormat="1" applyFont="1" applyFill="1" applyAlignment="1"/>
    <xf numFmtId="0" fontId="2" fillId="0" borderId="0" xfId="12" applyFont="1" applyFill="1"/>
    <xf numFmtId="0" fontId="2" fillId="0" borderId="0" xfId="13" applyFont="1" applyFill="1"/>
    <xf numFmtId="0" fontId="3" fillId="0" borderId="0" xfId="13" applyFont="1" applyFill="1"/>
    <xf numFmtId="0" fontId="38" fillId="0" borderId="0" xfId="13" applyFont="1" applyFill="1"/>
    <xf numFmtId="0" fontId="2" fillId="0" borderId="0" xfId="13" applyFont="1" applyFill="1" applyAlignment="1">
      <alignment wrapText="1"/>
    </xf>
    <xf numFmtId="0" fontId="2" fillId="0" borderId="0" xfId="12" applyFont="1" applyFill="1" applyAlignment="1">
      <alignment wrapText="1"/>
    </xf>
    <xf numFmtId="0" fontId="2" fillId="0" borderId="0" xfId="12" applyFont="1" applyFill="1" applyAlignment="1">
      <alignment vertical="top" wrapText="1"/>
    </xf>
    <xf numFmtId="0" fontId="39" fillId="0" borderId="0" xfId="0" applyFont="1" applyFill="1"/>
    <xf numFmtId="0" fontId="35" fillId="0" borderId="0" xfId="0" applyFont="1" applyAlignment="1">
      <alignment vertical="center" wrapText="1"/>
    </xf>
    <xf numFmtId="169" fontId="3" fillId="0" borderId="30" xfId="0" applyNumberFormat="1" applyFont="1" applyFill="1" applyBorder="1"/>
    <xf numFmtId="169" fontId="2" fillId="0" borderId="110" xfId="0" applyNumberFormat="1" applyFont="1" applyBorder="1" applyAlignment="1">
      <alignment horizontal="right"/>
    </xf>
    <xf numFmtId="169" fontId="2" fillId="0" borderId="106" xfId="0" applyNumberFormat="1" applyFont="1" applyBorder="1" applyAlignment="1">
      <alignment horizontal="right"/>
    </xf>
    <xf numFmtId="1" fontId="2" fillId="0" borderId="51" xfId="4" applyNumberFormat="1" applyFont="1" applyBorder="1"/>
    <xf numFmtId="1" fontId="2" fillId="0" borderId="26" xfId="0" applyNumberFormat="1" applyFont="1" applyBorder="1" applyAlignment="1"/>
    <xf numFmtId="1" fontId="2" fillId="0" borderId="51" xfId="0" applyNumberFormat="1" applyFont="1" applyBorder="1"/>
    <xf numFmtId="165" fontId="3" fillId="0" borderId="107" xfId="0" applyNumberFormat="1" applyFont="1" applyBorder="1" applyAlignment="1"/>
    <xf numFmtId="165" fontId="2" fillId="0" borderId="51" xfId="0" applyNumberFormat="1" applyFont="1" applyBorder="1"/>
    <xf numFmtId="165" fontId="2" fillId="0" borderId="26" xfId="0" applyNumberFormat="1" applyFont="1" applyBorder="1" applyAlignment="1"/>
    <xf numFmtId="166" fontId="3" fillId="0" borderId="109" xfId="0" applyNumberFormat="1" applyFont="1" applyBorder="1" applyAlignment="1"/>
    <xf numFmtId="166" fontId="2" fillId="0" borderId="29" xfId="0" applyNumberFormat="1" applyFont="1" applyBorder="1"/>
    <xf numFmtId="166" fontId="2" fillId="0" borderId="26" xfId="0" applyNumberFormat="1" applyFont="1" applyBorder="1" applyAlignment="1"/>
    <xf numFmtId="165" fontId="3" fillId="0" borderId="107" xfId="4" applyNumberFormat="1" applyFont="1" applyBorder="1" applyAlignment="1"/>
    <xf numFmtId="0" fontId="34" fillId="0" borderId="0" xfId="0" applyFont="1"/>
    <xf numFmtId="0" fontId="34" fillId="0" borderId="0" xfId="0" applyFont="1" applyBorder="1"/>
    <xf numFmtId="0" fontId="31" fillId="0" borderId="0" xfId="0" applyFont="1" applyBorder="1"/>
    <xf numFmtId="0" fontId="34" fillId="0" borderId="14" xfId="0" applyFont="1" applyBorder="1" applyAlignment="1">
      <alignment horizontal="center"/>
    </xf>
    <xf numFmtId="0" fontId="34" fillId="0" borderId="0" xfId="0" applyFont="1" applyBorder="1" applyAlignment="1">
      <alignment horizontal="center"/>
    </xf>
    <xf numFmtId="0" fontId="31" fillId="0" borderId="5" xfId="0" applyFont="1" applyBorder="1" applyAlignment="1">
      <alignment wrapText="1"/>
    </xf>
    <xf numFmtId="0" fontId="31" fillId="0" borderId="60" xfId="0" applyFont="1" applyBorder="1" applyAlignment="1">
      <alignment wrapText="1"/>
    </xf>
    <xf numFmtId="0" fontId="34" fillId="0" borderId="60" xfId="0" applyFont="1" applyBorder="1" applyAlignment="1">
      <alignment wrapText="1"/>
    </xf>
    <xf numFmtId="37" fontId="34" fillId="0" borderId="14" xfId="0" applyNumberFormat="1" applyFont="1" applyBorder="1"/>
    <xf numFmtId="37" fontId="34" fillId="0" borderId="0" xfId="0" applyNumberFormat="1" applyFont="1" applyBorder="1"/>
    <xf numFmtId="3" fontId="34" fillId="0" borderId="3" xfId="0" applyNumberFormat="1" applyFont="1" applyBorder="1"/>
    <xf numFmtId="3" fontId="34" fillId="0" borderId="0" xfId="0" applyNumberFormat="1" applyFont="1" applyBorder="1"/>
    <xf numFmtId="37" fontId="34" fillId="0" borderId="17" xfId="0" applyNumberFormat="1" applyFont="1" applyBorder="1"/>
    <xf numFmtId="37" fontId="34" fillId="0" borderId="3" xfId="0" applyNumberFormat="1" applyFont="1" applyBorder="1"/>
    <xf numFmtId="3" fontId="34" fillId="0" borderId="17" xfId="0" applyNumberFormat="1" applyFont="1" applyBorder="1"/>
    <xf numFmtId="0" fontId="31" fillId="0" borderId="55" xfId="0" applyFont="1" applyBorder="1"/>
    <xf numFmtId="0" fontId="31" fillId="0" borderId="4" xfId="0" applyFont="1" applyBorder="1"/>
    <xf numFmtId="37" fontId="34" fillId="0" borderId="34" xfId="0" applyNumberFormat="1" applyFont="1" applyBorder="1"/>
    <xf numFmtId="175" fontId="34" fillId="0" borderId="55" xfId="0" applyNumberFormat="1" applyFont="1" applyBorder="1" applyAlignment="1">
      <alignment horizontal="right"/>
    </xf>
    <xf numFmtId="175" fontId="34" fillId="0" borderId="0" xfId="0" applyNumberFormat="1" applyFont="1" applyBorder="1"/>
    <xf numFmtId="175" fontId="34" fillId="0" borderId="55" xfId="0" applyNumberFormat="1" applyFont="1" applyBorder="1"/>
    <xf numFmtId="37" fontId="34" fillId="0" borderId="55" xfId="0" applyNumberFormat="1" applyFont="1" applyBorder="1" applyAlignment="1"/>
    <xf numFmtId="37" fontId="34" fillId="0" borderId="55" xfId="0" applyNumberFormat="1" applyFont="1" applyBorder="1"/>
    <xf numFmtId="175" fontId="34" fillId="0" borderId="3" xfId="0" applyNumberFormat="1" applyFont="1" applyBorder="1"/>
    <xf numFmtId="0" fontId="31" fillId="0" borderId="60" xfId="0" applyFont="1" applyBorder="1"/>
    <xf numFmtId="175" fontId="34" fillId="0" borderId="14" xfId="0" applyNumberFormat="1" applyFont="1" applyBorder="1"/>
    <xf numFmtId="3" fontId="34" fillId="0" borderId="14" xfId="0" applyNumberFormat="1" applyFont="1" applyBorder="1"/>
    <xf numFmtId="3" fontId="34" fillId="0" borderId="12" xfId="0" applyNumberFormat="1" applyFont="1" applyBorder="1"/>
    <xf numFmtId="0" fontId="34" fillId="0" borderId="35" xfId="0" applyFont="1" applyBorder="1"/>
    <xf numFmtId="3" fontId="34" fillId="0" borderId="2" xfId="0" applyNumberFormat="1" applyFont="1" applyBorder="1"/>
    <xf numFmtId="41" fontId="34" fillId="0" borderId="35" xfId="0" applyNumberFormat="1" applyFont="1" applyBorder="1"/>
    <xf numFmtId="41" fontId="34" fillId="0" borderId="0" xfId="0" applyNumberFormat="1" applyFont="1" applyBorder="1"/>
    <xf numFmtId="3" fontId="34" fillId="0" borderId="35" xfId="0" applyNumberFormat="1" applyFont="1" applyBorder="1"/>
    <xf numFmtId="3" fontId="31" fillId="0" borderId="15" xfId="0" applyNumberFormat="1" applyFont="1" applyBorder="1"/>
    <xf numFmtId="0" fontId="31" fillId="0" borderId="0" xfId="0" applyFont="1"/>
    <xf numFmtId="0" fontId="2" fillId="0" borderId="41" xfId="0" applyFont="1" applyBorder="1"/>
    <xf numFmtId="6" fontId="2" fillId="0" borderId="12" xfId="0" applyNumberFormat="1" applyFont="1" applyBorder="1"/>
    <xf numFmtId="38" fontId="2" fillId="0" borderId="12" xfId="0" applyNumberFormat="1" applyFont="1" applyBorder="1"/>
    <xf numFmtId="37" fontId="2" fillId="0" borderId="41" xfId="0" applyNumberFormat="1" applyFont="1" applyBorder="1"/>
    <xf numFmtId="37" fontId="2" fillId="0" borderId="51" xfId="0" applyNumberFormat="1" applyFont="1" applyBorder="1"/>
    <xf numFmtId="41" fontId="2" fillId="0" borderId="41" xfId="0" applyNumberFormat="1" applyFont="1" applyBorder="1"/>
    <xf numFmtId="38" fontId="2" fillId="0" borderId="51" xfId="0" applyNumberFormat="1" applyFont="1" applyBorder="1"/>
    <xf numFmtId="3" fontId="3" fillId="0" borderId="41" xfId="0" applyNumberFormat="1" applyFont="1" applyBorder="1"/>
    <xf numFmtId="3" fontId="3" fillId="0" borderId="51" xfId="0" applyNumberFormat="1" applyFont="1" applyBorder="1"/>
    <xf numFmtId="37" fontId="3" fillId="0" borderId="41" xfId="0" applyNumberFormat="1" applyFont="1" applyBorder="1"/>
    <xf numFmtId="37" fontId="3" fillId="0" borderId="51" xfId="0" applyNumberFormat="1" applyFont="1" applyBorder="1"/>
    <xf numFmtId="175" fontId="3" fillId="0" borderId="51" xfId="0" applyNumberFormat="1" applyFont="1" applyBorder="1"/>
    <xf numFmtId="41" fontId="3" fillId="0" borderId="41" xfId="0" applyNumberFormat="1" applyFont="1" applyBorder="1"/>
    <xf numFmtId="41" fontId="3" fillId="0" borderId="51" xfId="0" applyNumberFormat="1" applyFont="1" applyBorder="1"/>
    <xf numFmtId="0" fontId="2" fillId="0" borderId="12" xfId="0" applyFont="1" applyBorder="1"/>
    <xf numFmtId="0" fontId="2" fillId="0" borderId="51" xfId="0" applyFont="1" applyBorder="1"/>
    <xf numFmtId="0" fontId="3" fillId="0" borderId="26" xfId="0" applyFont="1" applyBorder="1"/>
    <xf numFmtId="0" fontId="3" fillId="0" borderId="27" xfId="0" applyFont="1" applyBorder="1"/>
    <xf numFmtId="0" fontId="3" fillId="0" borderId="28" xfId="0" applyFont="1" applyBorder="1"/>
    <xf numFmtId="37" fontId="2" fillId="0" borderId="31" xfId="0" applyNumberFormat="1" applyFont="1" applyBorder="1"/>
    <xf numFmtId="37" fontId="2" fillId="0" borderId="32" xfId="0" applyNumberFormat="1" applyFont="1" applyBorder="1"/>
    <xf numFmtId="37" fontId="2" fillId="0" borderId="42" xfId="0" applyNumberFormat="1" applyFont="1" applyBorder="1"/>
    <xf numFmtId="37" fontId="2" fillId="0" borderId="40" xfId="0" applyNumberFormat="1" applyFont="1" applyBorder="1"/>
    <xf numFmtId="0" fontId="3" fillId="0" borderId="41" xfId="0" applyFont="1" applyBorder="1"/>
    <xf numFmtId="37" fontId="3" fillId="0" borderId="26" xfId="0" applyNumberFormat="1" applyFont="1" applyBorder="1"/>
    <xf numFmtId="37" fontId="3" fillId="0" borderId="27" xfId="0" applyNumberFormat="1" applyFont="1" applyBorder="1"/>
    <xf numFmtId="0" fontId="3" fillId="0" borderId="0" xfId="0" applyFont="1" applyAlignment="1">
      <alignment horizontal="center"/>
    </xf>
    <xf numFmtId="0" fontId="4"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15" fillId="0" borderId="0" xfId="0" applyFont="1" applyFill="1" applyBorder="1" applyAlignment="1">
      <alignment horizontal="left" vertical="top" wrapText="1"/>
    </xf>
    <xf numFmtId="0" fontId="4" fillId="0" borderId="0" xfId="0" applyFont="1" applyFill="1" applyAlignment="1">
      <alignment horizontal="left" vertical="top" wrapText="1"/>
    </xf>
    <xf numFmtId="0" fontId="5" fillId="0" borderId="0" xfId="0" applyFont="1" applyFill="1" applyAlignment="1">
      <alignment horizontal="left" vertical="top" wrapText="1"/>
    </xf>
    <xf numFmtId="0" fontId="0" fillId="0" borderId="0" xfId="0" applyFill="1" applyAlignment="1">
      <alignment horizontal="left" vertical="top" wrapText="1"/>
    </xf>
    <xf numFmtId="0" fontId="3" fillId="0" borderId="40" xfId="0" applyFont="1" applyBorder="1" applyAlignment="1">
      <alignment horizontal="center"/>
    </xf>
    <xf numFmtId="0" fontId="3" fillId="0" borderId="41" xfId="0" applyFont="1" applyBorder="1" applyAlignment="1">
      <alignment horizontal="center"/>
    </xf>
    <xf numFmtId="0" fontId="3" fillId="0" borderId="51" xfId="0" applyFont="1" applyBorder="1" applyAlignment="1">
      <alignment horizontal="center"/>
    </xf>
    <xf numFmtId="0" fontId="3" fillId="0" borderId="12" xfId="0" applyFont="1" applyBorder="1" applyAlignment="1">
      <alignment horizontal="center"/>
    </xf>
    <xf numFmtId="0" fontId="3" fillId="0" borderId="0" xfId="0" applyFont="1" applyBorder="1" applyAlignment="1">
      <alignment horizontal="center"/>
    </xf>
    <xf numFmtId="0" fontId="2" fillId="0" borderId="42" xfId="0" applyFont="1" applyBorder="1"/>
    <xf numFmtId="0" fontId="2" fillId="0" borderId="0" xfId="0" applyFont="1" applyBorder="1"/>
    <xf numFmtId="0" fontId="2" fillId="0" borderId="12" xfId="0" applyFont="1" applyBorder="1"/>
    <xf numFmtId="0" fontId="3" fillId="0" borderId="28" xfId="0" applyFont="1" applyBorder="1" applyAlignment="1">
      <alignment horizontal="center"/>
    </xf>
    <xf numFmtId="3" fontId="13" fillId="3" borderId="25" xfId="0" applyNumberFormat="1" applyFont="1" applyFill="1" applyBorder="1" applyAlignment="1">
      <alignment horizontal="center" vertical="center"/>
    </xf>
    <xf numFmtId="3" fontId="13" fillId="3" borderId="75" xfId="0" applyNumberFormat="1" applyFont="1" applyFill="1" applyBorder="1" applyAlignment="1">
      <alignment horizontal="center" vertical="center"/>
    </xf>
    <xf numFmtId="169" fontId="7" fillId="3" borderId="68" xfId="0" applyNumberFormat="1" applyFont="1" applyFill="1" applyBorder="1" applyAlignment="1"/>
    <xf numFmtId="169" fontId="7" fillId="3" borderId="112" xfId="0" applyNumberFormat="1" applyFont="1" applyFill="1" applyBorder="1" applyAlignment="1"/>
    <xf numFmtId="169" fontId="7" fillId="3" borderId="89" xfId="0" applyNumberFormat="1" applyFont="1" applyFill="1" applyBorder="1" applyAlignment="1"/>
    <xf numFmtId="169" fontId="7" fillId="3" borderId="74" xfId="0" applyNumberFormat="1" applyFont="1" applyFill="1" applyBorder="1" applyAlignment="1"/>
    <xf numFmtId="169" fontId="7" fillId="3" borderId="113" xfId="0" applyNumberFormat="1" applyFont="1" applyFill="1" applyBorder="1" applyAlignment="1"/>
    <xf numFmtId="169" fontId="7" fillId="3" borderId="114" xfId="0" applyNumberFormat="1" applyFont="1" applyFill="1" applyBorder="1" applyAlignment="1"/>
    <xf numFmtId="169" fontId="7" fillId="3" borderId="115" xfId="0" applyNumberFormat="1" applyFont="1" applyFill="1" applyBorder="1" applyAlignment="1"/>
    <xf numFmtId="169" fontId="7" fillId="3" borderId="17" xfId="0" applyNumberFormat="1" applyFont="1" applyFill="1" applyBorder="1" applyAlignment="1"/>
    <xf numFmtId="169" fontId="7" fillId="3" borderId="12" xfId="0" applyNumberFormat="1" applyFont="1" applyFill="1" applyBorder="1" applyAlignment="1"/>
    <xf numFmtId="169" fontId="7" fillId="3" borderId="42" xfId="0" applyNumberFormat="1" applyFont="1" applyFill="1" applyBorder="1" applyAlignment="1"/>
    <xf numFmtId="169" fontId="7" fillId="3" borderId="75" xfId="0" applyNumberFormat="1" applyFont="1" applyFill="1" applyBorder="1" applyAlignment="1"/>
    <xf numFmtId="169" fontId="13" fillId="3" borderId="116" xfId="1" applyNumberFormat="1" applyFont="1" applyFill="1" applyBorder="1" applyAlignment="1"/>
    <xf numFmtId="169" fontId="13" fillId="3" borderId="103" xfId="0" applyNumberFormat="1" applyFont="1" applyFill="1" applyBorder="1" applyAlignment="1"/>
    <xf numFmtId="166" fontId="13" fillId="3" borderId="0" xfId="0" applyNumberFormat="1" applyFont="1" applyFill="1" applyBorder="1" applyAlignment="1"/>
    <xf numFmtId="5" fontId="13" fillId="3" borderId="0" xfId="0" applyNumberFormat="1" applyFont="1" applyFill="1" applyBorder="1" applyAlignment="1"/>
    <xf numFmtId="0" fontId="2" fillId="3" borderId="0" xfId="0" applyFont="1" applyFill="1" applyAlignment="1">
      <alignment horizontal="center"/>
    </xf>
    <xf numFmtId="37" fontId="2" fillId="3" borderId="0" xfId="0" applyNumberFormat="1" applyFont="1" applyFill="1" applyBorder="1" applyAlignment="1">
      <alignment horizontal="right"/>
    </xf>
    <xf numFmtId="3" fontId="13" fillId="0" borderId="143" xfId="0" applyNumberFormat="1" applyFont="1" applyFill="1" applyBorder="1" applyAlignment="1">
      <alignment horizontal="center" vertical="center"/>
    </xf>
    <xf numFmtId="169" fontId="2" fillId="0" borderId="79" xfId="0" applyNumberFormat="1" applyFont="1" applyFill="1" applyBorder="1"/>
    <xf numFmtId="169" fontId="2" fillId="0" borderId="78" xfId="0" applyNumberFormat="1" applyFont="1" applyFill="1" applyBorder="1"/>
    <xf numFmtId="171" fontId="13" fillId="0" borderId="36" xfId="0" applyNumberFormat="1" applyFont="1" applyFill="1" applyBorder="1" applyAlignment="1"/>
    <xf numFmtId="3" fontId="13" fillId="0" borderId="34" xfId="0" applyNumberFormat="1" applyFont="1" applyFill="1" applyBorder="1" applyAlignment="1">
      <alignment horizontal="center" vertical="center"/>
    </xf>
    <xf numFmtId="169" fontId="2" fillId="0" borderId="77" xfId="0" applyNumberFormat="1" applyFont="1" applyFill="1" applyBorder="1"/>
    <xf numFmtId="0" fontId="30" fillId="0" borderId="0" xfId="0" applyFont="1" applyFill="1"/>
    <xf numFmtId="0" fontId="5" fillId="0" borderId="0" xfId="0" applyFont="1" applyFill="1"/>
    <xf numFmtId="0" fontId="21" fillId="0" borderId="14" xfId="0" applyFont="1" applyBorder="1" applyAlignment="1">
      <alignment horizontal="center"/>
    </xf>
    <xf numFmtId="0" fontId="21" fillId="0" borderId="0" xfId="0" applyFont="1" applyBorder="1" applyAlignment="1">
      <alignment horizontal="center"/>
    </xf>
    <xf numFmtId="0" fontId="21" fillId="0" borderId="58" xfId="0" applyFont="1" applyBorder="1" applyAlignment="1">
      <alignment horizontal="center"/>
    </xf>
    <xf numFmtId="3" fontId="31" fillId="0" borderId="17" xfId="0" applyNumberFormat="1" applyFont="1" applyBorder="1"/>
    <xf numFmtId="3" fontId="31" fillId="0" borderId="34" xfId="0" applyNumberFormat="1" applyFont="1" applyBorder="1"/>
    <xf numFmtId="37" fontId="34" fillId="0" borderId="36" xfId="0" applyNumberFormat="1" applyFont="1" applyBorder="1"/>
    <xf numFmtId="0" fontId="21" fillId="0" borderId="60" xfId="0" applyFont="1" applyBorder="1" applyAlignment="1">
      <alignment horizontal="center"/>
    </xf>
    <xf numFmtId="0" fontId="21" fillId="0" borderId="63" xfId="0" applyFont="1" applyBorder="1" applyAlignment="1">
      <alignment horizontal="center"/>
    </xf>
    <xf numFmtId="0" fontId="34" fillId="0" borderId="60" xfId="0" applyFont="1" applyBorder="1" applyAlignment="1">
      <alignment horizontal="center"/>
    </xf>
    <xf numFmtId="37" fontId="34" fillId="0" borderId="60" xfId="0" applyNumberFormat="1" applyFont="1" applyBorder="1"/>
    <xf numFmtId="37" fontId="34" fillId="0" borderId="54" xfId="0" applyNumberFormat="1" applyFont="1" applyBorder="1"/>
    <xf numFmtId="3" fontId="34" fillId="0" borderId="60" xfId="0" applyNumberFormat="1" applyFont="1" applyBorder="1"/>
    <xf numFmtId="3" fontId="34" fillId="0" borderId="55" xfId="0" applyNumberFormat="1" applyFont="1" applyBorder="1"/>
    <xf numFmtId="0" fontId="34" fillId="0" borderId="144" xfId="0" applyFont="1" applyBorder="1" applyAlignment="1">
      <alignment horizontal="center"/>
    </xf>
    <xf numFmtId="175" fontId="34" fillId="0" borderId="54" xfId="0" applyNumberFormat="1" applyFont="1" applyBorder="1" applyAlignment="1">
      <alignment horizontal="right"/>
    </xf>
    <xf numFmtId="3" fontId="31" fillId="0" borderId="55" xfId="0" applyNumberFormat="1" applyFont="1" applyBorder="1"/>
    <xf numFmtId="175" fontId="34" fillId="0" borderId="54" xfId="0" applyNumberFormat="1" applyFont="1" applyBorder="1"/>
    <xf numFmtId="37" fontId="31" fillId="0" borderId="17" xfId="0" applyNumberFormat="1" applyFont="1" applyBorder="1"/>
    <xf numFmtId="3" fontId="31" fillId="0" borderId="36" xfId="0" applyNumberFormat="1" applyFont="1" applyBorder="1"/>
    <xf numFmtId="37" fontId="34" fillId="0" borderId="54" xfId="0" applyNumberFormat="1" applyFont="1" applyBorder="1" applyAlignment="1"/>
    <xf numFmtId="3" fontId="34" fillId="0" borderId="55" xfId="0" applyNumberFormat="1" applyFont="1" applyBorder="1" applyAlignment="1">
      <alignment horizontal="right"/>
    </xf>
    <xf numFmtId="0" fontId="34" fillId="0" borderId="32" xfId="0" applyFont="1" applyBorder="1" applyAlignment="1">
      <alignment horizontal="center"/>
    </xf>
    <xf numFmtId="175" fontId="34" fillId="0" borderId="2" xfId="0" applyNumberFormat="1" applyFont="1" applyBorder="1"/>
    <xf numFmtId="37" fontId="2" fillId="0" borderId="33" xfId="0" applyNumberFormat="1" applyFont="1" applyBorder="1"/>
    <xf numFmtId="37" fontId="3" fillId="0" borderId="29" xfId="0" applyNumberFormat="1" applyFont="1" applyBorder="1"/>
    <xf numFmtId="41" fontId="2" fillId="0" borderId="13" xfId="0" applyNumberFormat="1" applyFont="1" applyBorder="1"/>
    <xf numFmtId="166" fontId="2" fillId="0" borderId="13" xfId="0" applyNumberFormat="1" applyFont="1" applyBorder="1"/>
    <xf numFmtId="3" fontId="2" fillId="0" borderId="43" xfId="0" applyNumberFormat="1" applyFont="1" applyBorder="1"/>
    <xf numFmtId="3" fontId="2" fillId="0" borderId="12" xfId="1" applyNumberFormat="1" applyFont="1" applyBorder="1"/>
    <xf numFmtId="3" fontId="2" fillId="0" borderId="51" xfId="1" applyNumberFormat="1" applyFont="1" applyBorder="1"/>
    <xf numFmtId="166" fontId="34" fillId="0" borderId="55" xfId="0" applyNumberFormat="1" applyFont="1" applyBorder="1"/>
    <xf numFmtId="166" fontId="34" fillId="0" borderId="35" xfId="0" applyNumberFormat="1" applyFont="1" applyBorder="1"/>
    <xf numFmtId="166" fontId="31" fillId="0" borderId="55" xfId="0" applyNumberFormat="1" applyFont="1" applyBorder="1"/>
    <xf numFmtId="41" fontId="3" fillId="0" borderId="27" xfId="0" applyNumberFormat="1" applyFont="1" applyBorder="1"/>
    <xf numFmtId="164" fontId="2" fillId="0" borderId="0" xfId="0" applyNumberFormat="1" applyFont="1" applyBorder="1"/>
    <xf numFmtId="170" fontId="2" fillId="0" borderId="41" xfId="0" applyNumberFormat="1" applyFont="1" applyBorder="1"/>
    <xf numFmtId="3" fontId="2" fillId="0" borderId="59" xfId="1" applyNumberFormat="1" applyFont="1" applyBorder="1"/>
    <xf numFmtId="3" fontId="34" fillId="0" borderId="120" xfId="0" applyNumberFormat="1" applyFont="1" applyBorder="1"/>
    <xf numFmtId="3" fontId="34" fillId="0" borderId="25" xfId="0" applyNumberFormat="1" applyFont="1" applyBorder="1"/>
    <xf numFmtId="3" fontId="34" fillId="0" borderId="63" xfId="0" applyNumberFormat="1" applyFont="1" applyBorder="1"/>
    <xf numFmtId="3" fontId="34" fillId="0" borderId="58" xfId="0" applyNumberFormat="1" applyFont="1" applyBorder="1"/>
    <xf numFmtId="3" fontId="34" fillId="0" borderId="143" xfId="0" applyNumberFormat="1" applyFont="1" applyBorder="1"/>
    <xf numFmtId="166" fontId="34" fillId="0" borderId="63" xfId="0" applyNumberFormat="1" applyFont="1" applyBorder="1"/>
    <xf numFmtId="37" fontId="34" fillId="0" borderId="58" xfId="0" applyNumberFormat="1" applyFont="1" applyBorder="1"/>
    <xf numFmtId="0" fontId="2" fillId="0" borderId="42" xfId="0" applyFont="1" applyBorder="1"/>
    <xf numFmtId="0" fontId="2" fillId="0" borderId="0" xfId="13" applyFont="1" applyFill="1" applyAlignment="1">
      <alignment horizontal="center"/>
    </xf>
    <xf numFmtId="0" fontId="2" fillId="0" borderId="0" xfId="12" applyFont="1" applyFill="1" applyAlignment="1">
      <alignment horizontal="left" vertical="center" wrapText="1"/>
    </xf>
    <xf numFmtId="0" fontId="2" fillId="0" borderId="0" xfId="12" applyFont="1" applyFill="1" applyAlignment="1">
      <alignment vertical="center" wrapText="1"/>
    </xf>
    <xf numFmtId="0" fontId="2" fillId="0" borderId="0" xfId="13" applyFont="1" applyFill="1" applyAlignment="1">
      <alignment horizontal="left" vertical="center" wrapText="1"/>
    </xf>
    <xf numFmtId="0" fontId="2" fillId="0" borderId="0" xfId="0" applyFont="1" applyBorder="1"/>
    <xf numFmtId="37" fontId="2" fillId="0" borderId="58" xfId="1" applyNumberFormat="1" applyFont="1" applyBorder="1"/>
    <xf numFmtId="37" fontId="2" fillId="0" borderId="14" xfId="1" applyNumberFormat="1" applyFont="1" applyBorder="1"/>
    <xf numFmtId="37" fontId="2" fillId="0" borderId="15" xfId="0" applyNumberFormat="1" applyFont="1" applyBorder="1"/>
    <xf numFmtId="37" fontId="2" fillId="0" borderId="14" xfId="0" applyNumberFormat="1" applyFont="1" applyBorder="1"/>
    <xf numFmtId="37" fontId="2" fillId="0" borderId="16" xfId="0" applyNumberFormat="1" applyFont="1" applyBorder="1"/>
    <xf numFmtId="37" fontId="2" fillId="0" borderId="57" xfId="0" applyNumberFormat="1" applyFont="1" applyBorder="1"/>
    <xf numFmtId="37" fontId="2" fillId="0" borderId="58" xfId="0" applyNumberFormat="1" applyFont="1" applyBorder="1"/>
    <xf numFmtId="37" fontId="2" fillId="0" borderId="59" xfId="0" applyNumberFormat="1" applyFont="1" applyBorder="1"/>
    <xf numFmtId="37" fontId="2" fillId="0" borderId="3" xfId="1" applyNumberFormat="1" applyFont="1" applyBorder="1"/>
    <xf numFmtId="37" fontId="2" fillId="0" borderId="19" xfId="0" applyNumberFormat="1" applyFont="1" applyBorder="1"/>
    <xf numFmtId="37" fontId="2" fillId="0" borderId="17" xfId="0" applyNumberFormat="1" applyFont="1" applyBorder="1"/>
    <xf numFmtId="37" fontId="2" fillId="0" borderId="3" xfId="0" applyNumberFormat="1" applyFont="1" applyBorder="1"/>
    <xf numFmtId="5" fontId="24" fillId="0" borderId="0" xfId="4" applyNumberFormat="1" applyFont="1"/>
    <xf numFmtId="3" fontId="2" fillId="0" borderId="43" xfId="1" applyNumberFormat="1" applyFont="1" applyBorder="1" applyAlignment="1">
      <alignment horizontal="right"/>
    </xf>
    <xf numFmtId="5" fontId="3" fillId="0" borderId="51" xfId="4" applyNumberFormat="1" applyFont="1" applyBorder="1"/>
    <xf numFmtId="5" fontId="3" fillId="0" borderId="41" xfId="4" applyNumberFormat="1" applyFont="1" applyBorder="1"/>
    <xf numFmtId="5" fontId="3" fillId="0" borderId="28" xfId="1" applyNumberFormat="1" applyFont="1" applyBorder="1" applyAlignment="1"/>
    <xf numFmtId="0" fontId="3" fillId="0" borderId="0" xfId="0" applyFont="1" applyFill="1" applyAlignment="1"/>
    <xf numFmtId="166" fontId="13" fillId="0" borderId="34" xfId="0" applyNumberFormat="1" applyFont="1" applyFill="1" applyBorder="1" applyAlignment="1"/>
    <xf numFmtId="0" fontId="19" fillId="0" borderId="0" xfId="0" applyFont="1"/>
    <xf numFmtId="0" fontId="36" fillId="0" borderId="0" xfId="5" applyFont="1" applyAlignment="1">
      <alignment vertical="top"/>
    </xf>
    <xf numFmtId="3" fontId="3" fillId="0" borderId="0" xfId="0" applyNumberFormat="1" applyFont="1" applyAlignment="1">
      <alignment horizontal="center"/>
    </xf>
    <xf numFmtId="3" fontId="10" fillId="0" borderId="0" xfId="0" applyNumberFormat="1" applyFont="1" applyAlignment="1">
      <alignment horizontal="center"/>
    </xf>
    <xf numFmtId="3" fontId="2" fillId="0" borderId="27" xfId="0" applyNumberFormat="1" applyFont="1" applyBorder="1" applyAlignment="1">
      <alignment horizontal="left"/>
    </xf>
    <xf numFmtId="3" fontId="2" fillId="0" borderId="28" xfId="0" applyNumberFormat="1" applyFont="1" applyBorder="1" applyAlignment="1">
      <alignment horizontal="left"/>
    </xf>
    <xf numFmtId="3" fontId="2" fillId="0" borderId="27" xfId="0" applyNumberFormat="1" applyFont="1" applyBorder="1" applyAlignment="1"/>
    <xf numFmtId="3" fontId="2" fillId="0" borderId="28" xfId="0" applyNumberFormat="1" applyFont="1" applyBorder="1" applyAlignment="1"/>
    <xf numFmtId="3" fontId="2" fillId="0" borderId="88" xfId="0" applyNumberFormat="1" applyFont="1" applyBorder="1" applyAlignment="1"/>
    <xf numFmtId="3" fontId="2" fillId="0" borderId="26" xfId="0" applyNumberFormat="1" applyFont="1" applyBorder="1" applyAlignment="1">
      <alignment horizontal="center"/>
    </xf>
    <xf numFmtId="3" fontId="2" fillId="0" borderId="27" xfId="0" applyNumberFormat="1" applyFont="1" applyBorder="1" applyAlignment="1">
      <alignment horizontal="center"/>
    </xf>
    <xf numFmtId="3" fontId="2" fillId="0" borderId="28" xfId="0" applyNumberFormat="1" applyFont="1" applyBorder="1" applyAlignment="1">
      <alignment horizontal="center"/>
    </xf>
    <xf numFmtId="3" fontId="3" fillId="0" borderId="26" xfId="0" applyNumberFormat="1" applyFont="1" applyBorder="1" applyAlignment="1"/>
    <xf numFmtId="3" fontId="3" fillId="0" borderId="27" xfId="0" applyNumberFormat="1" applyFont="1" applyBorder="1" applyAlignment="1"/>
    <xf numFmtId="3" fontId="3" fillId="0" borderId="28" xfId="0" applyNumberFormat="1" applyFont="1" applyBorder="1" applyAlignment="1"/>
    <xf numFmtId="3" fontId="2" fillId="0" borderId="26" xfId="0" applyNumberFormat="1" applyFont="1" applyBorder="1" applyAlignment="1"/>
    <xf numFmtId="3" fontId="2" fillId="0" borderId="22" xfId="0" applyNumberFormat="1" applyFont="1" applyBorder="1" applyAlignment="1"/>
    <xf numFmtId="3" fontId="2" fillId="0" borderId="21" xfId="0" applyNumberFormat="1" applyFont="1" applyBorder="1" applyAlignment="1"/>
    <xf numFmtId="3" fontId="2" fillId="0" borderId="8" xfId="0" applyNumberFormat="1" applyFont="1" applyBorder="1" applyAlignment="1"/>
    <xf numFmtId="3" fontId="3" fillId="0" borderId="34" xfId="0" applyNumberFormat="1" applyFont="1" applyBorder="1" applyAlignment="1"/>
    <xf numFmtId="3" fontId="3" fillId="0" borderId="35" xfId="0" applyNumberFormat="1" applyFont="1" applyBorder="1" applyAlignment="1"/>
    <xf numFmtId="3" fontId="3" fillId="0" borderId="86" xfId="0" applyNumberFormat="1" applyFont="1" applyBorder="1" applyAlignment="1"/>
    <xf numFmtId="0" fontId="2" fillId="0" borderId="27" xfId="0" applyFont="1" applyBorder="1"/>
    <xf numFmtId="0" fontId="2" fillId="0" borderId="28" xfId="0" applyFont="1" applyBorder="1"/>
    <xf numFmtId="0" fontId="19" fillId="0" borderId="0" xfId="0" applyNumberFormat="1" applyFont="1" applyAlignment="1"/>
    <xf numFmtId="3" fontId="3" fillId="0" borderId="40" xfId="0" applyNumberFormat="1" applyFont="1" applyBorder="1" applyAlignment="1"/>
    <xf numFmtId="3" fontId="3" fillId="0" borderId="41" xfId="0" applyNumberFormat="1" applyFont="1" applyBorder="1" applyAlignment="1"/>
    <xf numFmtId="3" fontId="3" fillId="0" borderId="51" xfId="0" applyNumberFormat="1" applyFont="1" applyBorder="1" applyAlignment="1"/>
    <xf numFmtId="3" fontId="2" fillId="0" borderId="32" xfId="0" applyNumberFormat="1" applyFont="1" applyBorder="1" applyAlignment="1"/>
    <xf numFmtId="3" fontId="2" fillId="0" borderId="43" xfId="0" applyNumberFormat="1" applyFont="1" applyBorder="1" applyAlignment="1"/>
    <xf numFmtId="3" fontId="3" fillId="0" borderId="32" xfId="0" applyNumberFormat="1" applyFont="1" applyBorder="1" applyAlignment="1">
      <alignment wrapText="1"/>
    </xf>
    <xf numFmtId="3" fontId="2" fillId="0" borderId="31" xfId="0" applyNumberFormat="1" applyFont="1" applyBorder="1" applyAlignment="1">
      <alignment horizontal="center" vertical="center"/>
    </xf>
    <xf numFmtId="3" fontId="2" fillId="0" borderId="32" xfId="0" applyNumberFormat="1" applyFont="1" applyBorder="1" applyAlignment="1">
      <alignment horizontal="center" vertical="center"/>
    </xf>
    <xf numFmtId="3" fontId="2" fillId="0" borderId="43" xfId="0" applyNumberFormat="1" applyFont="1" applyBorder="1" applyAlignment="1">
      <alignment horizontal="center" vertical="center"/>
    </xf>
    <xf numFmtId="3" fontId="2" fillId="0" borderId="40" xfId="0" applyNumberFormat="1" applyFont="1" applyBorder="1" applyAlignment="1">
      <alignment horizontal="center" vertical="center"/>
    </xf>
    <xf numFmtId="3" fontId="2" fillId="0" borderId="41" xfId="0" applyNumberFormat="1" applyFont="1" applyBorder="1" applyAlignment="1">
      <alignment horizontal="center" vertical="center"/>
    </xf>
    <xf numFmtId="3" fontId="2" fillId="0" borderId="51" xfId="0" applyNumberFormat="1" applyFont="1" applyBorder="1" applyAlignment="1">
      <alignment horizontal="center" vertical="center"/>
    </xf>
    <xf numFmtId="0" fontId="2" fillId="0" borderId="31" xfId="0" applyNumberFormat="1" applyFont="1" applyBorder="1" applyAlignment="1">
      <alignment horizontal="center"/>
    </xf>
    <xf numFmtId="0" fontId="2" fillId="0" borderId="32" xfId="0" applyNumberFormat="1" applyFont="1" applyBorder="1" applyAlignment="1">
      <alignment horizontal="center"/>
    </xf>
    <xf numFmtId="0" fontId="2" fillId="0" borderId="43" xfId="0" applyNumberFormat="1" applyFont="1" applyBorder="1" applyAlignment="1">
      <alignment horizontal="center"/>
    </xf>
    <xf numFmtId="0" fontId="2" fillId="0" borderId="42" xfId="0" applyNumberFormat="1" applyFont="1" applyBorder="1" applyAlignment="1">
      <alignment horizontal="center"/>
    </xf>
    <xf numFmtId="0" fontId="2" fillId="0" borderId="0" xfId="0" applyNumberFormat="1" applyFont="1" applyBorder="1" applyAlignment="1">
      <alignment horizontal="center"/>
    </xf>
    <xf numFmtId="0" fontId="2" fillId="0" borderId="12" xfId="0" applyNumberFormat="1" applyFont="1" applyBorder="1" applyAlignment="1">
      <alignment horizontal="center"/>
    </xf>
    <xf numFmtId="3" fontId="2" fillId="0" borderId="40" xfId="0" applyNumberFormat="1" applyFont="1" applyBorder="1" applyAlignment="1"/>
    <xf numFmtId="3" fontId="2" fillId="0" borderId="41" xfId="0" applyNumberFormat="1" applyFont="1" applyBorder="1" applyAlignment="1"/>
    <xf numFmtId="3" fontId="2" fillId="0" borderId="51" xfId="0" applyNumberFormat="1" applyFont="1" applyBorder="1" applyAlignment="1"/>
    <xf numFmtId="49" fontId="2" fillId="0" borderId="46" xfId="0" applyNumberFormat="1" applyFont="1" applyBorder="1" applyAlignment="1">
      <alignment horizontal="center" vertical="center"/>
    </xf>
    <xf numFmtId="49" fontId="2" fillId="0" borderId="44" xfId="0" applyNumberFormat="1" applyFont="1" applyBorder="1" applyAlignment="1">
      <alignment horizontal="center" vertical="center"/>
    </xf>
    <xf numFmtId="49" fontId="2" fillId="0" borderId="45" xfId="0" applyNumberFormat="1" applyFont="1" applyBorder="1" applyAlignment="1">
      <alignment horizontal="center" vertical="center"/>
    </xf>
    <xf numFmtId="49" fontId="2" fillId="0" borderId="69" xfId="0" applyNumberFormat="1" applyFont="1" applyBorder="1" applyAlignment="1">
      <alignment horizontal="center" vertical="center"/>
    </xf>
    <xf numFmtId="49" fontId="2" fillId="0" borderId="41" xfId="0" applyNumberFormat="1" applyFont="1" applyBorder="1" applyAlignment="1">
      <alignment horizontal="center" vertical="center"/>
    </xf>
    <xf numFmtId="49" fontId="2" fillId="0" borderId="70" xfId="0" applyNumberFormat="1" applyFont="1" applyBorder="1" applyAlignment="1">
      <alignment horizontal="center" vertical="center"/>
    </xf>
    <xf numFmtId="3" fontId="2" fillId="0" borderId="42" xfId="0" applyNumberFormat="1" applyFont="1" applyBorder="1" applyAlignment="1"/>
    <xf numFmtId="3" fontId="2" fillId="0" borderId="0" xfId="0" applyNumberFormat="1" applyFont="1" applyBorder="1" applyAlignment="1"/>
    <xf numFmtId="3" fontId="2" fillId="0" borderId="12" xfId="0" applyNumberFormat="1" applyFont="1" applyBorder="1" applyAlignment="1"/>
    <xf numFmtId="3" fontId="2" fillId="0" borderId="84" xfId="0" applyNumberFormat="1" applyFont="1" applyBorder="1" applyAlignment="1">
      <alignment horizontal="center" vertical="center" wrapText="1"/>
    </xf>
    <xf numFmtId="3" fontId="2" fillId="0" borderId="44" xfId="0" applyNumberFormat="1" applyFont="1" applyBorder="1" applyAlignment="1">
      <alignment horizontal="center" vertical="center" wrapText="1"/>
    </xf>
    <xf numFmtId="3" fontId="2" fillId="0" borderId="45" xfId="0" applyNumberFormat="1" applyFont="1" applyBorder="1" applyAlignment="1">
      <alignment horizontal="center" vertical="center" wrapText="1"/>
    </xf>
    <xf numFmtId="3" fontId="2" fillId="0" borderId="85" xfId="0" applyNumberFormat="1" applyFont="1" applyBorder="1" applyAlignment="1">
      <alignment horizontal="center" vertical="center" wrapText="1"/>
    </xf>
    <xf numFmtId="3" fontId="2" fillId="0" borderId="47" xfId="0" applyNumberFormat="1" applyFont="1" applyBorder="1" applyAlignment="1">
      <alignment horizontal="center" vertical="center" wrapText="1"/>
    </xf>
    <xf numFmtId="3" fontId="2" fillId="0" borderId="48" xfId="0" applyNumberFormat="1" applyFont="1" applyBorder="1" applyAlignment="1">
      <alignment horizontal="center" vertical="center" wrapText="1"/>
    </xf>
    <xf numFmtId="3" fontId="2" fillId="0" borderId="46" xfId="0" applyNumberFormat="1" applyFont="1" applyBorder="1" applyAlignment="1">
      <alignment horizontal="center" vertical="center" wrapText="1"/>
    </xf>
    <xf numFmtId="3" fontId="2" fillId="0" borderId="49" xfId="0" applyNumberFormat="1" applyFont="1" applyBorder="1" applyAlignment="1">
      <alignment horizontal="center" vertical="center" wrapText="1"/>
    </xf>
    <xf numFmtId="3" fontId="3" fillId="0" borderId="40" xfId="0" applyNumberFormat="1" applyFont="1" applyBorder="1" applyAlignment="1">
      <alignment horizontal="left" indent="2"/>
    </xf>
    <xf numFmtId="3" fontId="3" fillId="0" borderId="41" xfId="0" applyNumberFormat="1" applyFont="1" applyBorder="1" applyAlignment="1">
      <alignment horizontal="left" indent="2"/>
    </xf>
    <xf numFmtId="3" fontId="3" fillId="0" borderId="51" xfId="0" applyNumberFormat="1" applyFont="1" applyBorder="1" applyAlignment="1">
      <alignment horizontal="left" indent="2"/>
    </xf>
    <xf numFmtId="0" fontId="2" fillId="0" borderId="54"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55"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3" fontId="2" fillId="0" borderId="55" xfId="0" applyNumberFormat="1" applyFont="1" applyBorder="1" applyAlignment="1">
      <alignment horizontal="center"/>
    </xf>
    <xf numFmtId="3" fontId="2" fillId="0" borderId="2" xfId="0" applyNumberFormat="1" applyFont="1" applyBorder="1" applyAlignment="1">
      <alignment horizontal="center"/>
    </xf>
    <xf numFmtId="3" fontId="2" fillId="0" borderId="3" xfId="0" applyNumberFormat="1" applyFont="1" applyBorder="1" applyAlignment="1">
      <alignment horizontal="center"/>
    </xf>
    <xf numFmtId="3" fontId="2" fillId="0" borderId="54" xfId="0" applyNumberFormat="1" applyFont="1" applyBorder="1" applyAlignment="1">
      <alignment horizontal="center"/>
    </xf>
    <xf numFmtId="3" fontId="2" fillId="0" borderId="6" xfId="0" applyNumberFormat="1" applyFont="1" applyBorder="1" applyAlignment="1">
      <alignment horizontal="center"/>
    </xf>
    <xf numFmtId="3" fontId="2" fillId="0" borderId="7" xfId="0" applyNumberFormat="1" applyFont="1" applyBorder="1" applyAlignment="1">
      <alignment horizontal="center"/>
    </xf>
    <xf numFmtId="0" fontId="3" fillId="0" borderId="0" xfId="0" applyFont="1" applyAlignment="1">
      <alignment horizontal="center"/>
    </xf>
    <xf numFmtId="0" fontId="11" fillId="0" borderId="120" xfId="0" applyFont="1" applyBorder="1" applyAlignment="1">
      <alignment horizontal="center"/>
    </xf>
    <xf numFmtId="0" fontId="11" fillId="0" borderId="143" xfId="0" applyFont="1" applyBorder="1" applyAlignment="1">
      <alignment horizontal="center"/>
    </xf>
    <xf numFmtId="0" fontId="11" fillId="0" borderId="55" xfId="0" applyFont="1" applyBorder="1" applyAlignment="1">
      <alignment horizontal="center"/>
    </xf>
    <xf numFmtId="0" fontId="11" fillId="0" borderId="3" xfId="0" applyFont="1" applyBorder="1" applyAlignment="1">
      <alignment horizontal="center"/>
    </xf>
    <xf numFmtId="0" fontId="19" fillId="0" borderId="0" xfId="0" applyFont="1" applyAlignment="1">
      <alignment horizontal="left"/>
    </xf>
    <xf numFmtId="0" fontId="11" fillId="0" borderId="54" xfId="0" applyFont="1" applyBorder="1" applyAlignment="1">
      <alignment horizontal="center" wrapText="1"/>
    </xf>
    <xf numFmtId="0" fontId="11" fillId="0" borderId="7" xfId="0" applyFont="1" applyBorder="1" applyAlignment="1">
      <alignment horizontal="center" wrapText="1"/>
    </xf>
    <xf numFmtId="0" fontId="11" fillId="0" borderId="55" xfId="0" applyFont="1" applyBorder="1" applyAlignment="1">
      <alignment horizontal="center" wrapText="1"/>
    </xf>
    <xf numFmtId="0" fontId="11" fillId="0" borderId="3" xfId="0" applyFont="1" applyBorder="1" applyAlignment="1">
      <alignment horizontal="center" wrapText="1"/>
    </xf>
    <xf numFmtId="0" fontId="11" fillId="0" borderId="20" xfId="0" applyFont="1" applyBorder="1" applyAlignment="1">
      <alignment horizontal="center"/>
    </xf>
    <xf numFmtId="0" fontId="11" fillId="0" borderId="21" xfId="0" applyFont="1" applyBorder="1" applyAlignment="1">
      <alignment horizontal="center"/>
    </xf>
    <xf numFmtId="0" fontId="11" fillId="0" borderId="10" xfId="0" applyFont="1" applyBorder="1" applyAlignment="1">
      <alignment horizontal="center"/>
    </xf>
    <xf numFmtId="0" fontId="11" fillId="0" borderId="54" xfId="0" applyFont="1" applyBorder="1" applyAlignment="1">
      <alignment horizontal="center"/>
    </xf>
    <xf numFmtId="0" fontId="11" fillId="0" borderId="7" xfId="0" applyFont="1" applyBorder="1" applyAlignment="1">
      <alignment horizontal="center"/>
    </xf>
    <xf numFmtId="0" fontId="4" fillId="0" borderId="0" xfId="0" applyFont="1" applyFill="1" applyAlignment="1">
      <alignment horizontal="left" vertical="top" wrapText="1"/>
    </xf>
    <xf numFmtId="0" fontId="5" fillId="0" borderId="0" xfId="0" applyFont="1" applyFill="1" applyAlignment="1">
      <alignment horizontal="left" vertical="top" wrapText="1"/>
    </xf>
    <xf numFmtId="0" fontId="4"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15" fillId="0" borderId="0" xfId="0" applyFont="1" applyFill="1" applyBorder="1" applyAlignment="1">
      <alignment horizontal="left" vertical="top" wrapText="1"/>
    </xf>
    <xf numFmtId="0" fontId="0" fillId="0" borderId="0" xfId="0" applyFill="1" applyAlignment="1">
      <alignment horizontal="left" vertical="top" wrapText="1"/>
    </xf>
    <xf numFmtId="0" fontId="37" fillId="0" borderId="0" xfId="0" applyFont="1" applyBorder="1" applyAlignment="1">
      <alignment horizontal="center" vertical="top" wrapText="1"/>
    </xf>
    <xf numFmtId="0" fontId="10" fillId="0" borderId="0" xfId="3" applyFont="1" applyAlignment="1">
      <alignment horizontal="left"/>
    </xf>
    <xf numFmtId="0" fontId="33" fillId="0" borderId="0" xfId="0" applyFont="1" applyBorder="1" applyAlignment="1">
      <alignment horizontal="left"/>
    </xf>
    <xf numFmtId="0" fontId="3" fillId="0" borderId="0" xfId="3" applyFont="1" applyAlignment="1">
      <alignment horizontal="center"/>
    </xf>
    <xf numFmtId="0" fontId="0" fillId="0" borderId="0" xfId="0" applyBorder="1" applyAlignment="1">
      <alignment horizontal="center"/>
    </xf>
    <xf numFmtId="3" fontId="3" fillId="0" borderId="0" xfId="3" applyNumberFormat="1" applyFont="1" applyAlignment="1">
      <alignment horizontal="center"/>
    </xf>
    <xf numFmtId="0" fontId="3" fillId="0" borderId="0" xfId="0" applyFont="1" applyBorder="1" applyAlignment="1">
      <alignment horizontal="center" vertical="top"/>
    </xf>
    <xf numFmtId="0" fontId="3" fillId="0" borderId="0" xfId="0" applyFont="1" applyFill="1" applyBorder="1" applyAlignment="1">
      <alignment horizontal="center" vertical="top"/>
    </xf>
    <xf numFmtId="0" fontId="4" fillId="0" borderId="0" xfId="0" applyFont="1" applyFill="1" applyBorder="1" applyAlignment="1">
      <alignment vertical="top" wrapText="1"/>
    </xf>
    <xf numFmtId="0" fontId="4" fillId="0" borderId="0" xfId="0" applyFont="1" applyBorder="1" applyAlignment="1">
      <alignment vertical="top" wrapText="1"/>
    </xf>
    <xf numFmtId="0" fontId="3" fillId="0" borderId="40" xfId="0" applyFont="1" applyBorder="1" applyAlignment="1">
      <alignment horizontal="center"/>
    </xf>
    <xf numFmtId="0" fontId="3" fillId="0" borderId="41" xfId="0" applyFont="1" applyBorder="1" applyAlignment="1">
      <alignment horizontal="center"/>
    </xf>
    <xf numFmtId="0" fontId="3" fillId="0" borderId="51" xfId="0" applyFont="1" applyBorder="1" applyAlignment="1">
      <alignment horizontal="center"/>
    </xf>
    <xf numFmtId="0" fontId="3" fillId="0" borderId="31" xfId="0" applyFont="1" applyBorder="1" applyAlignment="1">
      <alignment horizontal="center"/>
    </xf>
    <xf numFmtId="0" fontId="3" fillId="0" borderId="32" xfId="0" applyFont="1" applyBorder="1" applyAlignment="1">
      <alignment horizontal="center"/>
    </xf>
    <xf numFmtId="0" fontId="3" fillId="0" borderId="43" xfId="0" applyFont="1" applyBorder="1" applyAlignment="1">
      <alignment horizontal="center"/>
    </xf>
    <xf numFmtId="0" fontId="3" fillId="0" borderId="31" xfId="0" applyFont="1" applyBorder="1" applyAlignment="1">
      <alignment horizontal="center" wrapText="1"/>
    </xf>
    <xf numFmtId="0" fontId="3" fillId="0" borderId="32" xfId="0" applyFont="1" applyBorder="1" applyAlignment="1">
      <alignment horizontal="center" wrapText="1"/>
    </xf>
    <xf numFmtId="0" fontId="3" fillId="0" borderId="43" xfId="0" applyFont="1" applyBorder="1" applyAlignment="1">
      <alignment horizontal="center" wrapText="1"/>
    </xf>
    <xf numFmtId="0" fontId="3" fillId="0" borderId="40" xfId="0" applyFont="1" applyBorder="1" applyAlignment="1">
      <alignment horizontal="center" wrapText="1"/>
    </xf>
    <xf numFmtId="0" fontId="3" fillId="0" borderId="41" xfId="0" applyFont="1" applyBorder="1" applyAlignment="1">
      <alignment horizontal="center" wrapText="1"/>
    </xf>
    <xf numFmtId="0" fontId="3" fillId="0" borderId="51" xfId="0" applyFont="1" applyBorder="1" applyAlignment="1">
      <alignment horizontal="center" wrapText="1"/>
    </xf>
    <xf numFmtId="0" fontId="3" fillId="0" borderId="31" xfId="0" applyFont="1" applyBorder="1" applyAlignment="1">
      <alignment horizontal="center" vertical="top" wrapText="1"/>
    </xf>
    <xf numFmtId="0" fontId="3" fillId="0" borderId="32" xfId="0" applyFont="1" applyBorder="1" applyAlignment="1">
      <alignment horizontal="center" vertical="top" wrapText="1"/>
    </xf>
    <xf numFmtId="0" fontId="3" fillId="0" borderId="43" xfId="0" applyFont="1" applyBorder="1" applyAlignment="1">
      <alignment horizontal="center" vertical="top" wrapText="1"/>
    </xf>
    <xf numFmtId="0" fontId="3" fillId="0" borderId="26" xfId="0" applyFont="1" applyBorder="1" applyAlignment="1">
      <alignment horizontal="center"/>
    </xf>
    <xf numFmtId="0" fontId="3" fillId="0" borderId="27" xfId="0" applyFont="1" applyBorder="1" applyAlignment="1">
      <alignment horizontal="center"/>
    </xf>
    <xf numFmtId="0" fontId="3" fillId="0" borderId="28" xfId="0" applyFont="1" applyBorder="1" applyAlignment="1">
      <alignment horizontal="center"/>
    </xf>
    <xf numFmtId="0" fontId="3" fillId="0" borderId="0" xfId="0" applyFont="1" applyAlignment="1">
      <alignment horizontal="left" vertical="top"/>
    </xf>
    <xf numFmtId="0" fontId="3" fillId="0" borderId="26" xfId="0" applyFont="1" applyBorder="1"/>
    <xf numFmtId="0" fontId="3" fillId="0" borderId="27" xfId="0" applyFont="1" applyBorder="1"/>
    <xf numFmtId="0" fontId="3" fillId="0" borderId="28" xfId="0" applyFont="1" applyBorder="1"/>
    <xf numFmtId="0" fontId="3" fillId="0" borderId="40" xfId="0" applyFont="1" applyBorder="1" applyAlignment="1">
      <alignment horizontal="left"/>
    </xf>
    <xf numFmtId="0" fontId="3" fillId="0" borderId="41" xfId="0" applyFont="1" applyBorder="1" applyAlignment="1">
      <alignment horizontal="left"/>
    </xf>
    <xf numFmtId="0" fontId="3" fillId="0" borderId="51" xfId="0" applyFont="1" applyBorder="1" applyAlignment="1">
      <alignment horizontal="left"/>
    </xf>
    <xf numFmtId="0" fontId="2" fillId="0" borderId="42" xfId="0" applyFont="1" applyBorder="1"/>
    <xf numFmtId="0" fontId="2" fillId="0" borderId="0" xfId="0" applyFont="1" applyBorder="1"/>
    <xf numFmtId="0" fontId="2" fillId="0" borderId="12" xfId="0" applyFont="1" applyBorder="1"/>
    <xf numFmtId="0" fontId="2" fillId="0" borderId="40" xfId="0" applyFont="1" applyBorder="1" applyAlignment="1">
      <alignment horizontal="left"/>
    </xf>
    <xf numFmtId="0" fontId="2" fillId="0" borderId="41" xfId="0" applyFont="1" applyBorder="1" applyAlignment="1">
      <alignment horizontal="left"/>
    </xf>
    <xf numFmtId="0" fontId="2" fillId="0" borderId="51" xfId="0" applyFont="1" applyBorder="1" applyAlignment="1">
      <alignment horizontal="left"/>
    </xf>
    <xf numFmtId="0" fontId="3" fillId="0" borderId="31" xfId="0" applyFont="1" applyFill="1" applyBorder="1" applyAlignment="1">
      <alignment horizontal="center"/>
    </xf>
    <xf numFmtId="0" fontId="3" fillId="0" borderId="32" xfId="0" applyFont="1" applyFill="1" applyBorder="1" applyAlignment="1">
      <alignment horizontal="center"/>
    </xf>
    <xf numFmtId="0" fontId="3" fillId="0" borderId="43" xfId="0" applyFont="1" applyFill="1" applyBorder="1" applyAlignment="1">
      <alignment horizontal="center"/>
    </xf>
    <xf numFmtId="0" fontId="3" fillId="0" borderId="40" xfId="0" applyFont="1" applyFill="1" applyBorder="1" applyAlignment="1">
      <alignment horizontal="center"/>
    </xf>
    <xf numFmtId="0" fontId="3" fillId="0" borderId="41" xfId="0" applyFont="1" applyFill="1" applyBorder="1" applyAlignment="1">
      <alignment horizontal="center"/>
    </xf>
    <xf numFmtId="0" fontId="3" fillId="0" borderId="51" xfId="0" applyFont="1" applyFill="1" applyBorder="1" applyAlignment="1">
      <alignment horizontal="center"/>
    </xf>
    <xf numFmtId="0" fontId="3" fillId="0" borderId="0" xfId="0" applyFont="1" applyFill="1" applyAlignment="1">
      <alignment horizontal="center"/>
    </xf>
    <xf numFmtId="3" fontId="27" fillId="0" borderId="34" xfId="0" applyNumberFormat="1" applyFont="1" applyFill="1" applyBorder="1" applyAlignment="1">
      <alignment horizontal="center" vertical="center" wrapText="1"/>
    </xf>
    <xf numFmtId="3" fontId="27" fillId="0" borderId="36" xfId="0" applyNumberFormat="1"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55" xfId="0" applyFont="1" applyFill="1" applyBorder="1" applyAlignment="1">
      <alignment horizontal="center" vertical="center" wrapText="1"/>
    </xf>
    <xf numFmtId="0" fontId="10" fillId="0" borderId="3" xfId="0" applyFont="1" applyFill="1" applyBorder="1" applyAlignment="1">
      <alignment horizontal="center" vertical="center" wrapText="1"/>
    </xf>
    <xf numFmtId="3" fontId="13" fillId="0" borderId="63" xfId="0" applyNumberFormat="1" applyFont="1" applyFill="1" applyBorder="1" applyAlignment="1">
      <alignment horizontal="center" vertical="center" wrapText="1"/>
    </xf>
    <xf numFmtId="0" fontId="8" fillId="0" borderId="51" xfId="0" applyFont="1" applyFill="1" applyBorder="1" applyAlignment="1">
      <alignment horizontal="center" vertical="center" wrapText="1"/>
    </xf>
    <xf numFmtId="3" fontId="13" fillId="0" borderId="40" xfId="0" applyNumberFormat="1" applyFont="1" applyFill="1" applyBorder="1" applyAlignment="1">
      <alignment horizontal="center" vertical="center" wrapText="1"/>
    </xf>
    <xf numFmtId="3" fontId="13" fillId="0" borderId="51" xfId="0" applyNumberFormat="1" applyFont="1" applyFill="1" applyBorder="1" applyAlignment="1">
      <alignment horizontal="center" vertical="center" wrapText="1"/>
    </xf>
    <xf numFmtId="3" fontId="13" fillId="0" borderId="20" xfId="0" applyNumberFormat="1" applyFont="1" applyFill="1" applyBorder="1" applyAlignment="1">
      <alignment horizontal="center" vertical="center" wrapText="1"/>
    </xf>
    <xf numFmtId="3" fontId="13" fillId="0" borderId="8" xfId="0" applyNumberFormat="1" applyFont="1" applyFill="1" applyBorder="1" applyAlignment="1">
      <alignment horizontal="center" vertical="center" wrapText="1"/>
    </xf>
    <xf numFmtId="3" fontId="13" fillId="3" borderId="22" xfId="0" applyNumberFormat="1" applyFont="1" applyFill="1" applyBorder="1" applyAlignment="1">
      <alignment horizontal="center" vertical="center" wrapText="1"/>
    </xf>
    <xf numFmtId="3" fontId="13" fillId="3" borderId="8" xfId="0" applyNumberFormat="1" applyFont="1" applyFill="1" applyBorder="1" applyAlignment="1">
      <alignment horizontal="center" vertical="center" wrapText="1"/>
    </xf>
    <xf numFmtId="3" fontId="27" fillId="0" borderId="34" xfId="0" applyNumberFormat="1" applyFont="1" applyFill="1" applyBorder="1" applyAlignment="1">
      <alignment horizontal="center" vertical="center"/>
    </xf>
    <xf numFmtId="3" fontId="27" fillId="0" borderId="35" xfId="0" applyNumberFormat="1" applyFont="1" applyFill="1" applyBorder="1" applyAlignment="1">
      <alignment horizontal="center" vertical="center"/>
    </xf>
    <xf numFmtId="3" fontId="27" fillId="0" borderId="36" xfId="0" applyNumberFormat="1" applyFont="1" applyFill="1" applyBorder="1" applyAlignment="1">
      <alignment horizontal="center" vertical="center"/>
    </xf>
    <xf numFmtId="3" fontId="13" fillId="0" borderId="10" xfId="0" applyNumberFormat="1" applyFont="1" applyFill="1" applyBorder="1" applyAlignment="1">
      <alignment horizontal="center" vertical="center" wrapText="1"/>
    </xf>
    <xf numFmtId="3" fontId="10" fillId="0" borderId="34" xfId="0" applyNumberFormat="1" applyFont="1" applyFill="1" applyBorder="1" applyAlignment="1">
      <alignment horizontal="center" vertical="center" wrapText="1"/>
    </xf>
    <xf numFmtId="3" fontId="10" fillId="0" borderId="36" xfId="0" applyNumberFormat="1" applyFont="1" applyFill="1" applyBorder="1" applyAlignment="1">
      <alignment horizontal="center" vertical="center" wrapText="1"/>
    </xf>
    <xf numFmtId="3" fontId="27" fillId="0" borderId="35" xfId="0" applyNumberFormat="1"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26" xfId="0" applyFont="1" applyBorder="1" applyAlignment="1">
      <alignment horizontal="center" vertical="center" wrapText="1"/>
    </xf>
    <xf numFmtId="0" fontId="3" fillId="0" borderId="28" xfId="0" applyFont="1" applyBorder="1" applyAlignment="1">
      <alignment horizontal="center" vertical="center" wrapText="1"/>
    </xf>
    <xf numFmtId="41" fontId="3" fillId="0" borderId="31" xfId="0" applyNumberFormat="1" applyFont="1" applyBorder="1" applyAlignment="1">
      <alignment horizontal="center"/>
    </xf>
    <xf numFmtId="41" fontId="3" fillId="0" borderId="43" xfId="0" applyNumberFormat="1" applyFont="1" applyBorder="1" applyAlignment="1">
      <alignment horizontal="center"/>
    </xf>
    <xf numFmtId="41" fontId="3" fillId="0" borderId="40" xfId="0" applyNumberFormat="1" applyFont="1" applyBorder="1" applyAlignment="1">
      <alignment horizontal="center"/>
    </xf>
    <xf numFmtId="41" fontId="3" fillId="0" borderId="51" xfId="0" applyNumberFormat="1" applyFont="1" applyBorder="1" applyAlignment="1">
      <alignment horizontal="center"/>
    </xf>
    <xf numFmtId="3" fontId="3" fillId="0" borderId="0" xfId="5" applyNumberFormat="1" applyFont="1" applyFill="1" applyAlignment="1">
      <alignment horizontal="center"/>
    </xf>
    <xf numFmtId="0" fontId="2" fillId="0" borderId="0" xfId="5" applyFont="1" applyFill="1" applyBorder="1" applyAlignment="1">
      <alignment horizontal="center"/>
    </xf>
    <xf numFmtId="3" fontId="3" fillId="0" borderId="0" xfId="13" applyNumberFormat="1" applyFont="1" applyFill="1" applyAlignment="1">
      <alignment horizontal="center"/>
    </xf>
    <xf numFmtId="0" fontId="3" fillId="0" borderId="0" xfId="13" applyFont="1" applyFill="1" applyAlignment="1">
      <alignment horizontal="center"/>
    </xf>
    <xf numFmtId="3" fontId="2" fillId="0" borderId="0" xfId="13" applyNumberFormat="1" applyFont="1" applyFill="1" applyAlignment="1">
      <alignment horizontal="center"/>
    </xf>
    <xf numFmtId="0" fontId="2" fillId="0" borderId="0" xfId="13" applyFont="1" applyFill="1" applyAlignment="1">
      <alignment horizontal="center"/>
    </xf>
    <xf numFmtId="0" fontId="37" fillId="0" borderId="0" xfId="13" applyFont="1" applyFill="1" applyAlignment="1">
      <alignment horizontal="center"/>
    </xf>
    <xf numFmtId="0" fontId="2" fillId="0" borderId="0" xfId="13" applyFont="1" applyFill="1" applyAlignment="1">
      <alignment horizontal="left" vertical="center" wrapText="1"/>
    </xf>
    <xf numFmtId="0" fontId="2" fillId="0" borderId="0" xfId="0" applyFont="1" applyFill="1" applyAlignment="1">
      <alignment horizontal="left" vertical="center" wrapText="1"/>
    </xf>
    <xf numFmtId="0" fontId="2" fillId="0" borderId="0" xfId="12" applyFont="1" applyFill="1" applyAlignment="1">
      <alignment horizontal="left" vertical="center" wrapText="1"/>
    </xf>
    <xf numFmtId="0" fontId="2" fillId="0" borderId="0" xfId="12" applyFont="1" applyFill="1" applyAlignment="1">
      <alignment horizontal="left" vertical="top" wrapText="1"/>
    </xf>
    <xf numFmtId="0" fontId="2" fillId="0" borderId="0" xfId="0" applyFont="1" applyAlignment="1">
      <alignment wrapText="1"/>
    </xf>
    <xf numFmtId="0" fontId="2" fillId="0" borderId="54" xfId="0" applyFont="1" applyBorder="1" applyAlignment="1">
      <alignment horizontal="center"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63" xfId="0" applyFont="1" applyBorder="1" applyAlignment="1">
      <alignment horizontal="center" wrapText="1"/>
    </xf>
    <xf numFmtId="0" fontId="2" fillId="0" borderId="41" xfId="0" applyFont="1" applyBorder="1" applyAlignment="1">
      <alignment horizontal="center" wrapText="1"/>
    </xf>
    <xf numFmtId="0" fontId="2" fillId="0" borderId="58" xfId="0" applyFont="1" applyBorder="1" applyAlignment="1">
      <alignment horizontal="center" wrapText="1"/>
    </xf>
    <xf numFmtId="0" fontId="2" fillId="0" borderId="63" xfId="0" applyFont="1" applyBorder="1" applyAlignment="1">
      <alignment horizontal="center"/>
    </xf>
    <xf numFmtId="0" fontId="2" fillId="0" borderId="41" xfId="0" applyFont="1" applyBorder="1" applyAlignment="1">
      <alignment horizontal="center"/>
    </xf>
    <xf numFmtId="0" fontId="2" fillId="0" borderId="58" xfId="0" applyFont="1" applyBorder="1" applyAlignment="1">
      <alignment horizontal="center"/>
    </xf>
    <xf numFmtId="0" fontId="3" fillId="0" borderId="0" xfId="0" applyFont="1" applyBorder="1" applyAlignment="1">
      <alignment horizontal="center"/>
    </xf>
    <xf numFmtId="0" fontId="34" fillId="0" borderId="26" xfId="5" applyFont="1" applyBorder="1" applyAlignment="1">
      <alignment horizontal="left" vertical="top" wrapText="1"/>
    </xf>
    <xf numFmtId="0" fontId="34" fillId="0" borderId="27" xfId="5" applyFont="1" applyBorder="1" applyAlignment="1">
      <alignment horizontal="left" vertical="top" wrapText="1"/>
    </xf>
    <xf numFmtId="0" fontId="34" fillId="0" borderId="28" xfId="5" applyFont="1" applyBorder="1" applyAlignment="1">
      <alignment horizontal="left" vertical="top" wrapText="1"/>
    </xf>
    <xf numFmtId="0" fontId="34" fillId="0" borderId="41" xfId="5" applyFont="1" applyBorder="1" applyAlignment="1">
      <alignment horizontal="left" vertical="top" wrapText="1"/>
    </xf>
    <xf numFmtId="0" fontId="31" fillId="0" borderId="30" xfId="5" applyFont="1" applyBorder="1" applyAlignment="1">
      <alignment vertical="top"/>
    </xf>
    <xf numFmtId="0" fontId="31" fillId="2" borderId="30" xfId="5" applyFont="1" applyFill="1" applyBorder="1" applyAlignment="1">
      <alignment horizontal="center" vertical="top" wrapText="1"/>
    </xf>
    <xf numFmtId="0" fontId="34" fillId="0" borderId="27" xfId="5" applyFont="1" applyBorder="1" applyAlignment="1">
      <alignment horizontal="left" vertical="top"/>
    </xf>
    <xf numFmtId="0" fontId="34" fillId="0" borderId="28" xfId="5" applyFont="1" applyBorder="1" applyAlignment="1">
      <alignment horizontal="left" vertical="top"/>
    </xf>
    <xf numFmtId="0" fontId="34" fillId="0" borderId="26" xfId="5" applyFont="1" applyBorder="1" applyAlignment="1">
      <alignment horizontal="right" vertical="top" wrapText="1"/>
    </xf>
  </cellXfs>
  <cellStyles count="14">
    <cellStyle name="Comma" xfId="1" builtinId="3"/>
    <cellStyle name="Comma 2" xfId="7"/>
    <cellStyle name="Comma 3" xfId="8"/>
    <cellStyle name="Currency" xfId="4" builtinId="4"/>
    <cellStyle name="Currency 2" xfId="6"/>
    <cellStyle name="Normal" xfId="0" builtinId="0"/>
    <cellStyle name="Normal 2" xfId="5"/>
    <cellStyle name="Normal 3" xfId="9"/>
    <cellStyle name="Normal_Appendix Exhibits.FINAL 2" xfId="12"/>
    <cellStyle name="Normal_Improve by DU" xfId="2"/>
    <cellStyle name="Normal_Rsrcs_X_ DOJ Goal  Obj" xfId="3"/>
    <cellStyle name="Normal_Sheet1 2" xfId="13"/>
    <cellStyle name="Percent 2" xfId="10"/>
    <cellStyle name="Percent 2 2" xfId="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9</xdr:col>
      <xdr:colOff>1905</xdr:colOff>
      <xdr:row>28</xdr:row>
      <xdr:rowOff>9525</xdr:rowOff>
    </xdr:to>
    <xdr:pic>
      <xdr:nvPicPr>
        <xdr:cNvPr id="5" name="Picture 1" descr="Federal Bureau of Prisons organization chart"/>
        <xdr:cNvPicPr>
          <a:picLocks noChangeAspect="1" noChangeArrowheads="1"/>
        </xdr:cNvPicPr>
      </xdr:nvPicPr>
      <xdr:blipFill>
        <a:blip xmlns:r="http://schemas.openxmlformats.org/officeDocument/2006/relationships" r:embed="rId1" cstate="print">
          <a:extLst>
            <a:ext uri="{BEBA8EAE-BF5A-486C-A8C5-ECC9F3942E4B}">
              <a14:imgProps xmlns="" xmlns:a14="http://schemas.microsoft.com/office/drawing/2010/main">
                <a14:imgLayer r:embed="rId2">
                  <a14:imgEffect>
                    <a14:sharpenSoften amount="52000"/>
                  </a14:imgEffect>
                </a14:imgLayer>
              </a14:imgProps>
            </a:ext>
            <a:ext uri="{28A0092B-C50C-407E-A947-70E740481C1C}">
              <a14:useLocalDpi xmlns="" xmlns:a14="http://schemas.microsoft.com/office/drawing/2010/main" val="0"/>
            </a:ext>
          </a:extLst>
        </a:blip>
        <a:srcRect/>
        <a:stretch>
          <a:fillRect/>
        </a:stretch>
      </xdr:blipFill>
      <xdr:spPr bwMode="auto">
        <a:xfrm>
          <a:off x="0" y="0"/>
          <a:ext cx="6829425" cy="49625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J1:J29"/>
  <sheetViews>
    <sheetView tabSelected="1" view="pageBreakPreview" topLeftCell="A9" zoomScaleNormal="100" zoomScaleSheetLayoutView="100" workbookViewId="0">
      <selection activeCell="M12" sqref="M12"/>
    </sheetView>
  </sheetViews>
  <sheetFormatPr defaultRowHeight="15"/>
  <cols>
    <col min="10" max="10" width="0.6328125" customWidth="1"/>
  </cols>
  <sheetData>
    <row r="1" spans="10:10">
      <c r="J1" s="127" t="s">
        <v>159</v>
      </c>
    </row>
    <row r="2" spans="10:10">
      <c r="J2" s="127" t="s">
        <v>159</v>
      </c>
    </row>
    <row r="3" spans="10:10">
      <c r="J3" s="127" t="s">
        <v>159</v>
      </c>
    </row>
    <row r="4" spans="10:10">
      <c r="J4" s="127" t="s">
        <v>159</v>
      </c>
    </row>
    <row r="5" spans="10:10">
      <c r="J5" s="127" t="s">
        <v>159</v>
      </c>
    </row>
    <row r="6" spans="10:10">
      <c r="J6" s="127" t="s">
        <v>159</v>
      </c>
    </row>
    <row r="7" spans="10:10">
      <c r="J7" s="127" t="s">
        <v>159</v>
      </c>
    </row>
    <row r="8" spans="10:10">
      <c r="J8" s="127" t="s">
        <v>159</v>
      </c>
    </row>
    <row r="9" spans="10:10">
      <c r="J9" s="127" t="s">
        <v>159</v>
      </c>
    </row>
    <row r="10" spans="10:10">
      <c r="J10" s="127" t="s">
        <v>159</v>
      </c>
    </row>
    <row r="11" spans="10:10">
      <c r="J11" s="127" t="s">
        <v>159</v>
      </c>
    </row>
    <row r="12" spans="10:10">
      <c r="J12" s="127" t="s">
        <v>159</v>
      </c>
    </row>
    <row r="13" spans="10:10">
      <c r="J13" s="127" t="s">
        <v>159</v>
      </c>
    </row>
    <row r="14" spans="10:10">
      <c r="J14" s="127" t="s">
        <v>159</v>
      </c>
    </row>
    <row r="15" spans="10:10">
      <c r="J15" s="127" t="s">
        <v>159</v>
      </c>
    </row>
    <row r="16" spans="10:10">
      <c r="J16" s="127" t="s">
        <v>159</v>
      </c>
    </row>
    <row r="17" spans="10:10">
      <c r="J17" s="127" t="s">
        <v>159</v>
      </c>
    </row>
    <row r="18" spans="10:10">
      <c r="J18" s="127" t="s">
        <v>159</v>
      </c>
    </row>
    <row r="19" spans="10:10">
      <c r="J19" s="127" t="s">
        <v>159</v>
      </c>
    </row>
    <row r="20" spans="10:10">
      <c r="J20" s="127" t="s">
        <v>159</v>
      </c>
    </row>
    <row r="21" spans="10:10">
      <c r="J21" s="127" t="s">
        <v>159</v>
      </c>
    </row>
    <row r="22" spans="10:10">
      <c r="J22" s="127" t="s">
        <v>159</v>
      </c>
    </row>
    <row r="23" spans="10:10">
      <c r="J23" s="127" t="s">
        <v>159</v>
      </c>
    </row>
    <row r="24" spans="10:10">
      <c r="J24" s="127" t="s">
        <v>159</v>
      </c>
    </row>
    <row r="25" spans="10:10">
      <c r="J25" s="127" t="s">
        <v>159</v>
      </c>
    </row>
    <row r="26" spans="10:10">
      <c r="J26" s="127" t="s">
        <v>159</v>
      </c>
    </row>
    <row r="27" spans="10:10">
      <c r="J27" s="127" t="s">
        <v>159</v>
      </c>
    </row>
    <row r="28" spans="10:10">
      <c r="J28" s="127" t="s">
        <v>159</v>
      </c>
    </row>
    <row r="29" spans="10:10">
      <c r="J29" s="127" t="s">
        <v>161</v>
      </c>
    </row>
  </sheetData>
  <pageMargins left="0.7" right="0.7" top="0.75" bottom="0.75" header="0.75" footer="0.3"/>
  <pageSetup orientation="landscape" r:id="rId1"/>
  <headerFooter>
    <oddHeader>&amp;L&amp;"Times New Roman,Bold"&amp;14A: Organization Chart</oddHeader>
    <oddFooter>&amp;C&amp;"Times New Roman,Regular"Exhibit A:  Organization Chart</oddFooter>
  </headerFooter>
  <drawing r:id="rId2"/>
</worksheet>
</file>

<file path=xl/worksheets/sheet10.xml><?xml version="1.0" encoding="utf-8"?>
<worksheet xmlns="http://schemas.openxmlformats.org/spreadsheetml/2006/main" xmlns:r="http://schemas.openxmlformats.org/officeDocument/2006/relationships">
  <dimension ref="A1:AE41"/>
  <sheetViews>
    <sheetView view="pageBreakPreview" zoomScale="50" zoomScaleNormal="60" zoomScaleSheetLayoutView="50" workbookViewId="0">
      <selection activeCell="J1" sqref="J1"/>
    </sheetView>
  </sheetViews>
  <sheetFormatPr defaultColWidth="8.90625" defaultRowHeight="15.6"/>
  <cols>
    <col min="1" max="1" width="27" style="72" customWidth="1"/>
    <col min="2" max="2" width="5.81640625" style="72" customWidth="1"/>
    <col min="3" max="3" width="9" style="193" customWidth="1"/>
    <col min="4" max="4" width="8.1796875" style="118" customWidth="1"/>
    <col min="5" max="5" width="10.1796875" style="118" customWidth="1"/>
    <col min="6" max="6" width="12.453125" style="118" customWidth="1"/>
    <col min="7" max="7" width="10.6328125" style="118" customWidth="1"/>
    <col min="8" max="8" width="5.81640625" style="211" customWidth="1"/>
    <col min="9" max="9" width="10.36328125" style="118" customWidth="1"/>
    <col min="10" max="10" width="5.6328125" style="118" customWidth="1"/>
    <col min="11" max="11" width="10.36328125" style="118" customWidth="1"/>
    <col min="12" max="12" width="10" style="663" hidden="1" customWidth="1"/>
    <col min="13" max="13" width="11.36328125" style="663" hidden="1" customWidth="1"/>
    <col min="14" max="14" width="12.54296875" style="72" customWidth="1"/>
    <col min="15" max="15" width="12.453125" style="118" customWidth="1"/>
    <col min="16" max="16" width="10.81640625" style="193" customWidth="1"/>
    <col min="17" max="17" width="5" style="72" customWidth="1"/>
    <col min="18" max="18" width="10.453125" style="72" customWidth="1"/>
    <col min="19" max="19" width="7.453125" style="72" customWidth="1"/>
    <col min="20" max="20" width="12.6328125" style="72" customWidth="1"/>
    <col min="21" max="21" width="7.1796875" style="72" customWidth="1"/>
    <col min="22" max="22" width="12.08984375" style="72" customWidth="1"/>
    <col min="23" max="23" width="1" style="519" customWidth="1"/>
    <col min="24" max="16384" width="8.90625" style="72"/>
  </cols>
  <sheetData>
    <row r="1" spans="1:31">
      <c r="B1" s="888" t="s">
        <v>120</v>
      </c>
      <c r="C1" s="888"/>
      <c r="D1" s="888"/>
      <c r="E1" s="888"/>
      <c r="F1" s="888"/>
      <c r="G1" s="888"/>
      <c r="H1" s="888"/>
      <c r="I1" s="888"/>
      <c r="J1" s="888"/>
      <c r="K1" s="888"/>
      <c r="L1" s="888"/>
      <c r="M1" s="888"/>
      <c r="N1" s="888"/>
      <c r="O1" s="888"/>
      <c r="P1" s="888"/>
      <c r="Q1" s="888" t="s">
        <v>120</v>
      </c>
      <c r="R1" s="888"/>
      <c r="S1" s="888"/>
      <c r="T1" s="888"/>
      <c r="U1" s="888"/>
      <c r="V1" s="888"/>
      <c r="W1" s="517" t="s">
        <v>159</v>
      </c>
    </row>
    <row r="2" spans="1:31">
      <c r="B2" s="888" t="s">
        <v>30</v>
      </c>
      <c r="C2" s="888"/>
      <c r="D2" s="888"/>
      <c r="E2" s="888"/>
      <c r="F2" s="888"/>
      <c r="G2" s="888"/>
      <c r="H2" s="888"/>
      <c r="I2" s="888"/>
      <c r="J2" s="888"/>
      <c r="K2" s="888"/>
      <c r="L2" s="888"/>
      <c r="M2" s="888"/>
      <c r="N2" s="888"/>
      <c r="O2" s="888"/>
      <c r="P2" s="888"/>
      <c r="Q2" s="888" t="s">
        <v>30</v>
      </c>
      <c r="R2" s="888"/>
      <c r="S2" s="888"/>
      <c r="T2" s="888"/>
      <c r="U2" s="888"/>
      <c r="V2" s="888"/>
      <c r="W2" s="517" t="s">
        <v>159</v>
      </c>
      <c r="X2" s="740"/>
      <c r="Y2" s="740"/>
      <c r="Z2" s="740"/>
      <c r="AA2" s="740"/>
      <c r="AB2" s="740"/>
      <c r="AC2" s="740"/>
      <c r="AD2" s="740"/>
      <c r="AE2" s="740"/>
    </row>
    <row r="3" spans="1:31">
      <c r="B3" s="888" t="s">
        <v>31</v>
      </c>
      <c r="C3" s="888"/>
      <c r="D3" s="888"/>
      <c r="E3" s="888"/>
      <c r="F3" s="888"/>
      <c r="G3" s="888"/>
      <c r="H3" s="888"/>
      <c r="I3" s="888"/>
      <c r="J3" s="888"/>
      <c r="K3" s="888"/>
      <c r="L3" s="888"/>
      <c r="M3" s="888"/>
      <c r="N3" s="888"/>
      <c r="O3" s="888"/>
      <c r="P3" s="888"/>
      <c r="Q3" s="888" t="s">
        <v>31</v>
      </c>
      <c r="R3" s="888"/>
      <c r="S3" s="888"/>
      <c r="T3" s="888"/>
      <c r="U3" s="888"/>
      <c r="V3" s="888"/>
      <c r="W3" s="517" t="s">
        <v>159</v>
      </c>
      <c r="X3" s="740"/>
      <c r="Y3" s="740"/>
      <c r="Z3" s="740"/>
      <c r="AA3" s="740"/>
      <c r="AB3" s="740"/>
      <c r="AC3" s="740"/>
      <c r="AD3" s="740"/>
      <c r="AE3" s="740"/>
    </row>
    <row r="4" spans="1:31" ht="16.2" thickBot="1">
      <c r="B4" s="888" t="s">
        <v>44</v>
      </c>
      <c r="C4" s="888"/>
      <c r="D4" s="888"/>
      <c r="E4" s="888"/>
      <c r="F4" s="888"/>
      <c r="G4" s="888"/>
      <c r="H4" s="888"/>
      <c r="I4" s="888"/>
      <c r="J4" s="888"/>
      <c r="K4" s="888"/>
      <c r="L4" s="888"/>
      <c r="M4" s="888"/>
      <c r="N4" s="888"/>
      <c r="O4" s="888"/>
      <c r="P4" s="888"/>
      <c r="Q4" s="888" t="s">
        <v>44</v>
      </c>
      <c r="R4" s="888"/>
      <c r="S4" s="888"/>
      <c r="T4" s="888"/>
      <c r="U4" s="888"/>
      <c r="V4" s="888"/>
      <c r="W4" s="517" t="s">
        <v>159</v>
      </c>
      <c r="X4" s="740"/>
      <c r="Y4" s="740"/>
      <c r="Z4" s="740"/>
      <c r="AA4" s="740"/>
      <c r="AB4" s="740"/>
      <c r="AC4" s="740"/>
      <c r="AD4" s="740"/>
      <c r="AE4" s="740"/>
    </row>
    <row r="5" spans="1:31" s="171" customFormat="1" ht="60" customHeight="1" thickBot="1">
      <c r="A5" s="520"/>
      <c r="B5" s="889" t="s">
        <v>182</v>
      </c>
      <c r="C5" s="909"/>
      <c r="D5" s="909"/>
      <c r="E5" s="909"/>
      <c r="F5" s="909"/>
      <c r="G5" s="890"/>
      <c r="H5" s="903" t="s">
        <v>181</v>
      </c>
      <c r="I5" s="904"/>
      <c r="J5" s="904"/>
      <c r="K5" s="904"/>
      <c r="L5" s="904"/>
      <c r="M5" s="904"/>
      <c r="N5" s="904"/>
      <c r="O5" s="904"/>
      <c r="P5" s="905"/>
      <c r="Q5" s="907" t="s">
        <v>209</v>
      </c>
      <c r="R5" s="908"/>
      <c r="S5" s="889" t="s">
        <v>192</v>
      </c>
      <c r="T5" s="890"/>
      <c r="U5" s="891" t="s">
        <v>265</v>
      </c>
      <c r="V5" s="892"/>
      <c r="W5" s="518" t="s">
        <v>183</v>
      </c>
    </row>
    <row r="6" spans="1:31" s="170" customFormat="1" ht="81.75" customHeight="1" thickBot="1">
      <c r="A6" s="169"/>
      <c r="B6" s="895" t="s">
        <v>206</v>
      </c>
      <c r="C6" s="896"/>
      <c r="D6" s="897" t="s">
        <v>207</v>
      </c>
      <c r="E6" s="898"/>
      <c r="F6" s="493" t="s">
        <v>375</v>
      </c>
      <c r="G6" s="493" t="s">
        <v>236</v>
      </c>
      <c r="H6" s="899" t="s">
        <v>210</v>
      </c>
      <c r="I6" s="900"/>
      <c r="J6" s="897" t="s">
        <v>207</v>
      </c>
      <c r="K6" s="898"/>
      <c r="L6" s="901" t="s">
        <v>208</v>
      </c>
      <c r="M6" s="902"/>
      <c r="N6" s="247" t="s">
        <v>237</v>
      </c>
      <c r="O6" s="493" t="s">
        <v>375</v>
      </c>
      <c r="P6" s="210" t="s">
        <v>236</v>
      </c>
      <c r="Q6" s="899" t="s">
        <v>374</v>
      </c>
      <c r="R6" s="906"/>
      <c r="S6" s="910" t="s">
        <v>376</v>
      </c>
      <c r="T6" s="911"/>
      <c r="U6" s="893"/>
      <c r="V6" s="894"/>
      <c r="W6" s="518" t="s">
        <v>183</v>
      </c>
    </row>
    <row r="7" spans="1:31" ht="16.2" thickBot="1">
      <c r="A7" s="130" t="s">
        <v>103</v>
      </c>
      <c r="B7" s="500" t="s">
        <v>26</v>
      </c>
      <c r="C7" s="501" t="s">
        <v>158</v>
      </c>
      <c r="D7" s="502" t="s">
        <v>26</v>
      </c>
      <c r="E7" s="501" t="s">
        <v>158</v>
      </c>
      <c r="F7" s="503" t="s">
        <v>158</v>
      </c>
      <c r="G7" s="504" t="s">
        <v>158</v>
      </c>
      <c r="H7" s="500" t="s">
        <v>26</v>
      </c>
      <c r="I7" s="501" t="s">
        <v>158</v>
      </c>
      <c r="J7" s="502" t="s">
        <v>26</v>
      </c>
      <c r="K7" s="501" t="s">
        <v>158</v>
      </c>
      <c r="L7" s="647" t="s">
        <v>26</v>
      </c>
      <c r="M7" s="646" t="s">
        <v>158</v>
      </c>
      <c r="N7" s="507" t="s">
        <v>158</v>
      </c>
      <c r="O7" s="503" t="s">
        <v>158</v>
      </c>
      <c r="P7" s="505" t="s">
        <v>158</v>
      </c>
      <c r="Q7" s="506" t="s">
        <v>26</v>
      </c>
      <c r="R7" s="665" t="s">
        <v>158</v>
      </c>
      <c r="S7" s="669" t="s">
        <v>26</v>
      </c>
      <c r="T7" s="504" t="s">
        <v>158</v>
      </c>
      <c r="U7" s="499" t="s">
        <v>26</v>
      </c>
      <c r="V7" s="508" t="s">
        <v>158</v>
      </c>
      <c r="W7" s="518" t="s">
        <v>183</v>
      </c>
    </row>
    <row r="8" spans="1:31">
      <c r="A8" s="129" t="s">
        <v>70</v>
      </c>
      <c r="B8" s="314"/>
      <c r="C8" s="315"/>
      <c r="D8" s="316"/>
      <c r="E8" s="317"/>
      <c r="F8" s="317"/>
      <c r="G8" s="318"/>
      <c r="H8" s="332">
        <v>1</v>
      </c>
      <c r="I8" s="320">
        <v>154</v>
      </c>
      <c r="J8" s="316">
        <v>1</v>
      </c>
      <c r="K8" s="317">
        <v>154</v>
      </c>
      <c r="L8" s="649"/>
      <c r="M8" s="648"/>
      <c r="N8" s="323"/>
      <c r="O8" s="317"/>
      <c r="P8" s="321"/>
      <c r="Q8" s="322"/>
      <c r="R8" s="327"/>
      <c r="S8" s="322"/>
      <c r="T8" s="327"/>
      <c r="U8" s="316">
        <f>+D8+B8+H8+L8+Q8+J8</f>
        <v>2</v>
      </c>
      <c r="V8" s="318">
        <f>+F8+E8+C8+I8+P8+M8+K8+R8+T8+G8+O8+N8</f>
        <v>308</v>
      </c>
      <c r="W8" s="518" t="s">
        <v>183</v>
      </c>
    </row>
    <row r="9" spans="1:31">
      <c r="A9" s="129" t="s">
        <v>71</v>
      </c>
      <c r="B9" s="324">
        <v>2</v>
      </c>
      <c r="C9" s="325">
        <v>266</v>
      </c>
      <c r="D9" s="316">
        <v>2</v>
      </c>
      <c r="E9" s="317">
        <v>267</v>
      </c>
      <c r="F9" s="317"/>
      <c r="G9" s="327"/>
      <c r="H9" s="332"/>
      <c r="I9" s="320"/>
      <c r="J9" s="316"/>
      <c r="K9" s="317"/>
      <c r="L9" s="649"/>
      <c r="M9" s="648"/>
      <c r="N9" s="323"/>
      <c r="O9" s="317"/>
      <c r="P9" s="328"/>
      <c r="Q9" s="322"/>
      <c r="R9" s="327"/>
      <c r="S9" s="322"/>
      <c r="T9" s="327"/>
      <c r="U9" s="316">
        <f>+D9+B9+H9+L9+Q9+J9</f>
        <v>4</v>
      </c>
      <c r="V9" s="327">
        <f t="shared" ref="V9:V20" si="0">+F9+E9+C9+I9+P9+M9+K9+R9+T9+G9+O9+N9</f>
        <v>533</v>
      </c>
      <c r="W9" s="518" t="s">
        <v>183</v>
      </c>
    </row>
    <row r="10" spans="1:31">
      <c r="A10" s="129" t="s">
        <v>72</v>
      </c>
      <c r="B10" s="329"/>
      <c r="C10" s="330"/>
      <c r="D10" s="316"/>
      <c r="E10" s="317"/>
      <c r="F10" s="317"/>
      <c r="G10" s="327"/>
      <c r="H10" s="332">
        <v>2</v>
      </c>
      <c r="I10" s="320">
        <v>227</v>
      </c>
      <c r="J10" s="316">
        <v>2</v>
      </c>
      <c r="K10" s="317">
        <v>227</v>
      </c>
      <c r="L10" s="649"/>
      <c r="M10" s="648"/>
      <c r="N10" s="323"/>
      <c r="O10" s="317"/>
      <c r="P10" s="331"/>
      <c r="Q10" s="332">
        <v>1</v>
      </c>
      <c r="R10" s="327">
        <v>123</v>
      </c>
      <c r="S10" s="322"/>
      <c r="T10" s="327"/>
      <c r="U10" s="316">
        <f>+D10+B10+H10+L10+Q10+J10</f>
        <v>5</v>
      </c>
      <c r="V10" s="327">
        <f t="shared" si="0"/>
        <v>577</v>
      </c>
      <c r="W10" s="518" t="s">
        <v>183</v>
      </c>
    </row>
    <row r="11" spans="1:31">
      <c r="A11" s="129" t="s">
        <v>73</v>
      </c>
      <c r="B11" s="324">
        <v>7</v>
      </c>
      <c r="C11" s="325">
        <v>673</v>
      </c>
      <c r="D11" s="316">
        <v>7</v>
      </c>
      <c r="E11" s="317">
        <v>673</v>
      </c>
      <c r="F11" s="317"/>
      <c r="G11" s="327"/>
      <c r="H11" s="332">
        <v>8</v>
      </c>
      <c r="I11" s="320">
        <v>770</v>
      </c>
      <c r="J11" s="316">
        <v>8</v>
      </c>
      <c r="K11" s="317">
        <v>769</v>
      </c>
      <c r="L11" s="649"/>
      <c r="M11" s="648"/>
      <c r="N11" s="334"/>
      <c r="O11" s="317"/>
      <c r="P11" s="328"/>
      <c r="Q11" s="333"/>
      <c r="R11" s="666"/>
      <c r="S11" s="670">
        <v>-60</v>
      </c>
      <c r="T11" s="667">
        <v>-11001</v>
      </c>
      <c r="U11" s="316">
        <f>+D11+B11+H11+L11+Q11+J11+S11</f>
        <v>-30</v>
      </c>
      <c r="V11" s="327">
        <f t="shared" si="0"/>
        <v>-8116</v>
      </c>
      <c r="W11" s="518" t="s">
        <v>183</v>
      </c>
    </row>
    <row r="12" spans="1:31">
      <c r="A12" s="129" t="s">
        <v>74</v>
      </c>
      <c r="B12" s="322">
        <v>14</v>
      </c>
      <c r="C12" s="317">
        <v>1132</v>
      </c>
      <c r="D12" s="316">
        <v>14</v>
      </c>
      <c r="E12" s="317">
        <v>1132</v>
      </c>
      <c r="F12" s="317"/>
      <c r="G12" s="327"/>
      <c r="H12" s="332">
        <v>5</v>
      </c>
      <c r="I12" s="320">
        <v>405</v>
      </c>
      <c r="J12" s="316">
        <v>4</v>
      </c>
      <c r="K12" s="317">
        <v>324</v>
      </c>
      <c r="L12" s="649"/>
      <c r="M12" s="648"/>
      <c r="N12" s="334"/>
      <c r="O12" s="317"/>
      <c r="P12" s="335"/>
      <c r="Q12" s="333">
        <v>1</v>
      </c>
      <c r="R12" s="666">
        <v>87</v>
      </c>
      <c r="S12" s="670"/>
      <c r="T12" s="667"/>
      <c r="U12" s="316">
        <f t="shared" ref="U12:U20" si="1">+D12+B12+H12+L12+Q12+J12</f>
        <v>38</v>
      </c>
      <c r="V12" s="327">
        <f t="shared" si="0"/>
        <v>3080</v>
      </c>
      <c r="W12" s="518" t="s">
        <v>183</v>
      </c>
    </row>
    <row r="13" spans="1:31">
      <c r="A13" s="129" t="s">
        <v>75</v>
      </c>
      <c r="B13" s="322">
        <v>45</v>
      </c>
      <c r="C13" s="317">
        <v>3037</v>
      </c>
      <c r="D13" s="316">
        <v>38</v>
      </c>
      <c r="E13" s="317">
        <v>2564</v>
      </c>
      <c r="F13" s="317"/>
      <c r="G13" s="327"/>
      <c r="H13" s="332">
        <v>18</v>
      </c>
      <c r="I13" s="336">
        <v>1211</v>
      </c>
      <c r="J13" s="319">
        <v>16</v>
      </c>
      <c r="K13" s="317">
        <v>1080</v>
      </c>
      <c r="L13" s="649"/>
      <c r="M13" s="648"/>
      <c r="N13" s="334"/>
      <c r="O13" s="317"/>
      <c r="P13" s="335"/>
      <c r="Q13" s="333">
        <v>2</v>
      </c>
      <c r="R13" s="666">
        <v>148</v>
      </c>
      <c r="S13" s="670"/>
      <c r="T13" s="667"/>
      <c r="U13" s="316">
        <f t="shared" si="1"/>
        <v>119</v>
      </c>
      <c r="V13" s="327">
        <f t="shared" si="0"/>
        <v>8040</v>
      </c>
      <c r="W13" s="518" t="s">
        <v>183</v>
      </c>
    </row>
    <row r="14" spans="1:31">
      <c r="A14" s="129" t="s">
        <v>76</v>
      </c>
      <c r="B14" s="322">
        <v>1</v>
      </c>
      <c r="C14" s="317">
        <v>63</v>
      </c>
      <c r="D14" s="316"/>
      <c r="E14" s="317"/>
      <c r="F14" s="317"/>
      <c r="G14" s="338"/>
      <c r="H14" s="485">
        <v>2</v>
      </c>
      <c r="I14" s="339">
        <v>126</v>
      </c>
      <c r="J14" s="319">
        <v>2</v>
      </c>
      <c r="K14" s="339">
        <v>126</v>
      </c>
      <c r="L14" s="649"/>
      <c r="M14" s="648"/>
      <c r="N14" s="323"/>
      <c r="O14" s="317"/>
      <c r="P14" s="335"/>
      <c r="Q14" s="340"/>
      <c r="R14" s="349"/>
      <c r="S14" s="322"/>
      <c r="T14" s="327"/>
      <c r="U14" s="316">
        <f t="shared" si="1"/>
        <v>5</v>
      </c>
      <c r="V14" s="327">
        <f t="shared" si="0"/>
        <v>315</v>
      </c>
      <c r="W14" s="518" t="s">
        <v>183</v>
      </c>
    </row>
    <row r="15" spans="1:31">
      <c r="A15" s="129" t="s">
        <v>77</v>
      </c>
      <c r="B15" s="322">
        <v>20</v>
      </c>
      <c r="C15" s="317">
        <v>1148</v>
      </c>
      <c r="D15" s="316">
        <f>24+8</f>
        <v>32</v>
      </c>
      <c r="E15" s="317">
        <v>1837</v>
      </c>
      <c r="F15" s="317"/>
      <c r="G15" s="342"/>
      <c r="H15" s="486">
        <v>21</v>
      </c>
      <c r="I15" s="325">
        <v>1205</v>
      </c>
      <c r="J15" s="343">
        <v>19</v>
      </c>
      <c r="K15" s="325">
        <v>1091</v>
      </c>
      <c r="L15" s="649"/>
      <c r="M15" s="648"/>
      <c r="N15" s="334"/>
      <c r="O15" s="317"/>
      <c r="P15" s="335"/>
      <c r="Q15" s="333"/>
      <c r="R15" s="666"/>
      <c r="S15" s="670"/>
      <c r="T15" s="667"/>
      <c r="U15" s="316">
        <f t="shared" si="1"/>
        <v>92</v>
      </c>
      <c r="V15" s="327">
        <f t="shared" si="0"/>
        <v>5281</v>
      </c>
      <c r="W15" s="518" t="s">
        <v>183</v>
      </c>
    </row>
    <row r="16" spans="1:31">
      <c r="A16" s="129" t="s">
        <v>78</v>
      </c>
      <c r="B16" s="322">
        <v>5</v>
      </c>
      <c r="C16" s="317">
        <v>266</v>
      </c>
      <c r="D16" s="316"/>
      <c r="E16" s="317"/>
      <c r="F16" s="317"/>
      <c r="G16" s="342"/>
      <c r="H16" s="487">
        <v>100</v>
      </c>
      <c r="I16" s="344">
        <v>5347</v>
      </c>
      <c r="J16" s="345">
        <v>59</v>
      </c>
      <c r="K16" s="344">
        <v>3155</v>
      </c>
      <c r="L16" s="649"/>
      <c r="M16" s="648"/>
      <c r="N16" s="323"/>
      <c r="O16" s="317"/>
      <c r="P16" s="335"/>
      <c r="Q16" s="340"/>
      <c r="R16" s="349"/>
      <c r="S16" s="322"/>
      <c r="T16" s="327"/>
      <c r="U16" s="316">
        <f t="shared" si="1"/>
        <v>164</v>
      </c>
      <c r="V16" s="327">
        <f t="shared" si="0"/>
        <v>8768</v>
      </c>
      <c r="W16" s="518" t="s">
        <v>183</v>
      </c>
    </row>
    <row r="17" spans="1:23">
      <c r="A17" s="129" t="s">
        <v>79</v>
      </c>
      <c r="B17" s="322">
        <v>8</v>
      </c>
      <c r="C17" s="317">
        <v>408</v>
      </c>
      <c r="D17" s="316">
        <v>15</v>
      </c>
      <c r="E17" s="317">
        <v>765</v>
      </c>
      <c r="F17" s="317"/>
      <c r="G17" s="327"/>
      <c r="H17" s="488">
        <v>92</v>
      </c>
      <c r="I17" s="346">
        <v>4688</v>
      </c>
      <c r="J17" s="347">
        <v>102</v>
      </c>
      <c r="K17" s="348">
        <f>5199-5</f>
        <v>5194</v>
      </c>
      <c r="L17" s="649"/>
      <c r="M17" s="648"/>
      <c r="N17" s="334"/>
      <c r="O17" s="317"/>
      <c r="P17" s="335"/>
      <c r="Q17" s="333"/>
      <c r="R17" s="666"/>
      <c r="S17" s="670"/>
      <c r="T17" s="667"/>
      <c r="U17" s="316">
        <f t="shared" si="1"/>
        <v>217</v>
      </c>
      <c r="V17" s="327">
        <f t="shared" si="0"/>
        <v>11055</v>
      </c>
      <c r="W17" s="518" t="s">
        <v>183</v>
      </c>
    </row>
    <row r="18" spans="1:23">
      <c r="A18" s="129" t="s">
        <v>80</v>
      </c>
      <c r="B18" s="322">
        <v>14</v>
      </c>
      <c r="C18" s="317">
        <v>658</v>
      </c>
      <c r="D18" s="316">
        <v>18</v>
      </c>
      <c r="E18" s="317">
        <v>847</v>
      </c>
      <c r="F18" s="317"/>
      <c r="G18" s="327"/>
      <c r="H18" s="332">
        <v>3</v>
      </c>
      <c r="I18" s="320">
        <v>141</v>
      </c>
      <c r="J18" s="316">
        <v>1</v>
      </c>
      <c r="K18" s="317">
        <v>47</v>
      </c>
      <c r="L18" s="649"/>
      <c r="M18" s="648"/>
      <c r="N18" s="323"/>
      <c r="O18" s="317"/>
      <c r="P18" s="335"/>
      <c r="Q18" s="322"/>
      <c r="R18" s="327"/>
      <c r="S18" s="322"/>
      <c r="T18" s="327"/>
      <c r="U18" s="316">
        <f t="shared" si="1"/>
        <v>36</v>
      </c>
      <c r="V18" s="327">
        <f t="shared" si="0"/>
        <v>1693</v>
      </c>
      <c r="W18" s="518" t="s">
        <v>183</v>
      </c>
    </row>
    <row r="19" spans="1:23">
      <c r="A19" s="129" t="s">
        <v>81</v>
      </c>
      <c r="B19" s="322">
        <v>1</v>
      </c>
      <c r="C19" s="317">
        <v>44</v>
      </c>
      <c r="D19" s="316"/>
      <c r="E19" s="317"/>
      <c r="F19" s="317"/>
      <c r="G19" s="327"/>
      <c r="H19" s="332">
        <v>1</v>
      </c>
      <c r="I19" s="320">
        <v>44</v>
      </c>
      <c r="J19" s="316"/>
      <c r="K19" s="317"/>
      <c r="L19" s="649"/>
      <c r="M19" s="648"/>
      <c r="N19" s="323"/>
      <c r="O19" s="317"/>
      <c r="P19" s="335"/>
      <c r="Q19" s="322"/>
      <c r="R19" s="327"/>
      <c r="S19" s="322"/>
      <c r="T19" s="327"/>
      <c r="U19" s="316">
        <f t="shared" si="1"/>
        <v>2</v>
      </c>
      <c r="V19" s="349">
        <f t="shared" si="0"/>
        <v>88</v>
      </c>
      <c r="W19" s="518" t="s">
        <v>183</v>
      </c>
    </row>
    <row r="20" spans="1:23" ht="16.2" thickBot="1">
      <c r="A20" s="131" t="s">
        <v>143</v>
      </c>
      <c r="B20" s="350">
        <v>16</v>
      </c>
      <c r="C20" s="351">
        <v>1222</v>
      </c>
      <c r="D20" s="352">
        <v>20</v>
      </c>
      <c r="E20" s="353">
        <v>1479</v>
      </c>
      <c r="F20" s="353"/>
      <c r="G20" s="354"/>
      <c r="H20" s="489">
        <v>30</v>
      </c>
      <c r="I20" s="356">
        <v>2269</v>
      </c>
      <c r="J20" s="355">
        <f>6+2+7+2+2+2+1+1+6</f>
        <v>29</v>
      </c>
      <c r="K20" s="353">
        <v>2199</v>
      </c>
      <c r="L20" s="652"/>
      <c r="M20" s="651"/>
      <c r="N20" s="360"/>
      <c r="O20" s="353"/>
      <c r="P20" s="357"/>
      <c r="Q20" s="358"/>
      <c r="R20" s="354"/>
      <c r="S20" s="358"/>
      <c r="T20" s="354"/>
      <c r="U20" s="352">
        <f t="shared" si="1"/>
        <v>95</v>
      </c>
      <c r="V20" s="361">
        <f t="shared" si="0"/>
        <v>7169</v>
      </c>
      <c r="W20" s="518" t="s">
        <v>183</v>
      </c>
    </row>
    <row r="21" spans="1:23">
      <c r="A21" s="129" t="s">
        <v>82</v>
      </c>
      <c r="B21" s="322">
        <f t="shared" ref="B21:E21" si="2">SUM(B8:B20)</f>
        <v>133</v>
      </c>
      <c r="C21" s="320">
        <f t="shared" si="2"/>
        <v>8917</v>
      </c>
      <c r="D21" s="362">
        <f t="shared" si="2"/>
        <v>146</v>
      </c>
      <c r="E21" s="317">
        <f t="shared" si="2"/>
        <v>9564</v>
      </c>
      <c r="F21" s="326">
        <v>0</v>
      </c>
      <c r="G21" s="327">
        <v>0</v>
      </c>
      <c r="H21" s="332">
        <f>SUM(H8:H20)</f>
        <v>283</v>
      </c>
      <c r="I21" s="320">
        <f>SUM(I8:I20)</f>
        <v>16587</v>
      </c>
      <c r="J21" s="316">
        <f>SUM(J8:J20)</f>
        <v>243</v>
      </c>
      <c r="K21" s="317">
        <f>SUM(K8:K20)</f>
        <v>14366</v>
      </c>
      <c r="L21" s="653">
        <f t="shared" ref="L21:P21" si="3">SUM(L8:L20)</f>
        <v>0</v>
      </c>
      <c r="M21" s="648">
        <f t="shared" si="3"/>
        <v>0</v>
      </c>
      <c r="N21" s="323">
        <v>0</v>
      </c>
      <c r="O21" s="326">
        <v>0</v>
      </c>
      <c r="P21" s="335">
        <f t="shared" si="3"/>
        <v>0</v>
      </c>
      <c r="Q21" s="322">
        <f>SUM(Q8:Q20)</f>
        <v>4</v>
      </c>
      <c r="R21" s="327">
        <f>SUM(R8:R20)</f>
        <v>358</v>
      </c>
      <c r="S21" s="322">
        <f>SUM(S8:S20)</f>
        <v>-60</v>
      </c>
      <c r="T21" s="327">
        <f>SUM(T8:T20)</f>
        <v>-11001</v>
      </c>
      <c r="U21" s="316">
        <f>+D21+B21+H21+L21+Q21+J21+S21</f>
        <v>749</v>
      </c>
      <c r="V21" s="363">
        <f>+F21+E21+C21+I21+P21+N21+M21+K21+R21+T21+G21+O21+N21</f>
        <v>38791</v>
      </c>
      <c r="W21" s="518" t="s">
        <v>183</v>
      </c>
    </row>
    <row r="22" spans="1:23">
      <c r="A22" s="129" t="s">
        <v>92</v>
      </c>
      <c r="B22" s="322">
        <v>-100</v>
      </c>
      <c r="C22" s="320">
        <v>-6688</v>
      </c>
      <c r="D22" s="316">
        <v>-109</v>
      </c>
      <c r="E22" s="320">
        <v>-7174</v>
      </c>
      <c r="F22" s="326">
        <v>0</v>
      </c>
      <c r="G22" s="327">
        <v>0</v>
      </c>
      <c r="H22" s="332">
        <v>-212</v>
      </c>
      <c r="I22" s="320">
        <v>-12445</v>
      </c>
      <c r="J22" s="316">
        <v>-183</v>
      </c>
      <c r="K22" s="317">
        <v>-10777</v>
      </c>
      <c r="L22" s="649">
        <v>0</v>
      </c>
      <c r="M22" s="648">
        <v>0</v>
      </c>
      <c r="N22" s="323"/>
      <c r="O22" s="326">
        <v>0</v>
      </c>
      <c r="P22" s="335"/>
      <c r="Q22" s="322">
        <v>-2</v>
      </c>
      <c r="R22" s="327">
        <v>-178</v>
      </c>
      <c r="S22" s="322">
        <v>0</v>
      </c>
      <c r="T22" s="327">
        <v>0</v>
      </c>
      <c r="U22" s="316">
        <f>+D22+B22+H22+L22+Q22+J22</f>
        <v>-606</v>
      </c>
      <c r="V22" s="342">
        <f>+F22+E22+C22+I22+P22+M22+K22+R22+T22+G22+O22+N22</f>
        <v>-37262</v>
      </c>
      <c r="W22" s="518" t="s">
        <v>183</v>
      </c>
    </row>
    <row r="23" spans="1:23">
      <c r="A23" s="129" t="s">
        <v>177</v>
      </c>
      <c r="B23" s="364"/>
      <c r="C23" s="365">
        <v>180</v>
      </c>
      <c r="D23" s="366"/>
      <c r="E23" s="341">
        <v>181</v>
      </c>
      <c r="F23" s="367"/>
      <c r="G23" s="368"/>
      <c r="H23" s="490"/>
      <c r="I23" s="365">
        <v>491</v>
      </c>
      <c r="J23" s="369"/>
      <c r="K23" s="341">
        <v>401</v>
      </c>
      <c r="L23" s="654"/>
      <c r="M23" s="650"/>
      <c r="N23" s="323"/>
      <c r="O23" s="367"/>
      <c r="P23" s="370"/>
      <c r="Q23" s="340"/>
      <c r="R23" s="349"/>
      <c r="S23" s="322"/>
      <c r="T23" s="327"/>
      <c r="U23" s="316">
        <f>+D23+B23+H23+L23+Q23+J23</f>
        <v>0</v>
      </c>
      <c r="V23" s="342">
        <f>+F23+E23+C23+I23+P23+M23+K23+R23+T23+G23+O23+N23</f>
        <v>1253</v>
      </c>
      <c r="W23" s="518" t="s">
        <v>183</v>
      </c>
    </row>
    <row r="24" spans="1:23" ht="16.2" thickBot="1">
      <c r="A24" s="131" t="s">
        <v>172</v>
      </c>
      <c r="B24" s="358">
        <v>0</v>
      </c>
      <c r="C24" s="371">
        <v>3</v>
      </c>
      <c r="D24" s="372">
        <v>0</v>
      </c>
      <c r="E24" s="373">
        <v>3</v>
      </c>
      <c r="F24" s="374"/>
      <c r="G24" s="361"/>
      <c r="H24" s="489"/>
      <c r="I24" s="371"/>
      <c r="J24" s="375"/>
      <c r="K24" s="373"/>
      <c r="L24" s="652">
        <v>0</v>
      </c>
      <c r="M24" s="655">
        <v>0</v>
      </c>
      <c r="N24" s="378"/>
      <c r="O24" s="374"/>
      <c r="P24" s="376"/>
      <c r="Q24" s="377">
        <v>0</v>
      </c>
      <c r="R24" s="361">
        <v>0</v>
      </c>
      <c r="S24" s="377"/>
      <c r="T24" s="361"/>
      <c r="U24" s="352">
        <f>+D24+B24+H24+L24+Q24+J24</f>
        <v>0</v>
      </c>
      <c r="V24" s="361">
        <f>+F24+E24+C24+I24+P24+M24+K24+R24+T24+G24+O24+N24</f>
        <v>6</v>
      </c>
      <c r="W24" s="518" t="s">
        <v>183</v>
      </c>
    </row>
    <row r="25" spans="1:23">
      <c r="A25" s="128"/>
      <c r="B25" s="364"/>
      <c r="C25" s="379"/>
      <c r="D25" s="380"/>
      <c r="E25" s="381"/>
      <c r="F25" s="337"/>
      <c r="G25" s="338"/>
      <c r="H25" s="490"/>
      <c r="I25" s="379"/>
      <c r="J25" s="380"/>
      <c r="K25" s="381"/>
      <c r="L25" s="657"/>
      <c r="M25" s="656"/>
      <c r="N25" s="383"/>
      <c r="O25" s="337"/>
      <c r="P25" s="382"/>
      <c r="Q25" s="364"/>
      <c r="R25" s="338"/>
      <c r="S25" s="364"/>
      <c r="T25" s="338"/>
      <c r="U25" s="380"/>
      <c r="V25" s="338"/>
      <c r="W25" s="518" t="s">
        <v>183</v>
      </c>
    </row>
    <row r="26" spans="1:23" ht="16.2" thickBot="1">
      <c r="A26" s="131" t="s">
        <v>173</v>
      </c>
      <c r="B26" s="377">
        <f>SUM(B21:B24)</f>
        <v>33</v>
      </c>
      <c r="C26" s="371">
        <f>SUM(C21:C25)</f>
        <v>2412</v>
      </c>
      <c r="D26" s="384">
        <f t="shared" ref="D26:E26" si="4">SUM(D21:D24)</f>
        <v>37</v>
      </c>
      <c r="E26" s="373">
        <f t="shared" si="4"/>
        <v>2574</v>
      </c>
      <c r="F26" s="374">
        <v>0</v>
      </c>
      <c r="G26" s="361">
        <v>0</v>
      </c>
      <c r="H26" s="491">
        <f>SUM(H21:H24)</f>
        <v>71</v>
      </c>
      <c r="I26" s="371">
        <f>SUM(I21:I25)</f>
        <v>4633</v>
      </c>
      <c r="J26" s="375">
        <f>SUM(J21:J24)</f>
        <v>60</v>
      </c>
      <c r="K26" s="373">
        <f>SUM(K21:K25)</f>
        <v>3990</v>
      </c>
      <c r="L26" s="658">
        <v>0</v>
      </c>
      <c r="M26" s="655">
        <v>0</v>
      </c>
      <c r="N26" s="378">
        <f>SUM(N21:N25)</f>
        <v>0</v>
      </c>
      <c r="O26" s="374">
        <v>0</v>
      </c>
      <c r="P26" s="376">
        <f>SUM(P21:P25)</f>
        <v>0</v>
      </c>
      <c r="Q26" s="377">
        <f>SUM(Q21:Q24)</f>
        <v>2</v>
      </c>
      <c r="R26" s="361">
        <f>SUM(R21:R25)</f>
        <v>180</v>
      </c>
      <c r="S26" s="377">
        <f>SUM(S21:S25)</f>
        <v>-60</v>
      </c>
      <c r="T26" s="361">
        <f>SUM(T21:T25)</f>
        <v>-11001</v>
      </c>
      <c r="U26" s="375">
        <f>+D26+B26+H26+L26+Q26+J26+S26</f>
        <v>143</v>
      </c>
      <c r="V26" s="361">
        <f t="shared" ref="V26:V36" si="5">+F26+E26+C26+I26+P26+M26+K26+R26+T26+G26+O26+N26</f>
        <v>2788</v>
      </c>
      <c r="W26" s="518" t="s">
        <v>183</v>
      </c>
    </row>
    <row r="27" spans="1:23">
      <c r="A27" s="129" t="s">
        <v>84</v>
      </c>
      <c r="B27" s="322"/>
      <c r="C27" s="385">
        <v>972</v>
      </c>
      <c r="D27" s="316"/>
      <c r="E27" s="317">
        <v>1043</v>
      </c>
      <c r="F27" s="326">
        <v>0</v>
      </c>
      <c r="G27" s="327">
        <v>0</v>
      </c>
      <c r="H27" s="332"/>
      <c r="I27" s="385">
        <v>1813</v>
      </c>
      <c r="J27" s="386"/>
      <c r="K27" s="387">
        <v>1573</v>
      </c>
      <c r="L27" s="649"/>
      <c r="M27" s="648">
        <v>0</v>
      </c>
      <c r="N27" s="323"/>
      <c r="O27" s="326"/>
      <c r="P27" s="388"/>
      <c r="Q27" s="322"/>
      <c r="R27" s="327">
        <v>83</v>
      </c>
      <c r="S27" s="322"/>
      <c r="T27" s="327"/>
      <c r="U27" s="316">
        <f t="shared" ref="U27:U36" si="6">+D27+B27+H27+L27+Q27+J27</f>
        <v>0</v>
      </c>
      <c r="V27" s="327">
        <f t="shared" si="5"/>
        <v>5484</v>
      </c>
      <c r="W27" s="518" t="s">
        <v>183</v>
      </c>
    </row>
    <row r="28" spans="1:23">
      <c r="A28" s="129" t="s">
        <v>83</v>
      </c>
      <c r="B28" s="322"/>
      <c r="C28" s="320">
        <f>72-55-1</f>
        <v>16</v>
      </c>
      <c r="D28" s="316"/>
      <c r="E28" s="317">
        <f>72-55</f>
        <v>17</v>
      </c>
      <c r="F28" s="317"/>
      <c r="G28" s="327"/>
      <c r="H28" s="332"/>
      <c r="I28" s="320">
        <f>227-170+706</f>
        <v>763</v>
      </c>
      <c r="J28" s="316"/>
      <c r="K28" s="317">
        <f>227-170+660</f>
        <v>717</v>
      </c>
      <c r="L28" s="649"/>
      <c r="M28" s="648"/>
      <c r="N28" s="323"/>
      <c r="O28" s="317"/>
      <c r="P28" s="335"/>
      <c r="Q28" s="322"/>
      <c r="R28" s="327">
        <v>3</v>
      </c>
      <c r="S28" s="322"/>
      <c r="T28" s="327"/>
      <c r="U28" s="316">
        <f t="shared" si="6"/>
        <v>0</v>
      </c>
      <c r="V28" s="327">
        <f t="shared" si="5"/>
        <v>1516</v>
      </c>
      <c r="W28" s="518" t="s">
        <v>183</v>
      </c>
    </row>
    <row r="29" spans="1:23">
      <c r="A29" s="129" t="s">
        <v>85</v>
      </c>
      <c r="B29" s="322"/>
      <c r="C29" s="320">
        <f>57-43</f>
        <v>14</v>
      </c>
      <c r="D29" s="316"/>
      <c r="E29" s="317">
        <f>57-43</f>
        <v>14</v>
      </c>
      <c r="F29" s="317"/>
      <c r="G29" s="327"/>
      <c r="H29" s="332"/>
      <c r="I29" s="320">
        <f>72-54</f>
        <v>18</v>
      </c>
      <c r="J29" s="316"/>
      <c r="K29" s="317">
        <f>72-54</f>
        <v>18</v>
      </c>
      <c r="L29" s="649"/>
      <c r="M29" s="648"/>
      <c r="N29" s="323"/>
      <c r="O29" s="317"/>
      <c r="P29" s="335"/>
      <c r="Q29" s="322"/>
      <c r="R29" s="327"/>
      <c r="S29" s="322"/>
      <c r="T29" s="327"/>
      <c r="U29" s="316">
        <f t="shared" si="6"/>
        <v>0</v>
      </c>
      <c r="V29" s="327">
        <f t="shared" si="5"/>
        <v>64</v>
      </c>
      <c r="W29" s="518" t="s">
        <v>183</v>
      </c>
    </row>
    <row r="30" spans="1:23">
      <c r="A30" s="129" t="s">
        <v>86</v>
      </c>
      <c r="B30" s="322"/>
      <c r="C30" s="320"/>
      <c r="D30" s="316"/>
      <c r="E30" s="317"/>
      <c r="F30" s="317"/>
      <c r="G30" s="327"/>
      <c r="H30" s="332"/>
      <c r="I30" s="320"/>
      <c r="J30" s="316"/>
      <c r="K30" s="317"/>
      <c r="L30" s="649"/>
      <c r="M30" s="648"/>
      <c r="N30" s="323"/>
      <c r="O30" s="317"/>
      <c r="P30" s="335"/>
      <c r="Q30" s="322"/>
      <c r="R30" s="327"/>
      <c r="S30" s="322"/>
      <c r="T30" s="327"/>
      <c r="U30" s="316">
        <f t="shared" si="6"/>
        <v>0</v>
      </c>
      <c r="V30" s="327">
        <f t="shared" si="5"/>
        <v>0</v>
      </c>
      <c r="W30" s="518" t="s">
        <v>183</v>
      </c>
    </row>
    <row r="31" spans="1:23">
      <c r="A31" s="129" t="s">
        <v>195</v>
      </c>
      <c r="B31" s="322"/>
      <c r="C31" s="320">
        <f>37-28</f>
        <v>9</v>
      </c>
      <c r="D31" s="316"/>
      <c r="E31" s="317">
        <f>37-28</f>
        <v>9</v>
      </c>
      <c r="F31" s="317">
        <v>-189</v>
      </c>
      <c r="G31" s="327"/>
      <c r="H31" s="332"/>
      <c r="I31" s="320">
        <f>3184-2388</f>
        <v>796</v>
      </c>
      <c r="J31" s="316"/>
      <c r="K31" s="317">
        <f>3184-2388</f>
        <v>796</v>
      </c>
      <c r="L31" s="649"/>
      <c r="M31" s="648"/>
      <c r="N31" s="323"/>
      <c r="O31" s="317">
        <v>-190</v>
      </c>
      <c r="P31" s="335">
        <v>-5000</v>
      </c>
      <c r="Q31" s="322"/>
      <c r="R31" s="327"/>
      <c r="S31" s="322"/>
      <c r="T31" s="327"/>
      <c r="U31" s="316">
        <f t="shared" si="6"/>
        <v>0</v>
      </c>
      <c r="V31" s="327">
        <f t="shared" si="5"/>
        <v>-3769</v>
      </c>
      <c r="W31" s="518" t="s">
        <v>183</v>
      </c>
    </row>
    <row r="32" spans="1:23">
      <c r="A32" s="129" t="s">
        <v>87</v>
      </c>
      <c r="B32" s="322"/>
      <c r="C32" s="320"/>
      <c r="D32" s="316"/>
      <c r="E32" s="317"/>
      <c r="F32" s="317"/>
      <c r="G32" s="327"/>
      <c r="H32" s="332"/>
      <c r="I32" s="320">
        <f>12-9</f>
        <v>3</v>
      </c>
      <c r="J32" s="316"/>
      <c r="K32" s="317">
        <v>3</v>
      </c>
      <c r="L32" s="649"/>
      <c r="M32" s="648"/>
      <c r="N32" s="323"/>
      <c r="O32" s="317"/>
      <c r="P32" s="335"/>
      <c r="Q32" s="322"/>
      <c r="R32" s="327"/>
      <c r="S32" s="322"/>
      <c r="T32" s="327"/>
      <c r="U32" s="316">
        <f t="shared" si="6"/>
        <v>0</v>
      </c>
      <c r="V32" s="327">
        <f t="shared" si="5"/>
        <v>6</v>
      </c>
      <c r="W32" s="518" t="s">
        <v>183</v>
      </c>
    </row>
    <row r="33" spans="1:23">
      <c r="A33" s="129" t="s">
        <v>88</v>
      </c>
      <c r="B33" s="322"/>
      <c r="C33" s="320">
        <f>3959-2971</f>
        <v>988</v>
      </c>
      <c r="D33" s="316"/>
      <c r="E33" s="317">
        <f>3959-2971</f>
        <v>988</v>
      </c>
      <c r="F33" s="317">
        <v>-473</v>
      </c>
      <c r="G33" s="327">
        <v>-6336</v>
      </c>
      <c r="H33" s="332"/>
      <c r="I33" s="320">
        <f>1258-944+1714+705</f>
        <v>2733</v>
      </c>
      <c r="J33" s="316"/>
      <c r="K33" s="317">
        <f>1258-944+1603+660</f>
        <v>2577</v>
      </c>
      <c r="L33" s="649"/>
      <c r="M33" s="648"/>
      <c r="N33" s="323">
        <v>-2831</v>
      </c>
      <c r="O33" s="317">
        <v>-473</v>
      </c>
      <c r="P33" s="335">
        <v>-5964</v>
      </c>
      <c r="Q33" s="322"/>
      <c r="R33" s="327">
        <v>25590</v>
      </c>
      <c r="S33" s="322"/>
      <c r="T33" s="327"/>
      <c r="U33" s="316">
        <f t="shared" si="6"/>
        <v>0</v>
      </c>
      <c r="V33" s="327">
        <f t="shared" si="5"/>
        <v>16799</v>
      </c>
      <c r="W33" s="518" t="s">
        <v>183</v>
      </c>
    </row>
    <row r="34" spans="1:23">
      <c r="A34" s="129" t="s">
        <v>89</v>
      </c>
      <c r="B34" s="322"/>
      <c r="C34" s="320">
        <f>4341-3257</f>
        <v>1084</v>
      </c>
      <c r="D34" s="316"/>
      <c r="E34" s="317">
        <f>4341-3257</f>
        <v>1084</v>
      </c>
      <c r="F34" s="317">
        <v>-915</v>
      </c>
      <c r="G34" s="327">
        <v>-12209</v>
      </c>
      <c r="H34" s="332"/>
      <c r="I34" s="320">
        <f>1169-877</f>
        <v>292</v>
      </c>
      <c r="J34" s="316"/>
      <c r="K34" s="317">
        <f>1169-877</f>
        <v>292</v>
      </c>
      <c r="L34" s="649"/>
      <c r="M34" s="648"/>
      <c r="N34" s="323"/>
      <c r="O34" s="317">
        <v>-914</v>
      </c>
      <c r="P34" s="335">
        <v>-11491</v>
      </c>
      <c r="Q34" s="322"/>
      <c r="R34" s="327">
        <v>1</v>
      </c>
      <c r="S34" s="322"/>
      <c r="T34" s="327"/>
      <c r="U34" s="316">
        <f t="shared" si="6"/>
        <v>0</v>
      </c>
      <c r="V34" s="327">
        <f t="shared" si="5"/>
        <v>-22776</v>
      </c>
      <c r="W34" s="518" t="s">
        <v>183</v>
      </c>
    </row>
    <row r="35" spans="1:23">
      <c r="A35" s="129" t="s">
        <v>90</v>
      </c>
      <c r="B35" s="322"/>
      <c r="C35" s="320">
        <v>3892</v>
      </c>
      <c r="D35" s="316"/>
      <c r="E35" s="317">
        <v>3934</v>
      </c>
      <c r="F35" s="317"/>
      <c r="G35" s="327"/>
      <c r="H35" s="332"/>
      <c r="I35" s="320">
        <f>1390+1276+79+4650+1+585</f>
        <v>7981</v>
      </c>
      <c r="J35" s="316"/>
      <c r="K35" s="317">
        <f>1390+4650+1276+79+58</f>
        <v>7453</v>
      </c>
      <c r="L35" s="649"/>
      <c r="M35" s="648"/>
      <c r="N35" s="323"/>
      <c r="O35" s="317"/>
      <c r="P35" s="335"/>
      <c r="Q35" s="322"/>
      <c r="R35" s="327">
        <v>8</v>
      </c>
      <c r="S35" s="322"/>
      <c r="T35" s="327"/>
      <c r="U35" s="316">
        <f t="shared" si="6"/>
        <v>0</v>
      </c>
      <c r="V35" s="327">
        <f t="shared" si="5"/>
        <v>23268</v>
      </c>
      <c r="W35" s="518" t="s">
        <v>183</v>
      </c>
    </row>
    <row r="36" spans="1:23" ht="16.2" thickBot="1">
      <c r="A36" s="131" t="s">
        <v>178</v>
      </c>
      <c r="B36" s="358"/>
      <c r="C36" s="359">
        <v>2</v>
      </c>
      <c r="D36" s="352"/>
      <c r="E36" s="353">
        <v>2</v>
      </c>
      <c r="F36" s="353"/>
      <c r="G36" s="354"/>
      <c r="H36" s="489"/>
      <c r="I36" s="359"/>
      <c r="J36" s="352"/>
      <c r="K36" s="353"/>
      <c r="L36" s="652"/>
      <c r="M36" s="651"/>
      <c r="N36" s="360"/>
      <c r="O36" s="353"/>
      <c r="P36" s="389"/>
      <c r="Q36" s="358"/>
      <c r="R36" s="354"/>
      <c r="S36" s="358"/>
      <c r="T36" s="354"/>
      <c r="U36" s="352">
        <f t="shared" si="6"/>
        <v>0</v>
      </c>
      <c r="V36" s="354">
        <f t="shared" si="5"/>
        <v>4</v>
      </c>
      <c r="W36" s="518" t="s">
        <v>183</v>
      </c>
    </row>
    <row r="37" spans="1:23" ht="16.2" thickBot="1">
      <c r="A37" s="132" t="s">
        <v>439</v>
      </c>
      <c r="B37" s="390">
        <f t="shared" ref="B37:E37" si="7">SUM(B26:B36)</f>
        <v>33</v>
      </c>
      <c r="C37" s="394">
        <f>SUM(C26:C36)</f>
        <v>9389</v>
      </c>
      <c r="D37" s="391">
        <f t="shared" si="7"/>
        <v>37</v>
      </c>
      <c r="E37" s="395">
        <f t="shared" si="7"/>
        <v>9665</v>
      </c>
      <c r="F37" s="395">
        <f t="shared" ref="F37" si="8">SUM(F26:F36)</f>
        <v>-1577</v>
      </c>
      <c r="G37" s="396">
        <f t="shared" ref="G37" si="9">SUM(G26:G36)</f>
        <v>-18545</v>
      </c>
      <c r="H37" s="492">
        <f t="shared" ref="H37:Q37" si="10">SUM(H26:H36)</f>
        <v>71</v>
      </c>
      <c r="I37" s="394">
        <f t="shared" si="10"/>
        <v>19032</v>
      </c>
      <c r="J37" s="391">
        <f>SUM(J26:J36)</f>
        <v>60</v>
      </c>
      <c r="K37" s="395">
        <f t="shared" ref="K37" si="11">SUM(K26:K36)</f>
        <v>17419</v>
      </c>
      <c r="L37" s="659">
        <f t="shared" ref="L37:O37" si="12">SUM(L26:L36)</f>
        <v>0</v>
      </c>
      <c r="M37" s="660">
        <f t="shared" si="12"/>
        <v>0</v>
      </c>
      <c r="N37" s="398">
        <f>SUM(N26:N36)</f>
        <v>-2831</v>
      </c>
      <c r="O37" s="395">
        <f t="shared" si="12"/>
        <v>-1577</v>
      </c>
      <c r="P37" s="397">
        <f>SUM(P26:P36)</f>
        <v>-22455</v>
      </c>
      <c r="Q37" s="392">
        <f t="shared" si="10"/>
        <v>2</v>
      </c>
      <c r="R37" s="396">
        <f t="shared" ref="R37" si="13">SUM(R26:R36)</f>
        <v>25865</v>
      </c>
      <c r="S37" s="741">
        <f>SUM(S26:S36)</f>
        <v>-60</v>
      </c>
      <c r="T37" s="668">
        <f t="shared" ref="T37" si="14">SUM(T26:T36)</f>
        <v>-11001</v>
      </c>
      <c r="U37" s="393">
        <f>SUM(U26:U36)</f>
        <v>143</v>
      </c>
      <c r="V37" s="396">
        <f>SUM(V26:V36)</f>
        <v>23384</v>
      </c>
      <c r="W37" s="518" t="s">
        <v>184</v>
      </c>
    </row>
    <row r="38" spans="1:23">
      <c r="A38" s="133"/>
      <c r="B38" s="134"/>
      <c r="C38" s="194"/>
      <c r="D38" s="134"/>
      <c r="E38" s="135"/>
      <c r="F38" s="135"/>
      <c r="G38" s="135"/>
      <c r="H38" s="212"/>
      <c r="I38" s="135"/>
      <c r="J38" s="135"/>
      <c r="K38" s="135"/>
      <c r="L38" s="661"/>
      <c r="M38" s="662"/>
      <c r="N38" s="118"/>
      <c r="O38" s="135"/>
      <c r="P38" s="194"/>
      <c r="Q38" s="118"/>
      <c r="R38" s="118"/>
      <c r="S38" s="118"/>
      <c r="T38" s="118"/>
    </row>
    <row r="39" spans="1:23">
      <c r="A39" s="136"/>
      <c r="B39" s="134"/>
      <c r="C39" s="194"/>
      <c r="D39" s="134"/>
      <c r="E39" s="135"/>
      <c r="F39" s="135"/>
      <c r="G39" s="135"/>
      <c r="H39" s="212"/>
      <c r="I39" s="135"/>
      <c r="J39" s="135"/>
      <c r="K39" s="135"/>
      <c r="L39" s="661"/>
      <c r="M39" s="662"/>
      <c r="N39" s="118"/>
      <c r="O39" s="135"/>
      <c r="P39" s="194"/>
      <c r="Q39" s="118"/>
      <c r="R39" s="118"/>
      <c r="S39" s="118"/>
      <c r="T39" s="118"/>
      <c r="V39" s="172">
        <f>+T37+R37+P37+M37+K37+I37+F37+E37+C37+G37+O37+N37</f>
        <v>23384</v>
      </c>
    </row>
    <row r="40" spans="1:23">
      <c r="A40" s="136"/>
      <c r="B40" s="134"/>
      <c r="C40" s="194"/>
      <c r="D40" s="134"/>
      <c r="E40" s="135"/>
      <c r="F40" s="135"/>
      <c r="G40" s="135"/>
      <c r="H40" s="212"/>
      <c r="I40" s="135"/>
      <c r="J40" s="135"/>
      <c r="K40" s="135"/>
      <c r="L40" s="661"/>
      <c r="M40" s="662"/>
      <c r="N40" s="118"/>
      <c r="O40" s="135"/>
      <c r="P40" s="420"/>
      <c r="Q40" s="118"/>
      <c r="R40" s="118"/>
      <c r="S40" s="118"/>
      <c r="T40" s="118"/>
    </row>
    <row r="41" spans="1:23">
      <c r="A41" s="73"/>
      <c r="B41" s="137"/>
      <c r="C41" s="195"/>
      <c r="D41" s="137"/>
      <c r="E41" s="137"/>
      <c r="F41" s="137"/>
      <c r="G41" s="137"/>
      <c r="H41" s="137"/>
      <c r="I41" s="137"/>
      <c r="J41" s="137"/>
      <c r="K41" s="137"/>
      <c r="L41" s="664"/>
      <c r="M41" s="664"/>
      <c r="N41" s="118"/>
      <c r="O41" s="137"/>
      <c r="P41" s="195"/>
      <c r="Q41" s="118"/>
      <c r="R41" s="118"/>
      <c r="S41" s="118"/>
      <c r="T41" s="118"/>
      <c r="V41" s="172" t="s">
        <v>113</v>
      </c>
    </row>
  </sheetData>
  <mergeCells count="20">
    <mergeCell ref="S5:T5"/>
    <mergeCell ref="U5:V6"/>
    <mergeCell ref="B6:C6"/>
    <mergeCell ref="D6:E6"/>
    <mergeCell ref="H6:I6"/>
    <mergeCell ref="L6:M6"/>
    <mergeCell ref="J6:K6"/>
    <mergeCell ref="H5:P5"/>
    <mergeCell ref="Q6:R6"/>
    <mergeCell ref="Q5:R5"/>
    <mergeCell ref="B5:G5"/>
    <mergeCell ref="S6:T6"/>
    <mergeCell ref="B4:P4"/>
    <mergeCell ref="Q1:V1"/>
    <mergeCell ref="Q2:V2"/>
    <mergeCell ref="Q3:V3"/>
    <mergeCell ref="Q4:V4"/>
    <mergeCell ref="B1:P1"/>
    <mergeCell ref="B2:P2"/>
    <mergeCell ref="B3:P3"/>
  </mergeCells>
  <phoneticPr fontId="0" type="noConversion"/>
  <printOptions horizontalCentered="1"/>
  <pageMargins left="0" right="0" top="1" bottom="0.2" header="0.71" footer="0"/>
  <pageSetup scale="70" fitToWidth="2" pageOrder="overThenDown" orientation="landscape" r:id="rId1"/>
  <headerFooter scaleWithDoc="0" alignWithMargins="0">
    <oddHeader>&amp;L&amp;"Times New Roman,Regular"&amp;14J: Financial Analysis of Program Changes</oddHeader>
    <oddFooter>&amp;C&amp;"Times New Roman,Regular"Exhibit J:  Financial Analysis of Program Changes</oddFooter>
  </headerFooter>
  <colBreaks count="1" manualBreakCount="1">
    <brk id="16" max="36" man="1"/>
  </colBreaks>
</worksheet>
</file>

<file path=xl/worksheets/sheet11.xml><?xml version="1.0" encoding="utf-8"?>
<worksheet xmlns="http://schemas.openxmlformats.org/spreadsheetml/2006/main" xmlns:r="http://schemas.openxmlformats.org/officeDocument/2006/relationships">
  <dimension ref="A1:K141"/>
  <sheetViews>
    <sheetView view="pageBreakPreview" topLeftCell="A4" zoomScale="115" zoomScaleNormal="100" zoomScaleSheetLayoutView="115" workbookViewId="0">
      <selection activeCell="J1" sqref="J1"/>
    </sheetView>
  </sheetViews>
  <sheetFormatPr defaultColWidth="8.90625" defaultRowHeight="15.6"/>
  <cols>
    <col min="1" max="1" width="26.6328125" style="1" customWidth="1"/>
    <col min="2" max="2" width="8.36328125" style="1" customWidth="1"/>
    <col min="3" max="5" width="10" style="1" customWidth="1"/>
    <col min="6" max="6" width="8" style="1" customWidth="1"/>
    <col min="7" max="7" width="9.54296875" style="1" customWidth="1"/>
    <col min="8" max="8" width="7.36328125" style="1" customWidth="1"/>
    <col min="9" max="9" width="15" style="1" customWidth="1"/>
    <col min="10" max="10" width="0.453125" style="1" customWidth="1"/>
    <col min="11" max="16384" width="8.90625" style="1"/>
  </cols>
  <sheetData>
    <row r="1" spans="1:11" ht="18">
      <c r="A1" s="515" t="s">
        <v>105</v>
      </c>
      <c r="B1" s="516"/>
      <c r="C1" s="512"/>
      <c r="D1" s="512"/>
      <c r="E1" s="512"/>
      <c r="F1" s="512"/>
      <c r="J1" s="127" t="s">
        <v>159</v>
      </c>
      <c r="K1" s="126"/>
    </row>
    <row r="2" spans="1:11" ht="16.5" customHeight="1">
      <c r="A2" s="281"/>
      <c r="B2" s="155"/>
      <c r="J2" s="127" t="s">
        <v>159</v>
      </c>
      <c r="K2" s="126"/>
    </row>
    <row r="3" spans="1:11" ht="16.5" customHeight="1">
      <c r="A3" s="281"/>
      <c r="B3" s="155"/>
      <c r="J3" s="127" t="s">
        <v>159</v>
      </c>
      <c r="K3" s="126"/>
    </row>
    <row r="4" spans="1:11">
      <c r="A4" s="820" t="s">
        <v>122</v>
      </c>
      <c r="B4" s="820"/>
      <c r="C4" s="820"/>
      <c r="D4" s="820"/>
      <c r="E4" s="820"/>
      <c r="F4" s="820"/>
      <c r="G4" s="820"/>
      <c r="H4" s="820"/>
      <c r="I4" s="820"/>
      <c r="J4" s="127" t="s">
        <v>159</v>
      </c>
      <c r="K4" s="126"/>
    </row>
    <row r="5" spans="1:11">
      <c r="A5" s="820" t="s">
        <v>30</v>
      </c>
      <c r="B5" s="820"/>
      <c r="C5" s="820"/>
      <c r="D5" s="820"/>
      <c r="E5" s="820"/>
      <c r="F5" s="820"/>
      <c r="G5" s="820"/>
      <c r="H5" s="820"/>
      <c r="I5" s="820"/>
      <c r="J5" s="127" t="s">
        <v>159</v>
      </c>
      <c r="K5" s="126"/>
    </row>
    <row r="6" spans="1:11">
      <c r="A6" s="820" t="s">
        <v>31</v>
      </c>
      <c r="B6" s="820"/>
      <c r="C6" s="820"/>
      <c r="D6" s="820"/>
      <c r="E6" s="820"/>
      <c r="F6" s="820"/>
      <c r="G6" s="820"/>
      <c r="H6" s="820"/>
      <c r="I6" s="820"/>
      <c r="J6" s="127" t="s">
        <v>159</v>
      </c>
      <c r="K6" s="126"/>
    </row>
    <row r="7" spans="1:11">
      <c r="A7" s="820" t="s">
        <v>44</v>
      </c>
      <c r="B7" s="820"/>
      <c r="C7" s="820"/>
      <c r="D7" s="820"/>
      <c r="E7" s="820"/>
      <c r="F7" s="820"/>
      <c r="G7" s="820"/>
      <c r="H7" s="820"/>
      <c r="I7" s="820"/>
      <c r="J7" s="127" t="s">
        <v>159</v>
      </c>
      <c r="K7" s="126"/>
    </row>
    <row r="8" spans="1:11" ht="8.25" customHeight="1">
      <c r="A8" s="6"/>
      <c r="B8" s="6"/>
      <c r="C8" s="6"/>
      <c r="D8" s="643"/>
      <c r="E8" s="643"/>
      <c r="F8" s="6"/>
      <c r="G8" s="6"/>
      <c r="H8" s="6"/>
      <c r="I8" s="6"/>
      <c r="J8" s="127" t="s">
        <v>159</v>
      </c>
      <c r="K8" s="126"/>
    </row>
    <row r="9" spans="1:11" ht="51" customHeight="1">
      <c r="A9" s="46"/>
      <c r="B9" s="912" t="s">
        <v>228</v>
      </c>
      <c r="C9" s="913"/>
      <c r="D9" s="912" t="s">
        <v>308</v>
      </c>
      <c r="E9" s="913"/>
      <c r="F9" s="912" t="s">
        <v>196</v>
      </c>
      <c r="G9" s="913"/>
      <c r="H9" s="912" t="s">
        <v>359</v>
      </c>
      <c r="I9" s="913"/>
      <c r="J9" s="127" t="s">
        <v>159</v>
      </c>
      <c r="K9" s="126"/>
    </row>
    <row r="10" spans="1:11">
      <c r="A10" s="48" t="s">
        <v>27</v>
      </c>
      <c r="B10" s="51" t="s">
        <v>26</v>
      </c>
      <c r="C10" s="645" t="s">
        <v>21</v>
      </c>
      <c r="D10" s="638" t="s">
        <v>26</v>
      </c>
      <c r="E10" s="638" t="s">
        <v>21</v>
      </c>
      <c r="F10" s="51" t="s">
        <v>26</v>
      </c>
      <c r="G10" s="49" t="s">
        <v>21</v>
      </c>
      <c r="H10" s="51" t="s">
        <v>26</v>
      </c>
      <c r="I10" s="52" t="s">
        <v>21</v>
      </c>
      <c r="J10" s="127" t="s">
        <v>159</v>
      </c>
      <c r="K10" s="126"/>
    </row>
    <row r="11" spans="1:11">
      <c r="A11" s="17" t="s">
        <v>145</v>
      </c>
      <c r="B11" s="283">
        <v>91</v>
      </c>
      <c r="C11" s="62" t="s">
        <v>113</v>
      </c>
      <c r="D11" s="23">
        <f>91+2</f>
        <v>93</v>
      </c>
      <c r="E11" s="23"/>
      <c r="F11" s="283">
        <f>93+2</f>
        <v>95</v>
      </c>
      <c r="G11" s="62" t="s">
        <v>113</v>
      </c>
      <c r="H11" s="313">
        <f t="shared" ref="H11:H24" si="0">+F11-D11</f>
        <v>2</v>
      </c>
      <c r="I11" s="62"/>
      <c r="J11" s="127" t="s">
        <v>159</v>
      </c>
      <c r="K11" s="126"/>
    </row>
    <row r="12" spans="1:11">
      <c r="A12" s="17" t="s">
        <v>146</v>
      </c>
      <c r="B12" s="286">
        <f>469+4</f>
        <v>473</v>
      </c>
      <c r="C12" s="62" t="s">
        <v>113</v>
      </c>
      <c r="D12" s="23">
        <f>473+4</f>
        <v>477</v>
      </c>
      <c r="E12" s="23"/>
      <c r="F12" s="286">
        <f>477+4</f>
        <v>481</v>
      </c>
      <c r="G12" s="62"/>
      <c r="H12" s="289">
        <f t="shared" si="0"/>
        <v>4</v>
      </c>
      <c r="I12" s="62"/>
      <c r="J12" s="127" t="s">
        <v>159</v>
      </c>
      <c r="K12" s="126"/>
    </row>
    <row r="13" spans="1:11">
      <c r="A13" s="17" t="s">
        <v>147</v>
      </c>
      <c r="B13" s="286">
        <f>618-4</f>
        <v>614</v>
      </c>
      <c r="C13" s="62" t="s">
        <v>113</v>
      </c>
      <c r="D13" s="23">
        <f>614+4</f>
        <v>618</v>
      </c>
      <c r="E13" s="23"/>
      <c r="F13" s="286">
        <f>618+5</f>
        <v>623</v>
      </c>
      <c r="G13" s="62"/>
      <c r="H13" s="289">
        <f t="shared" si="0"/>
        <v>5</v>
      </c>
      <c r="I13" s="62"/>
      <c r="J13" s="127" t="s">
        <v>159</v>
      </c>
      <c r="K13" s="126"/>
    </row>
    <row r="14" spans="1:11">
      <c r="A14" s="17" t="s">
        <v>148</v>
      </c>
      <c r="B14" s="286">
        <v>1503</v>
      </c>
      <c r="C14" s="62" t="s">
        <v>113</v>
      </c>
      <c r="D14" s="23">
        <f>1503+30</f>
        <v>1533</v>
      </c>
      <c r="E14" s="23"/>
      <c r="F14" s="286">
        <f>1533-6</f>
        <v>1527</v>
      </c>
      <c r="G14" s="62"/>
      <c r="H14" s="289">
        <f t="shared" si="0"/>
        <v>-6</v>
      </c>
      <c r="I14" s="62"/>
      <c r="J14" s="127" t="s">
        <v>159</v>
      </c>
      <c r="K14" s="126"/>
    </row>
    <row r="15" spans="1:11">
      <c r="A15" s="17" t="s">
        <v>149</v>
      </c>
      <c r="B15" s="286">
        <f>2328+19</f>
        <v>2347</v>
      </c>
      <c r="C15" s="62" t="s">
        <v>113</v>
      </c>
      <c r="D15" s="23">
        <f>2347+38</f>
        <v>2385</v>
      </c>
      <c r="E15" s="23"/>
      <c r="F15" s="286">
        <f>2385+38</f>
        <v>2423</v>
      </c>
      <c r="G15" s="62"/>
      <c r="H15" s="289">
        <f t="shared" si="0"/>
        <v>38</v>
      </c>
      <c r="I15" s="62"/>
      <c r="J15" s="127" t="s">
        <v>159</v>
      </c>
      <c r="K15" s="126"/>
    </row>
    <row r="16" spans="1:11">
      <c r="A16" s="17" t="s">
        <v>150</v>
      </c>
      <c r="B16" s="286">
        <f>6138-19-97</f>
        <v>6022</v>
      </c>
      <c r="C16" s="62" t="s">
        <v>113</v>
      </c>
      <c r="D16" s="23">
        <f>6022+115</f>
        <v>6137</v>
      </c>
      <c r="E16" s="23"/>
      <c r="F16" s="286">
        <f>6137+215</f>
        <v>6352</v>
      </c>
      <c r="G16" s="62"/>
      <c r="H16" s="289">
        <f t="shared" si="0"/>
        <v>215</v>
      </c>
      <c r="I16" s="62"/>
      <c r="J16" s="127" t="s">
        <v>159</v>
      </c>
      <c r="K16" s="126"/>
    </row>
    <row r="17" spans="1:11">
      <c r="A17" s="17" t="s">
        <v>151</v>
      </c>
      <c r="B17" s="286">
        <f>746+97</f>
        <v>843</v>
      </c>
      <c r="C17" s="62" t="s">
        <v>113</v>
      </c>
      <c r="D17" s="23">
        <f>843+4</f>
        <v>847</v>
      </c>
      <c r="E17" s="23"/>
      <c r="F17" s="286">
        <f>847+5</f>
        <v>852</v>
      </c>
      <c r="G17" s="62"/>
      <c r="H17" s="289">
        <f t="shared" si="0"/>
        <v>5</v>
      </c>
      <c r="I17" s="62"/>
      <c r="J17" s="127" t="s">
        <v>159</v>
      </c>
      <c r="K17" s="126"/>
    </row>
    <row r="18" spans="1:11">
      <c r="A18" s="17" t="s">
        <v>152</v>
      </c>
      <c r="B18" s="286">
        <v>3986</v>
      </c>
      <c r="C18" s="62" t="s">
        <v>113</v>
      </c>
      <c r="D18" s="23">
        <f>3986+99</f>
        <v>4085</v>
      </c>
      <c r="E18" s="23"/>
      <c r="F18" s="286">
        <f>4085+92</f>
        <v>4177</v>
      </c>
      <c r="G18" s="62"/>
      <c r="H18" s="289">
        <f t="shared" si="0"/>
        <v>92</v>
      </c>
      <c r="I18" s="62"/>
      <c r="J18" s="127" t="s">
        <v>159</v>
      </c>
      <c r="K18" s="126"/>
    </row>
    <row r="19" spans="1:11">
      <c r="A19" s="17" t="s">
        <v>153</v>
      </c>
      <c r="B19" s="286">
        <v>7362</v>
      </c>
      <c r="C19" s="62" t="s">
        <v>113</v>
      </c>
      <c r="D19" s="23">
        <f>7362+107</f>
        <v>7469</v>
      </c>
      <c r="E19" s="23"/>
      <c r="F19" s="286">
        <f>7469+164</f>
        <v>7633</v>
      </c>
      <c r="G19" s="62"/>
      <c r="H19" s="289">
        <f t="shared" si="0"/>
        <v>164</v>
      </c>
      <c r="I19" s="62"/>
      <c r="J19" s="127" t="s">
        <v>159</v>
      </c>
      <c r="K19" s="126"/>
    </row>
    <row r="20" spans="1:11">
      <c r="A20" s="17" t="s">
        <v>154</v>
      </c>
      <c r="B20" s="286">
        <v>11490</v>
      </c>
      <c r="C20" s="62" t="s">
        <v>113</v>
      </c>
      <c r="D20" s="23">
        <f>11490+217</f>
        <v>11707</v>
      </c>
      <c r="E20" s="23"/>
      <c r="F20" s="286">
        <f>11707+217</f>
        <v>11924</v>
      </c>
      <c r="G20" s="62"/>
      <c r="H20" s="289">
        <f t="shared" si="0"/>
        <v>217</v>
      </c>
      <c r="I20" s="62"/>
      <c r="J20" s="127" t="s">
        <v>159</v>
      </c>
      <c r="K20" s="126"/>
    </row>
    <row r="21" spans="1:11">
      <c r="A21" s="17" t="s">
        <v>155</v>
      </c>
      <c r="B21" s="286">
        <v>1147</v>
      </c>
      <c r="C21" s="62" t="s">
        <v>113</v>
      </c>
      <c r="D21" s="23">
        <f>1147+38</f>
        <v>1185</v>
      </c>
      <c r="E21" s="23"/>
      <c r="F21" s="286">
        <f>1185+36</f>
        <v>1221</v>
      </c>
      <c r="G21" s="62"/>
      <c r="H21" s="289">
        <f t="shared" si="0"/>
        <v>36</v>
      </c>
      <c r="I21" s="62"/>
      <c r="J21" s="127" t="s">
        <v>159</v>
      </c>
      <c r="K21" s="126"/>
    </row>
    <row r="22" spans="1:11">
      <c r="A22" s="17" t="s">
        <v>156</v>
      </c>
      <c r="B22" s="286">
        <f>202-40+1</f>
        <v>163</v>
      </c>
      <c r="C22" s="62" t="s">
        <v>113</v>
      </c>
      <c r="D22" s="23">
        <v>163</v>
      </c>
      <c r="E22" s="23"/>
      <c r="F22" s="286">
        <f>163+2</f>
        <v>165</v>
      </c>
      <c r="G22" s="62"/>
      <c r="H22" s="289">
        <f t="shared" si="0"/>
        <v>2</v>
      </c>
      <c r="I22" s="62"/>
      <c r="J22" s="127" t="s">
        <v>159</v>
      </c>
      <c r="K22" s="126"/>
    </row>
    <row r="23" spans="1:11">
      <c r="A23" s="17" t="s">
        <v>157</v>
      </c>
      <c r="B23" s="286">
        <f>97-15-1-2</f>
        <v>79</v>
      </c>
      <c r="C23" s="62" t="s">
        <v>113</v>
      </c>
      <c r="D23" s="23">
        <v>79</v>
      </c>
      <c r="E23" s="23"/>
      <c r="F23" s="286">
        <v>79</v>
      </c>
      <c r="G23" s="62"/>
      <c r="H23" s="289">
        <f t="shared" si="0"/>
        <v>0</v>
      </c>
      <c r="I23" s="62"/>
      <c r="J23" s="127" t="s">
        <v>159</v>
      </c>
      <c r="K23" s="126"/>
    </row>
    <row r="24" spans="1:11">
      <c r="A24" s="17" t="s">
        <v>99</v>
      </c>
      <c r="B24" s="286">
        <f>4157+2</f>
        <v>4159</v>
      </c>
      <c r="C24" s="62" t="s">
        <v>113</v>
      </c>
      <c r="D24" s="23">
        <f>4159+98</f>
        <v>4257</v>
      </c>
      <c r="E24" s="23"/>
      <c r="F24" s="286">
        <f>4257+95</f>
        <v>4352</v>
      </c>
      <c r="G24" s="62"/>
      <c r="H24" s="289">
        <f t="shared" si="0"/>
        <v>95</v>
      </c>
      <c r="I24" s="62"/>
      <c r="J24" s="127" t="s">
        <v>159</v>
      </c>
      <c r="K24" s="126"/>
    </row>
    <row r="25" spans="1:11" s="2" customFormat="1">
      <c r="A25" s="92" t="s">
        <v>100</v>
      </c>
      <c r="B25" s="295">
        <f>SUM(B11:B24)</f>
        <v>40279</v>
      </c>
      <c r="C25" s="106">
        <v>2538027</v>
      </c>
      <c r="D25" s="706">
        <f>SUM(D11:D24)</f>
        <v>41035</v>
      </c>
      <c r="E25" s="706">
        <v>2585663</v>
      </c>
      <c r="F25" s="295">
        <f>SUM(F11:F24)</f>
        <v>41904</v>
      </c>
      <c r="G25" s="106">
        <v>2640420</v>
      </c>
      <c r="H25" s="295">
        <f>SUM(H11:H24)</f>
        <v>869</v>
      </c>
      <c r="I25" s="106">
        <f>+G25-E25</f>
        <v>54757</v>
      </c>
      <c r="J25" s="127" t="s">
        <v>159</v>
      </c>
      <c r="K25" s="126"/>
    </row>
    <row r="26" spans="1:11">
      <c r="A26" s="17" t="s">
        <v>123</v>
      </c>
      <c r="B26" s="105" t="s">
        <v>113</v>
      </c>
      <c r="C26" s="93">
        <v>149627</v>
      </c>
      <c r="D26" s="707"/>
      <c r="E26" s="707">
        <v>149627</v>
      </c>
      <c r="F26" s="161"/>
      <c r="G26" s="93">
        <v>150375</v>
      </c>
      <c r="H26" s="105" t="s">
        <v>113</v>
      </c>
      <c r="I26" s="62"/>
      <c r="J26" s="127" t="s">
        <v>159</v>
      </c>
      <c r="K26" s="126"/>
    </row>
    <row r="27" spans="1:11">
      <c r="A27" s="17" t="s">
        <v>124</v>
      </c>
      <c r="B27" s="105" t="s">
        <v>113</v>
      </c>
      <c r="C27" s="93">
        <v>61990</v>
      </c>
      <c r="D27" s="707"/>
      <c r="E27" s="707">
        <v>61990</v>
      </c>
      <c r="F27" s="161"/>
      <c r="G27" s="93">
        <v>62300</v>
      </c>
      <c r="H27" s="105" t="s">
        <v>113</v>
      </c>
      <c r="I27" s="62"/>
      <c r="J27" s="127" t="s">
        <v>159</v>
      </c>
      <c r="K27" s="126"/>
    </row>
    <row r="28" spans="1:11">
      <c r="A28" s="63" t="s">
        <v>125</v>
      </c>
      <c r="B28" s="107"/>
      <c r="C28" s="312">
        <v>9</v>
      </c>
      <c r="D28" s="708"/>
      <c r="E28" s="708">
        <v>9</v>
      </c>
      <c r="F28" s="107"/>
      <c r="G28" s="312">
        <v>9</v>
      </c>
      <c r="H28" s="107" t="s">
        <v>113</v>
      </c>
      <c r="I28" s="71"/>
      <c r="J28" s="127" t="s">
        <v>161</v>
      </c>
      <c r="K28" s="126"/>
    </row>
    <row r="29" spans="1:11">
      <c r="A29" s="6" t="s">
        <v>113</v>
      </c>
      <c r="B29" s="23"/>
      <c r="C29" s="23"/>
      <c r="D29" s="23"/>
      <c r="E29" s="23"/>
      <c r="F29" s="23"/>
      <c r="G29" s="23"/>
      <c r="H29" s="23"/>
      <c r="I29" s="23"/>
      <c r="J29" s="69"/>
      <c r="K29" s="69"/>
    </row>
    <row r="30" spans="1:11">
      <c r="A30" s="6"/>
      <c r="B30" s="23" t="s">
        <v>113</v>
      </c>
      <c r="C30" s="23" t="s">
        <v>113</v>
      </c>
      <c r="D30" s="23"/>
      <c r="E30" s="23"/>
      <c r="F30" s="23"/>
      <c r="G30" s="23"/>
      <c r="H30" s="23"/>
      <c r="I30" s="23"/>
      <c r="J30" s="69"/>
      <c r="K30" s="69"/>
    </row>
    <row r="31" spans="1:11">
      <c r="A31" s="6"/>
      <c r="B31" s="23"/>
      <c r="C31" s="23"/>
      <c r="D31" s="23"/>
      <c r="E31" s="23"/>
      <c r="F31" s="23"/>
      <c r="G31" s="23"/>
      <c r="H31" s="23"/>
      <c r="I31" s="23"/>
      <c r="J31" s="69"/>
      <c r="K31" s="69"/>
    </row>
    <row r="32" spans="1:11" s="6" customFormat="1">
      <c r="A32" s="67"/>
      <c r="B32" s="23"/>
      <c r="C32" s="23"/>
      <c r="D32" s="23"/>
      <c r="E32" s="23"/>
      <c r="F32" s="23"/>
      <c r="G32" s="23"/>
      <c r="H32" s="23"/>
      <c r="I32" s="23"/>
      <c r="J32" s="23"/>
      <c r="K32" s="23"/>
    </row>
    <row r="33" spans="1:11" s="6" customFormat="1">
      <c r="A33" s="67"/>
      <c r="B33" s="23"/>
      <c r="C33" s="23"/>
      <c r="D33" s="23"/>
      <c r="E33" s="23"/>
      <c r="F33" s="23"/>
      <c r="G33" s="23"/>
      <c r="H33" s="23"/>
      <c r="I33" s="23"/>
      <c r="J33" s="23"/>
      <c r="K33" s="23"/>
    </row>
    <row r="34" spans="1:11" s="6" customFormat="1">
      <c r="A34" s="67"/>
      <c r="B34" s="23"/>
      <c r="C34" s="23"/>
      <c r="D34" s="23"/>
      <c r="E34" s="23"/>
      <c r="F34" s="23"/>
      <c r="G34" s="23"/>
      <c r="H34" s="23"/>
      <c r="I34" s="23"/>
      <c r="J34" s="23"/>
      <c r="K34" s="23"/>
    </row>
    <row r="35" spans="1:11" s="6" customFormat="1">
      <c r="C35" s="68"/>
      <c r="D35" s="641"/>
      <c r="E35" s="641"/>
      <c r="F35" s="23"/>
      <c r="G35" s="23"/>
      <c r="H35" s="23"/>
      <c r="I35" s="23"/>
      <c r="J35" s="23"/>
      <c r="K35" s="23"/>
    </row>
    <row r="36" spans="1:11" s="6" customFormat="1">
      <c r="A36" s="67"/>
      <c r="C36" s="68"/>
      <c r="D36" s="641"/>
      <c r="E36" s="641"/>
      <c r="F36" s="23"/>
      <c r="G36" s="23"/>
      <c r="H36" s="23"/>
      <c r="I36" s="23"/>
      <c r="J36" s="23"/>
      <c r="K36" s="23"/>
    </row>
    <row r="37" spans="1:11" s="6" customFormat="1">
      <c r="C37" s="68"/>
      <c r="D37" s="641"/>
      <c r="E37" s="641"/>
      <c r="F37" s="23"/>
      <c r="G37" s="23"/>
      <c r="H37" s="23"/>
      <c r="I37" s="23"/>
      <c r="J37" s="23"/>
      <c r="K37" s="23"/>
    </row>
    <row r="38" spans="1:11" s="6" customFormat="1">
      <c r="C38" s="68"/>
      <c r="D38" s="641"/>
      <c r="E38" s="641"/>
      <c r="F38" s="23"/>
      <c r="G38" s="23"/>
      <c r="H38" s="23"/>
      <c r="I38" s="23"/>
      <c r="J38" s="23"/>
      <c r="K38" s="23"/>
    </row>
    <row r="39" spans="1:11" s="6" customFormat="1">
      <c r="B39" s="23"/>
      <c r="C39" s="23"/>
      <c r="D39" s="23"/>
      <c r="E39" s="23"/>
      <c r="F39" s="23"/>
      <c r="G39" s="23"/>
      <c r="H39" s="23"/>
      <c r="I39" s="23"/>
      <c r="J39" s="23"/>
      <c r="K39" s="23"/>
    </row>
    <row r="40" spans="1:11" s="6" customFormat="1">
      <c r="B40" s="67"/>
      <c r="C40" s="23"/>
      <c r="D40" s="23"/>
      <c r="E40" s="23"/>
      <c r="F40" s="23"/>
      <c r="G40" s="23"/>
      <c r="H40" s="23"/>
      <c r="I40" s="23"/>
      <c r="J40" s="23"/>
      <c r="K40" s="23"/>
    </row>
    <row r="41" spans="1:11" s="6" customFormat="1">
      <c r="B41" s="94"/>
      <c r="C41" s="23"/>
      <c r="D41" s="23"/>
      <c r="E41" s="23"/>
      <c r="F41" s="67"/>
      <c r="G41" s="23"/>
      <c r="H41" s="67"/>
      <c r="I41" s="23"/>
      <c r="J41" s="23"/>
      <c r="K41" s="23"/>
    </row>
    <row r="42" spans="1:11" s="6" customFormat="1">
      <c r="B42" s="87"/>
      <c r="C42" s="87"/>
      <c r="D42" s="87"/>
      <c r="E42" s="87"/>
      <c r="F42" s="87"/>
      <c r="G42" s="87"/>
      <c r="H42" s="87"/>
      <c r="I42" s="87"/>
      <c r="J42" s="23"/>
      <c r="K42" s="23"/>
    </row>
    <row r="43" spans="1:11" s="6" customFormat="1">
      <c r="B43" s="23"/>
      <c r="C43" s="23"/>
      <c r="D43" s="23"/>
      <c r="E43" s="23"/>
      <c r="F43" s="23"/>
      <c r="G43" s="23"/>
      <c r="H43" s="23"/>
      <c r="I43" s="23"/>
      <c r="J43" s="23"/>
      <c r="K43" s="23"/>
    </row>
    <row r="44" spans="1:11" s="6" customFormat="1">
      <c r="B44" s="23"/>
      <c r="C44" s="23"/>
      <c r="D44" s="23"/>
      <c r="E44" s="23"/>
      <c r="F44" s="23"/>
      <c r="G44" s="23"/>
      <c r="H44" s="95"/>
      <c r="I44" s="95"/>
      <c r="J44" s="23"/>
      <c r="K44" s="23"/>
    </row>
    <row r="45" spans="1:11" s="6" customFormat="1">
      <c r="B45" s="96"/>
      <c r="C45" s="23"/>
      <c r="D45" s="23"/>
      <c r="E45" s="23"/>
      <c r="F45" s="96"/>
      <c r="G45" s="23"/>
      <c r="H45" s="95"/>
      <c r="I45" s="95"/>
      <c r="J45" s="23"/>
      <c r="K45" s="23"/>
    </row>
    <row r="46" spans="1:11" s="6" customFormat="1">
      <c r="B46" s="96"/>
      <c r="C46" s="23"/>
      <c r="D46" s="23"/>
      <c r="E46" s="23"/>
      <c r="F46" s="96"/>
      <c r="G46" s="23"/>
      <c r="H46" s="95"/>
      <c r="I46" s="95"/>
      <c r="J46" s="23"/>
      <c r="K46" s="23"/>
    </row>
    <row r="47" spans="1:11" s="6" customFormat="1">
      <c r="A47" s="67"/>
      <c r="B47" s="83"/>
      <c r="C47" s="83"/>
      <c r="D47" s="83"/>
      <c r="E47" s="83"/>
      <c r="F47" s="83"/>
      <c r="G47" s="83"/>
      <c r="H47" s="83"/>
      <c r="I47" s="83"/>
      <c r="J47" s="23"/>
      <c r="K47" s="23"/>
    </row>
    <row r="48" spans="1:11" s="6" customFormat="1">
      <c r="B48" s="23"/>
      <c r="C48" s="23"/>
      <c r="D48" s="23"/>
      <c r="E48" s="23"/>
      <c r="F48" s="23"/>
      <c r="G48" s="23"/>
      <c r="H48" s="23"/>
      <c r="I48" s="23"/>
      <c r="J48" s="23"/>
      <c r="K48" s="23"/>
    </row>
    <row r="49" spans="1:11" s="6" customFormat="1">
      <c r="B49" s="23"/>
      <c r="C49" s="23"/>
      <c r="D49" s="23"/>
      <c r="E49" s="23"/>
      <c r="F49" s="23"/>
      <c r="G49" s="23"/>
      <c r="H49" s="23"/>
      <c r="I49" s="23"/>
      <c r="J49" s="23"/>
      <c r="K49" s="23"/>
    </row>
    <row r="50" spans="1:11" s="6" customFormat="1">
      <c r="B50" s="23"/>
      <c r="C50" s="23"/>
      <c r="D50" s="23"/>
      <c r="E50" s="23"/>
      <c r="F50" s="23"/>
      <c r="G50" s="23"/>
      <c r="H50" s="23"/>
      <c r="I50" s="23"/>
      <c r="J50" s="23"/>
      <c r="K50" s="23"/>
    </row>
    <row r="51" spans="1:11" s="6" customFormat="1">
      <c r="B51" s="23"/>
      <c r="C51" s="23"/>
      <c r="D51" s="23"/>
      <c r="E51" s="23"/>
      <c r="F51" s="23"/>
      <c r="G51" s="23"/>
      <c r="H51" s="23"/>
      <c r="I51" s="23"/>
      <c r="J51" s="23"/>
      <c r="K51" s="23"/>
    </row>
    <row r="52" spans="1:11" s="6" customFormat="1">
      <c r="B52" s="23"/>
      <c r="C52" s="23"/>
      <c r="D52" s="23"/>
      <c r="E52" s="23"/>
      <c r="F52" s="23"/>
      <c r="G52" s="23"/>
      <c r="H52" s="23"/>
      <c r="I52" s="95"/>
      <c r="J52" s="23"/>
      <c r="K52" s="23"/>
    </row>
    <row r="53" spans="1:11" s="6" customFormat="1">
      <c r="B53" s="23"/>
      <c r="C53" s="23"/>
      <c r="D53" s="23"/>
      <c r="E53" s="23"/>
      <c r="F53" s="23"/>
      <c r="G53" s="23"/>
      <c r="H53" s="23"/>
      <c r="I53" s="23"/>
      <c r="J53" s="23"/>
      <c r="K53" s="23"/>
    </row>
    <row r="54" spans="1:11" s="6" customFormat="1">
      <c r="B54" s="23"/>
      <c r="C54" s="23"/>
      <c r="D54" s="23"/>
      <c r="E54" s="23"/>
      <c r="F54" s="23"/>
      <c r="G54" s="23"/>
      <c r="H54" s="23"/>
      <c r="I54" s="95"/>
      <c r="J54" s="23"/>
      <c r="K54" s="23"/>
    </row>
    <row r="55" spans="1:11" s="6" customFormat="1">
      <c r="B55" s="23"/>
      <c r="C55" s="23"/>
      <c r="D55" s="23"/>
      <c r="E55" s="23"/>
      <c r="F55" s="23"/>
      <c r="G55" s="23"/>
      <c r="H55" s="23"/>
      <c r="I55" s="23"/>
      <c r="J55" s="23"/>
      <c r="K55" s="23"/>
    </row>
    <row r="56" spans="1:11" s="6" customFormat="1">
      <c r="B56" s="23"/>
      <c r="C56" s="23"/>
      <c r="D56" s="23"/>
      <c r="E56" s="23"/>
      <c r="F56" s="23"/>
      <c r="G56" s="23"/>
      <c r="H56" s="23"/>
      <c r="I56" s="23"/>
      <c r="J56" s="23"/>
      <c r="K56" s="23"/>
    </row>
    <row r="57" spans="1:11" s="6" customFormat="1">
      <c r="B57" s="23"/>
      <c r="C57" s="23"/>
      <c r="D57" s="23"/>
      <c r="E57" s="23"/>
      <c r="F57" s="23"/>
      <c r="G57" s="23"/>
      <c r="H57" s="23"/>
      <c r="I57" s="23"/>
      <c r="J57" s="23"/>
      <c r="K57" s="23"/>
    </row>
    <row r="58" spans="1:11" s="6" customFormat="1">
      <c r="B58" s="23"/>
      <c r="C58" s="23"/>
      <c r="D58" s="23"/>
      <c r="E58" s="23"/>
      <c r="F58" s="23"/>
      <c r="G58" s="23"/>
      <c r="H58" s="23"/>
      <c r="I58" s="23"/>
      <c r="J58" s="23"/>
      <c r="K58" s="23"/>
    </row>
    <row r="59" spans="1:11" s="6" customFormat="1">
      <c r="B59" s="23"/>
      <c r="C59" s="23"/>
      <c r="D59" s="23"/>
      <c r="E59" s="23"/>
      <c r="F59" s="23"/>
      <c r="G59" s="23"/>
      <c r="H59" s="23"/>
      <c r="I59" s="23"/>
      <c r="J59" s="23"/>
      <c r="K59" s="23"/>
    </row>
    <row r="60" spans="1:11" s="6" customFormat="1">
      <c r="B60" s="23"/>
      <c r="C60" s="23"/>
      <c r="D60" s="23"/>
      <c r="E60" s="23"/>
      <c r="F60" s="95"/>
      <c r="G60" s="95"/>
      <c r="H60" s="95"/>
      <c r="I60" s="95"/>
      <c r="J60" s="23"/>
      <c r="K60" s="23"/>
    </row>
    <row r="61" spans="1:11" s="6" customFormat="1">
      <c r="B61" s="23"/>
      <c r="C61" s="23"/>
      <c r="D61" s="23"/>
      <c r="E61" s="23"/>
      <c r="F61" s="23"/>
      <c r="G61" s="23"/>
      <c r="H61" s="23"/>
      <c r="I61" s="23"/>
      <c r="J61" s="23"/>
      <c r="K61" s="23"/>
    </row>
    <row r="62" spans="1:11" s="6" customFormat="1">
      <c r="B62" s="23"/>
      <c r="C62" s="23"/>
      <c r="D62" s="23"/>
      <c r="E62" s="23"/>
      <c r="F62" s="23"/>
      <c r="G62" s="23"/>
      <c r="H62" s="23"/>
      <c r="I62" s="95"/>
      <c r="J62" s="23"/>
      <c r="K62" s="23"/>
    </row>
    <row r="63" spans="1:11" s="6" customFormat="1">
      <c r="A63" s="67"/>
      <c r="B63" s="23"/>
      <c r="C63" s="23"/>
      <c r="D63" s="23"/>
      <c r="E63" s="23"/>
      <c r="F63" s="23"/>
      <c r="G63" s="23"/>
      <c r="H63" s="23"/>
      <c r="I63" s="23"/>
      <c r="J63" s="23"/>
      <c r="K63" s="23"/>
    </row>
    <row r="64" spans="1:11" s="6" customFormat="1" ht="16.2">
      <c r="A64" s="97"/>
      <c r="B64" s="23"/>
      <c r="C64" s="23"/>
      <c r="D64" s="23"/>
      <c r="E64" s="23"/>
      <c r="F64" s="23"/>
      <c r="G64" s="23"/>
      <c r="H64" s="23"/>
      <c r="I64" s="23"/>
      <c r="J64" s="23"/>
      <c r="K64" s="23"/>
    </row>
    <row r="65" spans="1:11" s="6" customFormat="1">
      <c r="B65" s="23"/>
      <c r="C65" s="23"/>
      <c r="D65" s="23"/>
      <c r="E65" s="23"/>
      <c r="F65" s="23"/>
      <c r="G65" s="23"/>
      <c r="H65" s="23"/>
      <c r="I65" s="23"/>
      <c r="J65" s="23"/>
      <c r="K65" s="23"/>
    </row>
    <row r="66" spans="1:11" s="6" customFormat="1">
      <c r="B66" s="23"/>
      <c r="C66" s="23"/>
      <c r="D66" s="23"/>
      <c r="E66" s="23"/>
      <c r="F66" s="23"/>
      <c r="G66" s="23"/>
      <c r="H66" s="23"/>
      <c r="I66" s="23"/>
      <c r="J66" s="23"/>
      <c r="K66" s="23"/>
    </row>
    <row r="67" spans="1:11" s="6" customFormat="1">
      <c r="B67" s="23"/>
      <c r="C67" s="23"/>
      <c r="D67" s="23"/>
      <c r="E67" s="23"/>
      <c r="F67" s="23"/>
      <c r="G67" s="23"/>
      <c r="H67" s="23"/>
      <c r="I67" s="23"/>
      <c r="J67" s="23"/>
      <c r="K67" s="23"/>
    </row>
    <row r="68" spans="1:11" s="6" customFormat="1">
      <c r="B68" s="83"/>
      <c r="C68" s="23"/>
      <c r="D68" s="23"/>
      <c r="E68" s="23"/>
      <c r="F68" s="23"/>
      <c r="G68" s="23"/>
      <c r="H68" s="23"/>
      <c r="I68" s="23"/>
      <c r="J68" s="23"/>
      <c r="K68" s="23"/>
    </row>
    <row r="69" spans="1:11" s="6" customFormat="1">
      <c r="B69" s="23"/>
      <c r="C69" s="23"/>
      <c r="D69" s="23"/>
      <c r="E69" s="23"/>
      <c r="F69" s="23"/>
      <c r="G69" s="23"/>
      <c r="H69" s="23"/>
      <c r="I69" s="23"/>
      <c r="J69" s="23"/>
      <c r="K69" s="23"/>
    </row>
    <row r="70" spans="1:11" s="6" customFormat="1">
      <c r="B70" s="23"/>
      <c r="C70" s="23"/>
      <c r="D70" s="23"/>
      <c r="E70" s="23"/>
      <c r="F70" s="23"/>
      <c r="G70" s="23"/>
      <c r="H70" s="23"/>
      <c r="I70" s="23"/>
      <c r="J70" s="23"/>
      <c r="K70" s="23"/>
    </row>
    <row r="71" spans="1:11" s="6" customFormat="1">
      <c r="B71" s="23"/>
      <c r="C71" s="23"/>
      <c r="D71" s="23"/>
      <c r="E71" s="23"/>
      <c r="F71" s="23"/>
      <c r="G71" s="23"/>
      <c r="H71" s="23"/>
      <c r="I71" s="23"/>
      <c r="J71" s="23"/>
      <c r="K71" s="23"/>
    </row>
    <row r="72" spans="1:11" s="6" customFormat="1">
      <c r="B72" s="23"/>
      <c r="C72" s="23"/>
      <c r="D72" s="23"/>
      <c r="E72" s="23"/>
      <c r="F72" s="23"/>
      <c r="G72" s="23"/>
      <c r="H72" s="23"/>
      <c r="I72" s="23"/>
      <c r="J72" s="23"/>
      <c r="K72" s="23"/>
    </row>
    <row r="73" spans="1:11" s="6" customFormat="1">
      <c r="B73" s="23"/>
      <c r="C73" s="23"/>
      <c r="D73" s="23"/>
      <c r="E73" s="23"/>
      <c r="F73" s="23"/>
      <c r="G73" s="23"/>
      <c r="H73" s="23"/>
      <c r="I73" s="23"/>
      <c r="J73" s="23"/>
      <c r="K73" s="23"/>
    </row>
    <row r="74" spans="1:11" s="6" customFormat="1">
      <c r="A74" s="94"/>
      <c r="B74" s="23"/>
      <c r="C74" s="23"/>
      <c r="D74" s="23"/>
      <c r="E74" s="23"/>
      <c r="F74" s="23"/>
      <c r="G74" s="23"/>
      <c r="H74" s="23"/>
      <c r="I74" s="23"/>
      <c r="J74" s="23"/>
      <c r="K74" s="23"/>
    </row>
    <row r="75" spans="1:11" s="6" customFormat="1">
      <c r="B75" s="96"/>
      <c r="C75" s="98"/>
      <c r="D75" s="98"/>
      <c r="E75" s="98"/>
      <c r="F75" s="96"/>
      <c r="G75" s="23"/>
      <c r="H75" s="96"/>
      <c r="I75" s="23"/>
      <c r="J75" s="23"/>
      <c r="K75" s="23"/>
    </row>
    <row r="76" spans="1:11" s="6" customFormat="1">
      <c r="B76" s="96"/>
      <c r="C76" s="98"/>
      <c r="D76" s="98"/>
      <c r="E76" s="98"/>
      <c r="F76" s="96"/>
      <c r="G76" s="23"/>
      <c r="H76" s="96"/>
      <c r="I76" s="23"/>
      <c r="J76" s="23"/>
      <c r="K76" s="23"/>
    </row>
    <row r="77" spans="1:11" s="6" customFormat="1">
      <c r="B77" s="95"/>
      <c r="C77" s="98"/>
      <c r="D77" s="98"/>
      <c r="E77" s="98"/>
      <c r="F77" s="95"/>
      <c r="G77" s="23"/>
      <c r="H77" s="95"/>
      <c r="I77" s="23"/>
      <c r="J77" s="23"/>
      <c r="K77" s="23"/>
    </row>
    <row r="78" spans="1:11" s="6" customFormat="1">
      <c r="B78" s="95"/>
      <c r="C78" s="98"/>
      <c r="D78" s="98"/>
      <c r="E78" s="98"/>
      <c r="F78" s="95"/>
      <c r="G78" s="23"/>
      <c r="H78" s="95"/>
      <c r="I78" s="23"/>
      <c r="J78" s="23"/>
      <c r="K78" s="23"/>
    </row>
    <row r="79" spans="1:11" s="6" customFormat="1">
      <c r="B79" s="95"/>
      <c r="C79" s="99"/>
      <c r="D79" s="99"/>
      <c r="E79" s="99"/>
      <c r="F79" s="95"/>
      <c r="G79" s="96"/>
      <c r="H79" s="95"/>
      <c r="I79" s="96"/>
      <c r="J79" s="23"/>
      <c r="K79" s="23"/>
    </row>
    <row r="80" spans="1:11" s="6" customFormat="1">
      <c r="B80" s="95"/>
      <c r="C80" s="95"/>
      <c r="D80" s="95"/>
      <c r="E80" s="95"/>
      <c r="F80" s="95"/>
      <c r="G80" s="96"/>
      <c r="H80" s="95"/>
      <c r="I80" s="96"/>
      <c r="J80" s="23"/>
      <c r="K80" s="23"/>
    </row>
    <row r="81" spans="1:11" s="6" customFormat="1">
      <c r="B81" s="95"/>
      <c r="C81" s="95"/>
      <c r="D81" s="95"/>
      <c r="E81" s="95"/>
      <c r="F81" s="95"/>
      <c r="G81" s="96"/>
      <c r="H81" s="95"/>
      <c r="I81" s="96"/>
      <c r="J81" s="23"/>
      <c r="K81" s="23"/>
    </row>
    <row r="82" spans="1:11" s="6" customFormat="1">
      <c r="B82" s="95"/>
      <c r="C82" s="95"/>
      <c r="D82" s="95"/>
      <c r="E82" s="95"/>
      <c r="F82" s="95"/>
      <c r="G82" s="96"/>
      <c r="H82" s="95"/>
      <c r="I82" s="96"/>
      <c r="J82" s="23"/>
      <c r="K82" s="23"/>
    </row>
    <row r="83" spans="1:11" s="6" customFormat="1">
      <c r="B83" s="96"/>
      <c r="C83" s="23"/>
      <c r="D83" s="23"/>
      <c r="E83" s="23"/>
      <c r="F83" s="96"/>
      <c r="G83" s="23"/>
      <c r="H83" s="96"/>
      <c r="I83" s="23"/>
      <c r="J83" s="23"/>
      <c r="K83" s="23"/>
    </row>
    <row r="84" spans="1:11" s="6" customFormat="1">
      <c r="A84" s="67"/>
      <c r="B84" s="83"/>
      <c r="C84" s="83"/>
      <c r="D84" s="83"/>
      <c r="E84" s="83"/>
      <c r="F84" s="83"/>
      <c r="G84" s="83"/>
      <c r="H84" s="83"/>
      <c r="I84" s="83"/>
      <c r="J84" s="23"/>
      <c r="K84" s="23"/>
    </row>
    <row r="85" spans="1:11" s="6" customFormat="1">
      <c r="B85" s="23"/>
      <c r="C85" s="23"/>
      <c r="D85" s="23"/>
      <c r="E85" s="23"/>
      <c r="F85" s="23"/>
      <c r="G85" s="23"/>
      <c r="H85" s="23"/>
      <c r="I85" s="23"/>
      <c r="J85" s="23"/>
      <c r="K85" s="23"/>
    </row>
    <row r="86" spans="1:11" s="6" customFormat="1">
      <c r="B86" s="23"/>
      <c r="C86" s="23"/>
      <c r="D86" s="23"/>
      <c r="E86" s="23"/>
      <c r="F86" s="23"/>
      <c r="G86" s="96"/>
      <c r="H86" s="23"/>
      <c r="I86" s="23"/>
      <c r="J86" s="23"/>
      <c r="K86" s="23"/>
    </row>
    <row r="87" spans="1:11" s="6" customFormat="1">
      <c r="B87" s="23"/>
      <c r="C87" s="23"/>
      <c r="D87" s="23"/>
      <c r="E87" s="23"/>
      <c r="F87" s="95"/>
      <c r="G87" s="96"/>
      <c r="H87" s="23"/>
      <c r="I87" s="23"/>
      <c r="J87" s="23"/>
      <c r="K87" s="23"/>
    </row>
    <row r="88" spans="1:11" s="6" customFormat="1">
      <c r="B88" s="23"/>
      <c r="C88" s="23"/>
      <c r="D88" s="23"/>
      <c r="E88" s="23"/>
      <c r="F88" s="95"/>
      <c r="G88" s="96"/>
      <c r="H88" s="23"/>
      <c r="I88" s="23"/>
      <c r="J88" s="23"/>
      <c r="K88" s="23"/>
    </row>
    <row r="89" spans="1:11" s="6" customFormat="1">
      <c r="B89" s="23"/>
      <c r="C89" s="23"/>
      <c r="D89" s="23"/>
      <c r="E89" s="23"/>
      <c r="F89" s="95"/>
      <c r="G89" s="96"/>
      <c r="H89" s="23"/>
      <c r="I89" s="23"/>
      <c r="J89" s="23"/>
      <c r="K89" s="23"/>
    </row>
    <row r="90" spans="1:11" s="6" customFormat="1">
      <c r="B90" s="23"/>
      <c r="C90" s="23"/>
      <c r="D90" s="23"/>
      <c r="E90" s="23"/>
      <c r="F90" s="95"/>
      <c r="G90" s="96"/>
      <c r="H90" s="23"/>
      <c r="I90" s="23"/>
      <c r="J90" s="23"/>
      <c r="K90" s="23"/>
    </row>
    <row r="91" spans="1:11" s="6" customFormat="1">
      <c r="B91" s="23"/>
      <c r="C91" s="23"/>
      <c r="D91" s="23"/>
      <c r="E91" s="23"/>
      <c r="F91" s="23"/>
      <c r="G91" s="23"/>
      <c r="H91" s="23"/>
      <c r="I91" s="23"/>
      <c r="J91" s="23"/>
      <c r="K91" s="23"/>
    </row>
    <row r="92" spans="1:11" s="6" customFormat="1">
      <c r="D92" s="643"/>
      <c r="E92" s="643"/>
    </row>
    <row r="93" spans="1:11" s="6" customFormat="1">
      <c r="B93" s="87"/>
      <c r="C93" s="23"/>
      <c r="D93" s="23"/>
      <c r="E93" s="23"/>
      <c r="F93" s="23"/>
      <c r="G93" s="23"/>
      <c r="H93" s="95"/>
      <c r="I93" s="23"/>
    </row>
    <row r="94" spans="1:11" s="6" customFormat="1">
      <c r="D94" s="643"/>
      <c r="E94" s="643"/>
    </row>
    <row r="95" spans="1:11" s="6" customFormat="1">
      <c r="D95" s="643"/>
      <c r="E95" s="643"/>
    </row>
    <row r="96" spans="1:11" s="6" customFormat="1">
      <c r="D96" s="643"/>
      <c r="E96" s="643"/>
    </row>
    <row r="97" spans="4:5" s="6" customFormat="1">
      <c r="D97" s="643"/>
      <c r="E97" s="643"/>
    </row>
    <row r="98" spans="4:5" s="6" customFormat="1">
      <c r="D98" s="643"/>
      <c r="E98" s="643"/>
    </row>
    <row r="99" spans="4:5" s="6" customFormat="1">
      <c r="D99" s="643"/>
      <c r="E99" s="643"/>
    </row>
    <row r="100" spans="4:5" s="6" customFormat="1">
      <c r="D100" s="643"/>
      <c r="E100" s="643"/>
    </row>
    <row r="101" spans="4:5" s="6" customFormat="1">
      <c r="D101" s="643"/>
      <c r="E101" s="643"/>
    </row>
    <row r="102" spans="4:5" s="6" customFormat="1">
      <c r="D102" s="643"/>
      <c r="E102" s="643"/>
    </row>
    <row r="103" spans="4:5" s="6" customFormat="1">
      <c r="D103" s="643"/>
      <c r="E103" s="643"/>
    </row>
    <row r="104" spans="4:5" s="6" customFormat="1">
      <c r="D104" s="643"/>
      <c r="E104" s="643"/>
    </row>
    <row r="105" spans="4:5" s="6" customFormat="1">
      <c r="D105" s="643"/>
      <c r="E105" s="643"/>
    </row>
    <row r="106" spans="4:5" s="6" customFormat="1">
      <c r="D106" s="643"/>
      <c r="E106" s="643"/>
    </row>
    <row r="107" spans="4:5" s="6" customFormat="1">
      <c r="D107" s="643"/>
      <c r="E107" s="643"/>
    </row>
    <row r="108" spans="4:5" s="6" customFormat="1">
      <c r="D108" s="643"/>
      <c r="E108" s="643"/>
    </row>
    <row r="109" spans="4:5" s="6" customFormat="1">
      <c r="D109" s="643"/>
      <c r="E109" s="643"/>
    </row>
    <row r="110" spans="4:5" s="6" customFormat="1">
      <c r="D110" s="643"/>
      <c r="E110" s="643"/>
    </row>
    <row r="111" spans="4:5" s="6" customFormat="1">
      <c r="D111" s="643"/>
      <c r="E111" s="643"/>
    </row>
    <row r="112" spans="4:5" s="6" customFormat="1">
      <c r="D112" s="643"/>
      <c r="E112" s="643"/>
    </row>
    <row r="113" spans="4:5" s="6" customFormat="1">
      <c r="D113" s="643"/>
      <c r="E113" s="643"/>
    </row>
    <row r="114" spans="4:5" s="6" customFormat="1">
      <c r="D114" s="643"/>
      <c r="E114" s="643"/>
    </row>
    <row r="115" spans="4:5" s="6" customFormat="1">
      <c r="D115" s="643"/>
      <c r="E115" s="643"/>
    </row>
    <row r="116" spans="4:5" s="6" customFormat="1">
      <c r="D116" s="643"/>
      <c r="E116" s="643"/>
    </row>
    <row r="117" spans="4:5" s="6" customFormat="1">
      <c r="D117" s="643"/>
      <c r="E117" s="643"/>
    </row>
    <row r="118" spans="4:5" s="6" customFormat="1">
      <c r="D118" s="643"/>
      <c r="E118" s="643"/>
    </row>
    <row r="119" spans="4:5" s="6" customFormat="1">
      <c r="D119" s="643"/>
      <c r="E119" s="643"/>
    </row>
    <row r="120" spans="4:5" s="6" customFormat="1">
      <c r="D120" s="643"/>
      <c r="E120" s="643"/>
    </row>
    <row r="121" spans="4:5" s="6" customFormat="1">
      <c r="D121" s="643"/>
      <c r="E121" s="643"/>
    </row>
    <row r="122" spans="4:5" s="6" customFormat="1">
      <c r="D122" s="643"/>
      <c r="E122" s="643"/>
    </row>
    <row r="123" spans="4:5" s="6" customFormat="1">
      <c r="D123" s="643"/>
      <c r="E123" s="643"/>
    </row>
    <row r="124" spans="4:5" s="6" customFormat="1">
      <c r="D124" s="643"/>
      <c r="E124" s="643"/>
    </row>
    <row r="125" spans="4:5" s="6" customFormat="1">
      <c r="D125" s="643"/>
      <c r="E125" s="643"/>
    </row>
    <row r="126" spans="4:5" s="6" customFormat="1">
      <c r="D126" s="643"/>
      <c r="E126" s="643"/>
    </row>
    <row r="127" spans="4:5" s="6" customFormat="1">
      <c r="D127" s="643"/>
      <c r="E127" s="643"/>
    </row>
    <row r="128" spans="4:5" s="6" customFormat="1">
      <c r="D128" s="643"/>
      <c r="E128" s="643"/>
    </row>
    <row r="129" spans="4:5" s="6" customFormat="1">
      <c r="D129" s="643"/>
      <c r="E129" s="643"/>
    </row>
    <row r="130" spans="4:5" s="6" customFormat="1">
      <c r="D130" s="643"/>
      <c r="E130" s="643"/>
    </row>
    <row r="131" spans="4:5" s="6" customFormat="1">
      <c r="D131" s="643"/>
      <c r="E131" s="643"/>
    </row>
    <row r="132" spans="4:5" s="6" customFormat="1">
      <c r="D132" s="643"/>
      <c r="E132" s="643"/>
    </row>
    <row r="133" spans="4:5" s="6" customFormat="1">
      <c r="D133" s="643"/>
      <c r="E133" s="643"/>
    </row>
    <row r="134" spans="4:5" s="6" customFormat="1">
      <c r="D134" s="643"/>
      <c r="E134" s="643"/>
    </row>
    <row r="135" spans="4:5" s="6" customFormat="1">
      <c r="D135" s="643"/>
      <c r="E135" s="643"/>
    </row>
    <row r="136" spans="4:5" s="6" customFormat="1">
      <c r="D136" s="643"/>
      <c r="E136" s="643"/>
    </row>
    <row r="137" spans="4:5" s="6" customFormat="1">
      <c r="D137" s="643"/>
      <c r="E137" s="643"/>
    </row>
    <row r="138" spans="4:5" s="6" customFormat="1">
      <c r="D138" s="643"/>
      <c r="E138" s="643"/>
    </row>
    <row r="139" spans="4:5" s="6" customFormat="1">
      <c r="D139" s="643"/>
      <c r="E139" s="643"/>
    </row>
    <row r="140" spans="4:5" s="6" customFormat="1">
      <c r="D140" s="643"/>
      <c r="E140" s="643"/>
    </row>
    <row r="141" spans="4:5" s="6" customFormat="1">
      <c r="D141" s="643"/>
      <c r="E141" s="643"/>
    </row>
  </sheetData>
  <mergeCells count="8">
    <mergeCell ref="H9:I9"/>
    <mergeCell ref="A4:I4"/>
    <mergeCell ref="A5:I5"/>
    <mergeCell ref="A6:I6"/>
    <mergeCell ref="A7:I7"/>
    <mergeCell ref="B9:C9"/>
    <mergeCell ref="F9:G9"/>
    <mergeCell ref="D9:E9"/>
  </mergeCells>
  <phoneticPr fontId="1" type="noConversion"/>
  <printOptions horizontalCentered="1"/>
  <pageMargins left="0.75" right="0.6" top="1" bottom="0.56000000000000005" header="0.5" footer="0.17"/>
  <pageSetup scale="97" orientation="landscape" r:id="rId1"/>
  <headerFooter scaleWithDoc="0" alignWithMargins="0">
    <oddFooter>&amp;C&amp;"Times New Roman,Regular"Exhibit K:  Summary of Requirements by Grade</oddFooter>
  </headerFooter>
</worksheet>
</file>

<file path=xl/worksheets/sheet12.xml><?xml version="1.0" encoding="utf-8"?>
<worksheet xmlns="http://schemas.openxmlformats.org/spreadsheetml/2006/main" xmlns:r="http://schemas.openxmlformats.org/officeDocument/2006/relationships">
  <dimension ref="A1:K58"/>
  <sheetViews>
    <sheetView view="pageBreakPreview" topLeftCell="A4" zoomScale="115" zoomScaleNormal="100" zoomScaleSheetLayoutView="115" workbookViewId="0">
      <selection activeCell="J1" sqref="J1"/>
    </sheetView>
  </sheetViews>
  <sheetFormatPr defaultColWidth="8.90625" defaultRowHeight="15.6"/>
  <cols>
    <col min="1" max="1" width="34.08984375" style="1" customWidth="1"/>
    <col min="2" max="2" width="7.6328125" style="1" customWidth="1"/>
    <col min="3" max="3" width="13.90625" style="1" customWidth="1"/>
    <col min="4" max="4" width="9" style="1" customWidth="1"/>
    <col min="5" max="5" width="13.453125" style="1" customWidth="1"/>
    <col min="6" max="6" width="7.36328125" style="1" customWidth="1"/>
    <col min="7" max="7" width="13.81640625" style="1" customWidth="1"/>
    <col min="8" max="8" width="8.1796875" style="1" customWidth="1"/>
    <col min="9" max="9" width="10" style="1" customWidth="1"/>
    <col min="10" max="10" width="0.36328125" style="1" customWidth="1"/>
    <col min="11" max="16384" width="8.90625" style="1"/>
  </cols>
  <sheetData>
    <row r="1" spans="1:11" ht="33.75" customHeight="1">
      <c r="A1" s="513" t="s">
        <v>142</v>
      </c>
      <c r="B1" s="510"/>
      <c r="C1" s="69"/>
      <c r="D1" s="69"/>
      <c r="E1" s="69" t="s">
        <v>108</v>
      </c>
      <c r="F1" s="69"/>
      <c r="G1" s="69" t="s">
        <v>108</v>
      </c>
      <c r="H1" s="69"/>
      <c r="I1" s="69"/>
      <c r="J1" s="127" t="s">
        <v>159</v>
      </c>
      <c r="K1" s="126"/>
    </row>
    <row r="2" spans="1:11">
      <c r="A2" s="820" t="s">
        <v>126</v>
      </c>
      <c r="B2" s="820"/>
      <c r="C2" s="820"/>
      <c r="D2" s="820"/>
      <c r="E2" s="820"/>
      <c r="F2" s="820"/>
      <c r="G2" s="820"/>
      <c r="H2" s="820"/>
      <c r="I2" s="820"/>
      <c r="J2" s="127" t="s">
        <v>159</v>
      </c>
      <c r="K2" s="126"/>
    </row>
    <row r="3" spans="1:11">
      <c r="A3" s="820" t="s">
        <v>30</v>
      </c>
      <c r="B3" s="820"/>
      <c r="C3" s="820"/>
      <c r="D3" s="820"/>
      <c r="E3" s="820"/>
      <c r="F3" s="820"/>
      <c r="G3" s="820"/>
      <c r="H3" s="820"/>
      <c r="I3" s="820"/>
      <c r="J3" s="127" t="s">
        <v>159</v>
      </c>
      <c r="K3" s="126"/>
    </row>
    <row r="4" spans="1:11">
      <c r="A4" s="820" t="s">
        <v>31</v>
      </c>
      <c r="B4" s="820"/>
      <c r="C4" s="820"/>
      <c r="D4" s="820"/>
      <c r="E4" s="820"/>
      <c r="F4" s="820"/>
      <c r="G4" s="820"/>
      <c r="H4" s="820"/>
      <c r="I4" s="820"/>
      <c r="J4" s="127" t="s">
        <v>159</v>
      </c>
      <c r="K4" s="126"/>
    </row>
    <row r="5" spans="1:11">
      <c r="A5" s="820" t="s">
        <v>44</v>
      </c>
      <c r="B5" s="820"/>
      <c r="C5" s="820"/>
      <c r="D5" s="820"/>
      <c r="E5" s="820"/>
      <c r="F5" s="820"/>
      <c r="G5" s="820"/>
      <c r="H5" s="820"/>
      <c r="I5" s="820"/>
      <c r="J5" s="127" t="s">
        <v>159</v>
      </c>
      <c r="K5" s="126"/>
    </row>
    <row r="6" spans="1:11" ht="9.75" customHeight="1">
      <c r="A6" s="6"/>
      <c r="B6" s="23"/>
      <c r="C6" s="23"/>
      <c r="D6" s="23"/>
      <c r="E6" s="23"/>
      <c r="F6" s="23"/>
      <c r="G6" s="23"/>
      <c r="H6" s="23"/>
      <c r="I6" s="23"/>
      <c r="J6" s="127" t="s">
        <v>159</v>
      </c>
      <c r="K6" s="126"/>
    </row>
    <row r="7" spans="1:11" ht="7.5" customHeight="1">
      <c r="A7" s="59"/>
      <c r="B7" s="854" t="s">
        <v>399</v>
      </c>
      <c r="C7" s="856"/>
      <c r="D7" s="914" t="s">
        <v>308</v>
      </c>
      <c r="E7" s="915"/>
      <c r="F7" s="854" t="s">
        <v>196</v>
      </c>
      <c r="G7" s="856"/>
      <c r="H7" s="854" t="s">
        <v>359</v>
      </c>
      <c r="I7" s="856"/>
      <c r="J7" s="127" t="s">
        <v>159</v>
      </c>
      <c r="K7" s="126"/>
    </row>
    <row r="8" spans="1:11">
      <c r="A8" s="57"/>
      <c r="B8" s="851"/>
      <c r="C8" s="853"/>
      <c r="D8" s="916"/>
      <c r="E8" s="917"/>
      <c r="F8" s="851"/>
      <c r="G8" s="853"/>
      <c r="H8" s="851"/>
      <c r="I8" s="853"/>
      <c r="J8" s="127" t="s">
        <v>159</v>
      </c>
      <c r="K8" s="126"/>
    </row>
    <row r="9" spans="1:11">
      <c r="A9" s="64" t="s">
        <v>28</v>
      </c>
      <c r="B9" s="100" t="s">
        <v>20</v>
      </c>
      <c r="C9" s="101" t="s">
        <v>21</v>
      </c>
      <c r="D9" s="102" t="s">
        <v>20</v>
      </c>
      <c r="E9" s="103" t="s">
        <v>21</v>
      </c>
      <c r="F9" s="102" t="s">
        <v>20</v>
      </c>
      <c r="G9" s="104" t="s">
        <v>21</v>
      </c>
      <c r="H9" s="102" t="s">
        <v>20</v>
      </c>
      <c r="I9" s="104" t="s">
        <v>21</v>
      </c>
      <c r="J9" s="127" t="s">
        <v>159</v>
      </c>
      <c r="K9" s="126"/>
    </row>
    <row r="10" spans="1:11">
      <c r="A10" s="57" t="s">
        <v>93</v>
      </c>
      <c r="B10" s="283">
        <v>35076</v>
      </c>
      <c r="C10" s="284">
        <f>2244105+105</f>
        <v>2244210</v>
      </c>
      <c r="D10" s="283">
        <v>36764</v>
      </c>
      <c r="E10" s="284">
        <f>2376543-E37</f>
        <v>2312163</v>
      </c>
      <c r="F10" s="283">
        <f>37703-183</f>
        <v>37520</v>
      </c>
      <c r="G10" s="285">
        <f>2446090-G37+17</f>
        <v>2381107</v>
      </c>
      <c r="H10" s="283">
        <f t="shared" ref="H10:I13" si="0">+F10-D10</f>
        <v>756</v>
      </c>
      <c r="I10" s="285">
        <f t="shared" si="0"/>
        <v>68944</v>
      </c>
      <c r="J10" s="127" t="s">
        <v>159</v>
      </c>
      <c r="K10" s="126"/>
    </row>
    <row r="11" spans="1:11">
      <c r="A11" s="57" t="s">
        <v>94</v>
      </c>
      <c r="B11" s="286">
        <v>183</v>
      </c>
      <c r="C11" s="287">
        <v>5413</v>
      </c>
      <c r="D11" s="286">
        <v>183</v>
      </c>
      <c r="E11" s="287">
        <v>5315</v>
      </c>
      <c r="F11" s="286">
        <v>183</v>
      </c>
      <c r="G11" s="288">
        <v>5315</v>
      </c>
      <c r="H11" s="286">
        <v>0</v>
      </c>
      <c r="I11" s="288">
        <f t="shared" si="0"/>
        <v>0</v>
      </c>
      <c r="J11" s="127" t="s">
        <v>159</v>
      </c>
      <c r="K11" s="126"/>
    </row>
    <row r="12" spans="1:11">
      <c r="A12" s="57" t="s">
        <v>91</v>
      </c>
      <c r="B12" s="289">
        <v>0</v>
      </c>
      <c r="C12" s="290">
        <v>208168</v>
      </c>
      <c r="D12" s="289">
        <v>0</v>
      </c>
      <c r="E12" s="291">
        <v>213614</v>
      </c>
      <c r="F12" s="289">
        <v>0</v>
      </c>
      <c r="G12" s="288">
        <v>217128</v>
      </c>
      <c r="H12" s="286">
        <f t="shared" si="0"/>
        <v>0</v>
      </c>
      <c r="I12" s="288">
        <f t="shared" si="0"/>
        <v>3514</v>
      </c>
      <c r="J12" s="127" t="s">
        <v>159</v>
      </c>
      <c r="K12" s="126"/>
    </row>
    <row r="13" spans="1:11" hidden="1">
      <c r="A13" s="63" t="s">
        <v>95</v>
      </c>
      <c r="B13" s="292">
        <v>0</v>
      </c>
      <c r="C13" s="282">
        <v>0</v>
      </c>
      <c r="D13" s="292">
        <v>0</v>
      </c>
      <c r="E13" s="282">
        <v>0</v>
      </c>
      <c r="F13" s="292">
        <v>0</v>
      </c>
      <c r="G13" s="293">
        <v>0</v>
      </c>
      <c r="H13" s="294">
        <f t="shared" si="0"/>
        <v>0</v>
      </c>
      <c r="I13" s="293">
        <f t="shared" si="0"/>
        <v>0</v>
      </c>
      <c r="J13" s="127" t="s">
        <v>159</v>
      </c>
      <c r="K13" s="126"/>
    </row>
    <row r="14" spans="1:11">
      <c r="A14" s="91" t="s">
        <v>96</v>
      </c>
      <c r="B14" s="295">
        <f t="shared" ref="B14:I14" si="1">SUM(B10:B13)</f>
        <v>35259</v>
      </c>
      <c r="C14" s="296">
        <f t="shared" si="1"/>
        <v>2457791</v>
      </c>
      <c r="D14" s="295">
        <f t="shared" si="1"/>
        <v>36947</v>
      </c>
      <c r="E14" s="297">
        <f t="shared" si="1"/>
        <v>2531092</v>
      </c>
      <c r="F14" s="295">
        <f t="shared" si="1"/>
        <v>37703</v>
      </c>
      <c r="G14" s="296">
        <f t="shared" si="1"/>
        <v>2603550</v>
      </c>
      <c r="H14" s="295">
        <f t="shared" si="1"/>
        <v>756</v>
      </c>
      <c r="I14" s="296">
        <f t="shared" si="1"/>
        <v>72458</v>
      </c>
      <c r="J14" s="127" t="s">
        <v>159</v>
      </c>
      <c r="K14" s="126"/>
    </row>
    <row r="15" spans="1:11">
      <c r="A15" s="57" t="s">
        <v>127</v>
      </c>
      <c r="B15" s="286" t="s">
        <v>113</v>
      </c>
      <c r="C15" s="287" t="s">
        <v>113</v>
      </c>
      <c r="D15" s="286"/>
      <c r="E15" s="287" t="s">
        <v>113</v>
      </c>
      <c r="F15" s="286"/>
      <c r="G15" s="288" t="s">
        <v>113</v>
      </c>
      <c r="H15" s="286"/>
      <c r="I15" s="288"/>
      <c r="J15" s="127" t="s">
        <v>159</v>
      </c>
      <c r="K15" s="126"/>
    </row>
    <row r="16" spans="1:11">
      <c r="A16" s="57" t="s">
        <v>128</v>
      </c>
      <c r="B16" s="286"/>
      <c r="C16" s="287">
        <v>1197242</v>
      </c>
      <c r="D16" s="286" t="s">
        <v>113</v>
      </c>
      <c r="E16" s="287">
        <f>1279541-E40</f>
        <v>1251645</v>
      </c>
      <c r="F16" s="286" t="s">
        <v>113</v>
      </c>
      <c r="G16" s="288">
        <f>1363978-G40</f>
        <v>1335278</v>
      </c>
      <c r="H16" s="286"/>
      <c r="I16" s="288">
        <f t="shared" ref="I16:I28" si="2">+G16-E16</f>
        <v>83633</v>
      </c>
      <c r="J16" s="127" t="s">
        <v>159</v>
      </c>
      <c r="K16" s="126"/>
    </row>
    <row r="17" spans="1:11">
      <c r="A17" s="57" t="s">
        <v>129</v>
      </c>
      <c r="B17" s="286"/>
      <c r="C17" s="287">
        <v>2108</v>
      </c>
      <c r="D17" s="286"/>
      <c r="E17" s="287">
        <v>2112</v>
      </c>
      <c r="F17" s="286"/>
      <c r="G17" s="288">
        <v>2112</v>
      </c>
      <c r="H17" s="286"/>
      <c r="I17" s="288">
        <f t="shared" si="2"/>
        <v>0</v>
      </c>
      <c r="J17" s="127" t="s">
        <v>159</v>
      </c>
      <c r="K17" s="126"/>
    </row>
    <row r="18" spans="1:11">
      <c r="A18" s="57" t="s">
        <v>130</v>
      </c>
      <c r="B18" s="286"/>
      <c r="C18" s="287">
        <v>31748</v>
      </c>
      <c r="D18" s="286" t="s">
        <v>113</v>
      </c>
      <c r="E18" s="287">
        <v>45099</v>
      </c>
      <c r="F18" s="286" t="s">
        <v>113</v>
      </c>
      <c r="G18" s="288">
        <v>46949</v>
      </c>
      <c r="H18" s="286"/>
      <c r="I18" s="288">
        <f t="shared" si="2"/>
        <v>1850</v>
      </c>
      <c r="J18" s="127" t="s">
        <v>159</v>
      </c>
      <c r="K18" s="126"/>
    </row>
    <row r="19" spans="1:11">
      <c r="A19" s="57" t="s">
        <v>131</v>
      </c>
      <c r="B19" s="286"/>
      <c r="C19" s="287">
        <v>6732</v>
      </c>
      <c r="D19" s="286" t="s">
        <v>113</v>
      </c>
      <c r="E19" s="287">
        <v>7210</v>
      </c>
      <c r="F19" s="286" t="s">
        <v>113</v>
      </c>
      <c r="G19" s="288">
        <v>7397</v>
      </c>
      <c r="H19" s="286"/>
      <c r="I19" s="288">
        <f t="shared" si="2"/>
        <v>187</v>
      </c>
      <c r="J19" s="127" t="s">
        <v>159</v>
      </c>
      <c r="K19" s="126"/>
    </row>
    <row r="20" spans="1:11">
      <c r="A20" s="57" t="s">
        <v>132</v>
      </c>
      <c r="B20" s="286"/>
      <c r="C20" s="287">
        <v>21077</v>
      </c>
      <c r="D20" s="286"/>
      <c r="E20" s="287">
        <f>27096-1759</f>
        <v>25337</v>
      </c>
      <c r="F20" s="286"/>
      <c r="G20" s="288">
        <v>27096</v>
      </c>
      <c r="H20" s="286"/>
      <c r="I20" s="288">
        <f t="shared" si="2"/>
        <v>1759</v>
      </c>
      <c r="J20" s="127" t="s">
        <v>159</v>
      </c>
      <c r="K20" s="126"/>
    </row>
    <row r="21" spans="1:11">
      <c r="A21" s="717" t="s">
        <v>410</v>
      </c>
      <c r="B21" s="286"/>
      <c r="C21" s="287">
        <v>1759</v>
      </c>
      <c r="D21" s="286"/>
      <c r="E21" s="287">
        <v>1759</v>
      </c>
      <c r="F21" s="286" t="s">
        <v>113</v>
      </c>
      <c r="G21" s="288">
        <v>1759</v>
      </c>
      <c r="H21" s="286"/>
      <c r="I21" s="288">
        <v>0</v>
      </c>
      <c r="J21" s="127" t="s">
        <v>159</v>
      </c>
      <c r="K21" s="126"/>
    </row>
    <row r="22" spans="1:11">
      <c r="A22" s="57" t="s">
        <v>135</v>
      </c>
      <c r="B22" s="286"/>
      <c r="C22" s="287">
        <v>260305</v>
      </c>
      <c r="D22" s="286"/>
      <c r="E22" s="287">
        <v>278695</v>
      </c>
      <c r="F22" s="286"/>
      <c r="G22" s="288">
        <v>293531</v>
      </c>
      <c r="H22" s="286"/>
      <c r="I22" s="288">
        <f t="shared" si="2"/>
        <v>14836</v>
      </c>
      <c r="J22" s="127" t="s">
        <v>159</v>
      </c>
      <c r="K22" s="126"/>
    </row>
    <row r="23" spans="1:11">
      <c r="A23" s="57" t="s">
        <v>133</v>
      </c>
      <c r="B23" s="286"/>
      <c r="C23" s="287">
        <v>912</v>
      </c>
      <c r="D23" s="286"/>
      <c r="E23" s="287">
        <v>1105</v>
      </c>
      <c r="F23" s="286"/>
      <c r="G23" s="288">
        <v>1122</v>
      </c>
      <c r="H23" s="286"/>
      <c r="I23" s="288">
        <f t="shared" si="2"/>
        <v>17</v>
      </c>
      <c r="J23" s="127" t="s">
        <v>159</v>
      </c>
      <c r="K23" s="126"/>
    </row>
    <row r="24" spans="1:11">
      <c r="A24" s="57" t="s">
        <v>134</v>
      </c>
      <c r="B24" s="286" t="s">
        <v>113</v>
      </c>
      <c r="C24" s="287">
        <f>1532495-79</f>
        <v>1532416</v>
      </c>
      <c r="D24" s="286" t="s">
        <v>113</v>
      </c>
      <c r="E24" s="287">
        <f>1619395+4000</f>
        <v>1623395</v>
      </c>
      <c r="F24" s="286" t="s">
        <v>113</v>
      </c>
      <c r="G24" s="288">
        <v>1686000</v>
      </c>
      <c r="H24" s="286" t="s">
        <v>113</v>
      </c>
      <c r="I24" s="288">
        <f t="shared" si="2"/>
        <v>62605</v>
      </c>
      <c r="J24" s="127" t="s">
        <v>159</v>
      </c>
      <c r="K24" s="126"/>
    </row>
    <row r="25" spans="1:11">
      <c r="A25" s="57" t="s">
        <v>136</v>
      </c>
      <c r="B25" s="286" t="s">
        <v>113</v>
      </c>
      <c r="C25" s="287">
        <v>567194</v>
      </c>
      <c r="D25" s="286"/>
      <c r="E25" s="287">
        <v>651978</v>
      </c>
      <c r="F25" s="286"/>
      <c r="G25" s="288">
        <v>660702</v>
      </c>
      <c r="H25" s="286" t="s">
        <v>113</v>
      </c>
      <c r="I25" s="288">
        <f t="shared" si="2"/>
        <v>8724</v>
      </c>
      <c r="J25" s="127" t="s">
        <v>159</v>
      </c>
      <c r="K25" s="126"/>
    </row>
    <row r="26" spans="1:11">
      <c r="A26" s="57" t="s">
        <v>137</v>
      </c>
      <c r="B26" s="286"/>
      <c r="C26" s="287">
        <v>84856</v>
      </c>
      <c r="D26" s="286"/>
      <c r="E26" s="287">
        <v>29107</v>
      </c>
      <c r="F26" s="286"/>
      <c r="G26" s="288">
        <v>46550</v>
      </c>
      <c r="H26" s="286"/>
      <c r="I26" s="288">
        <f t="shared" si="2"/>
        <v>17443</v>
      </c>
      <c r="J26" s="127" t="s">
        <v>159</v>
      </c>
      <c r="K26" s="126"/>
    </row>
    <row r="27" spans="1:11">
      <c r="A27" s="57" t="s">
        <v>138</v>
      </c>
      <c r="B27" s="286"/>
      <c r="C27" s="287">
        <v>6267</v>
      </c>
      <c r="D27" s="286"/>
      <c r="E27" s="287">
        <v>4471</v>
      </c>
      <c r="F27" s="286"/>
      <c r="G27" s="288">
        <v>4471</v>
      </c>
      <c r="H27" s="286" t="s">
        <v>113</v>
      </c>
      <c r="I27" s="288">
        <f t="shared" si="2"/>
        <v>0</v>
      </c>
      <c r="J27" s="127" t="s">
        <v>159</v>
      </c>
      <c r="K27" s="126"/>
    </row>
    <row r="28" spans="1:11">
      <c r="A28" s="64" t="s">
        <v>0</v>
      </c>
      <c r="B28" s="294"/>
      <c r="C28" s="282">
        <v>3757</v>
      </c>
      <c r="D28" s="294"/>
      <c r="E28" s="282">
        <v>10000</v>
      </c>
      <c r="F28" s="294"/>
      <c r="G28" s="293">
        <v>10000</v>
      </c>
      <c r="H28" s="294"/>
      <c r="I28" s="293">
        <f t="shared" si="2"/>
        <v>0</v>
      </c>
      <c r="J28" s="127" t="s">
        <v>159</v>
      </c>
      <c r="K28" s="126"/>
    </row>
    <row r="29" spans="1:11">
      <c r="A29" s="48" t="s">
        <v>98</v>
      </c>
      <c r="B29" s="298"/>
      <c r="C29" s="299">
        <f>SUM(C14:C28)</f>
        <v>6174164</v>
      </c>
      <c r="D29" s="298"/>
      <c r="E29" s="299">
        <f>SUM(E14:E28)</f>
        <v>6463005</v>
      </c>
      <c r="F29" s="298"/>
      <c r="G29" s="300">
        <f>SUM(G14:G28)</f>
        <v>6726517</v>
      </c>
      <c r="H29" s="298"/>
      <c r="I29" s="300">
        <f>SUM(I14:I28)</f>
        <v>263512</v>
      </c>
      <c r="J29" s="127" t="s">
        <v>159</v>
      </c>
      <c r="K29" s="126"/>
    </row>
    <row r="30" spans="1:11" ht="16.2">
      <c r="A30" s="97" t="s">
        <v>2</v>
      </c>
      <c r="B30" s="23"/>
      <c r="C30" s="23"/>
      <c r="D30" s="23"/>
      <c r="E30" s="23"/>
      <c r="F30" s="23"/>
      <c r="G30" s="23"/>
      <c r="H30" s="23"/>
      <c r="I30" s="23"/>
      <c r="J30" s="127" t="s">
        <v>159</v>
      </c>
      <c r="K30" s="126"/>
    </row>
    <row r="31" spans="1:11" ht="31.5" customHeight="1">
      <c r="A31" s="514" t="s">
        <v>264</v>
      </c>
      <c r="B31" s="84"/>
      <c r="C31" s="69"/>
      <c r="D31" s="69"/>
      <c r="E31" s="69"/>
      <c r="F31" s="69"/>
      <c r="G31" s="69"/>
      <c r="H31" s="69"/>
      <c r="I31" s="69"/>
      <c r="J31" s="127" t="s">
        <v>159</v>
      </c>
      <c r="K31" s="126"/>
    </row>
    <row r="32" spans="1:11" ht="10.5" customHeight="1">
      <c r="B32" s="69"/>
      <c r="C32" s="69"/>
      <c r="D32" s="69"/>
      <c r="E32" s="69"/>
      <c r="F32" s="69"/>
      <c r="G32" s="69"/>
      <c r="H32" s="69"/>
      <c r="I32" s="69"/>
      <c r="J32" s="127" t="s">
        <v>159</v>
      </c>
      <c r="K32" s="126"/>
    </row>
    <row r="33" spans="1:11" ht="6.75" customHeight="1">
      <c r="A33" s="173"/>
      <c r="B33" s="854" t="str">
        <f>+B7</f>
        <v>2011 Actuals</v>
      </c>
      <c r="C33" s="856"/>
      <c r="D33" s="914" t="str">
        <f>+D7</f>
        <v>2012 Enacted</v>
      </c>
      <c r="E33" s="915"/>
      <c r="F33" s="854" t="str">
        <f>+F7</f>
        <v>2013 Request</v>
      </c>
      <c r="G33" s="856"/>
      <c r="H33" s="854" t="str">
        <f>+H7</f>
        <v>Increase/Decrease</v>
      </c>
      <c r="I33" s="856"/>
      <c r="J33" s="127" t="s">
        <v>159</v>
      </c>
      <c r="K33" s="126"/>
    </row>
    <row r="34" spans="1:11">
      <c r="A34" s="17"/>
      <c r="B34" s="851"/>
      <c r="C34" s="853"/>
      <c r="D34" s="916"/>
      <c r="E34" s="917"/>
      <c r="F34" s="851"/>
      <c r="G34" s="853"/>
      <c r="H34" s="851"/>
      <c r="I34" s="853"/>
      <c r="J34" s="127" t="s">
        <v>159</v>
      </c>
      <c r="K34" s="126"/>
    </row>
    <row r="35" spans="1:11">
      <c r="A35" s="63" t="s">
        <v>28</v>
      </c>
      <c r="B35" s="100" t="s">
        <v>20</v>
      </c>
      <c r="C35" s="101" t="s">
        <v>21</v>
      </c>
      <c r="D35" s="102" t="s">
        <v>20</v>
      </c>
      <c r="E35" s="103" t="s">
        <v>21</v>
      </c>
      <c r="F35" s="102" t="s">
        <v>20</v>
      </c>
      <c r="G35" s="104" t="s">
        <v>21</v>
      </c>
      <c r="H35" s="102" t="s">
        <v>20</v>
      </c>
      <c r="I35" s="104" t="s">
        <v>21</v>
      </c>
      <c r="J35" s="127" t="s">
        <v>159</v>
      </c>
      <c r="K35" s="126"/>
    </row>
    <row r="36" spans="1:11">
      <c r="A36" s="108" t="s">
        <v>3</v>
      </c>
      <c r="B36" s="61"/>
      <c r="C36" s="62"/>
      <c r="D36" s="61"/>
      <c r="E36" s="62"/>
      <c r="F36" s="61"/>
      <c r="G36" s="62"/>
      <c r="H36" s="61"/>
      <c r="I36" s="62"/>
      <c r="J36" s="127" t="s">
        <v>159</v>
      </c>
      <c r="K36" s="126"/>
    </row>
    <row r="37" spans="1:11">
      <c r="A37" s="17" t="s">
        <v>4</v>
      </c>
      <c r="B37" s="292">
        <v>0</v>
      </c>
      <c r="C37" s="301">
        <v>63371</v>
      </c>
      <c r="D37" s="292">
        <v>0</v>
      </c>
      <c r="E37" s="293">
        <v>64380</v>
      </c>
      <c r="F37" s="292">
        <v>0</v>
      </c>
      <c r="G37" s="293">
        <v>65000</v>
      </c>
      <c r="H37" s="292">
        <v>0</v>
      </c>
      <c r="I37" s="293">
        <f>+G37-E37</f>
        <v>620</v>
      </c>
      <c r="J37" s="127" t="s">
        <v>159</v>
      </c>
      <c r="K37" s="126"/>
    </row>
    <row r="38" spans="1:11">
      <c r="A38" s="17" t="s">
        <v>5</v>
      </c>
      <c r="B38" s="289">
        <v>0</v>
      </c>
      <c r="C38" s="302">
        <f>+C37</f>
        <v>63371</v>
      </c>
      <c r="D38" s="289">
        <v>0</v>
      </c>
      <c r="E38" s="288">
        <f>+E37</f>
        <v>64380</v>
      </c>
      <c r="F38" s="289">
        <v>0</v>
      </c>
      <c r="G38" s="288">
        <f>+G37</f>
        <v>65000</v>
      </c>
      <c r="H38" s="289">
        <v>0</v>
      </c>
      <c r="I38" s="288">
        <f>+I37</f>
        <v>620</v>
      </c>
      <c r="J38" s="127" t="s">
        <v>159</v>
      </c>
      <c r="K38" s="126"/>
    </row>
    <row r="39" spans="1:11">
      <c r="A39" s="17" t="s">
        <v>112</v>
      </c>
      <c r="B39" s="286"/>
      <c r="C39" s="302" t="s">
        <v>113</v>
      </c>
      <c r="D39" s="286"/>
      <c r="E39" s="288" t="s">
        <v>113</v>
      </c>
      <c r="F39" s="286"/>
      <c r="G39" s="288" t="s">
        <v>113</v>
      </c>
      <c r="H39" s="286"/>
      <c r="I39" s="288"/>
      <c r="J39" s="127" t="s">
        <v>159</v>
      </c>
      <c r="K39" s="126"/>
    </row>
    <row r="40" spans="1:11">
      <c r="A40" s="17" t="s">
        <v>1</v>
      </c>
      <c r="B40" s="286"/>
      <c r="C40" s="302">
        <v>27234</v>
      </c>
      <c r="D40" s="286"/>
      <c r="E40" s="288">
        <v>27896</v>
      </c>
      <c r="F40" s="286"/>
      <c r="G40" s="288">
        <v>28700</v>
      </c>
      <c r="H40" s="286"/>
      <c r="I40" s="288">
        <f>+G40-E40</f>
        <v>804</v>
      </c>
      <c r="J40" s="127" t="s">
        <v>159</v>
      </c>
      <c r="K40" s="126"/>
    </row>
    <row r="41" spans="1:11">
      <c r="A41" s="17" t="s">
        <v>130</v>
      </c>
      <c r="B41" s="286"/>
      <c r="C41" s="288">
        <v>58</v>
      </c>
      <c r="D41" s="286"/>
      <c r="E41" s="303">
        <v>0</v>
      </c>
      <c r="F41" s="286"/>
      <c r="G41" s="303">
        <v>0</v>
      </c>
      <c r="H41" s="286"/>
      <c r="I41" s="303">
        <f>+G41-E41</f>
        <v>0</v>
      </c>
      <c r="J41" s="127" t="s">
        <v>159</v>
      </c>
      <c r="K41" s="126"/>
    </row>
    <row r="42" spans="1:11">
      <c r="A42" s="17" t="s">
        <v>131</v>
      </c>
      <c r="B42" s="286"/>
      <c r="C42" s="288">
        <v>171</v>
      </c>
      <c r="D42" s="286"/>
      <c r="E42" s="303">
        <v>0</v>
      </c>
      <c r="F42" s="286"/>
      <c r="G42" s="303">
        <v>0</v>
      </c>
      <c r="H42" s="286"/>
      <c r="I42" s="303">
        <f>+G42-E42</f>
        <v>0</v>
      </c>
      <c r="J42" s="127" t="s">
        <v>159</v>
      </c>
      <c r="K42" s="126"/>
    </row>
    <row r="43" spans="1:11">
      <c r="A43" s="17" t="s">
        <v>134</v>
      </c>
      <c r="B43" s="286"/>
      <c r="C43" s="288">
        <v>79</v>
      </c>
      <c r="D43" s="286"/>
      <c r="E43" s="303">
        <v>0</v>
      </c>
      <c r="F43" s="286"/>
      <c r="G43" s="303">
        <v>0</v>
      </c>
      <c r="H43" s="286"/>
      <c r="I43" s="303">
        <f>+G43-E43</f>
        <v>0</v>
      </c>
      <c r="J43" s="127" t="s">
        <v>159</v>
      </c>
      <c r="K43" s="126"/>
    </row>
    <row r="44" spans="1:11">
      <c r="A44" s="17" t="s">
        <v>136</v>
      </c>
      <c r="B44" s="294"/>
      <c r="C44" s="293">
        <v>0</v>
      </c>
      <c r="D44" s="294"/>
      <c r="E44" s="304">
        <v>0</v>
      </c>
      <c r="F44" s="294"/>
      <c r="G44" s="304">
        <v>0</v>
      </c>
      <c r="H44" s="294"/>
      <c r="I44" s="304">
        <f>+G44-E44</f>
        <v>0</v>
      </c>
      <c r="J44" s="127" t="s">
        <v>159</v>
      </c>
      <c r="K44" s="126"/>
    </row>
    <row r="45" spans="1:11">
      <c r="A45" s="17" t="s">
        <v>174</v>
      </c>
      <c r="B45" s="292">
        <v>0</v>
      </c>
      <c r="C45" s="293">
        <f>SUM(C38:C44)</f>
        <v>90913</v>
      </c>
      <c r="D45" s="292">
        <v>0</v>
      </c>
      <c r="E45" s="293">
        <f>SUM(E38:E44)</f>
        <v>92276</v>
      </c>
      <c r="F45" s="292">
        <v>0</v>
      </c>
      <c r="G45" s="293">
        <f>SUM(G38:G44)</f>
        <v>93700</v>
      </c>
      <c r="H45" s="292">
        <v>0</v>
      </c>
      <c r="I45" s="293">
        <f>SUM(I38:I44)</f>
        <v>1424</v>
      </c>
      <c r="J45" s="127" t="s">
        <v>159</v>
      </c>
      <c r="K45" s="126"/>
    </row>
    <row r="46" spans="1:11">
      <c r="A46" s="50" t="s">
        <v>6</v>
      </c>
      <c r="B46" s="305">
        <f>+B14</f>
        <v>35259</v>
      </c>
      <c r="C46" s="306">
        <f>+C29+C45</f>
        <v>6265077</v>
      </c>
      <c r="D46" s="305">
        <f>+D14</f>
        <v>36947</v>
      </c>
      <c r="E46" s="296">
        <f>+E29+E45</f>
        <v>6555281</v>
      </c>
      <c r="F46" s="307">
        <f>+F14</f>
        <v>37703</v>
      </c>
      <c r="G46" s="296">
        <f>+G29+G45</f>
        <v>6820217</v>
      </c>
      <c r="H46" s="307">
        <f>+H14</f>
        <v>756</v>
      </c>
      <c r="I46" s="306">
        <f>+I29+I45</f>
        <v>264936</v>
      </c>
      <c r="J46" s="127" t="s">
        <v>159</v>
      </c>
      <c r="K46" s="126"/>
    </row>
    <row r="47" spans="1:11">
      <c r="A47" s="17" t="s">
        <v>245</v>
      </c>
      <c r="B47" s="308"/>
      <c r="C47" s="309">
        <v>-20817</v>
      </c>
      <c r="D47" s="308"/>
      <c r="E47" s="310">
        <v>-4000</v>
      </c>
      <c r="F47" s="308"/>
      <c r="G47" s="303">
        <v>0</v>
      </c>
      <c r="H47" s="308"/>
      <c r="I47" s="309">
        <v>4000</v>
      </c>
      <c r="J47" s="127" t="s">
        <v>159</v>
      </c>
      <c r="K47" s="126"/>
    </row>
    <row r="48" spans="1:11">
      <c r="A48" s="17" t="s">
        <v>246</v>
      </c>
      <c r="B48" s="308"/>
      <c r="C48" s="310">
        <v>58150</v>
      </c>
      <c r="D48" s="308"/>
      <c r="E48" s="310">
        <v>0</v>
      </c>
      <c r="F48" s="308"/>
      <c r="G48" s="303">
        <v>0</v>
      </c>
      <c r="H48" s="308"/>
      <c r="I48" s="310">
        <v>0</v>
      </c>
      <c r="J48" s="127" t="s">
        <v>159</v>
      </c>
      <c r="K48" s="126"/>
    </row>
    <row r="49" spans="1:11">
      <c r="A49" s="17" t="s">
        <v>247</v>
      </c>
      <c r="B49" s="308"/>
      <c r="C49" s="306">
        <v>-20000</v>
      </c>
      <c r="D49" s="308"/>
      <c r="E49" s="310">
        <v>0</v>
      </c>
      <c r="F49" s="308"/>
      <c r="G49" s="303">
        <v>0</v>
      </c>
      <c r="H49" s="308"/>
      <c r="I49" s="310">
        <v>0</v>
      </c>
      <c r="J49" s="127" t="s">
        <v>159</v>
      </c>
      <c r="K49" s="126"/>
    </row>
    <row r="50" spans="1:11" ht="21" customHeight="1">
      <c r="A50" s="50" t="s">
        <v>248</v>
      </c>
      <c r="B50" s="298"/>
      <c r="C50" s="306">
        <f>SUM(C46:C49)</f>
        <v>6282410</v>
      </c>
      <c r="D50" s="284"/>
      <c r="E50" s="296">
        <f>SUM(E46:E49)</f>
        <v>6551281</v>
      </c>
      <c r="F50" s="284"/>
      <c r="G50" s="296">
        <f>+G46</f>
        <v>6820217</v>
      </c>
      <c r="H50" s="284"/>
      <c r="I50" s="309">
        <f>+I46+I47</f>
        <v>268936</v>
      </c>
      <c r="J50" s="127" t="s">
        <v>159</v>
      </c>
      <c r="K50" s="126"/>
    </row>
    <row r="51" spans="1:11">
      <c r="A51" s="66" t="s">
        <v>97</v>
      </c>
      <c r="B51" s="311">
        <v>0</v>
      </c>
      <c r="C51" s="299" t="s">
        <v>113</v>
      </c>
      <c r="D51" s="298">
        <v>136</v>
      </c>
      <c r="E51" s="299" t="s">
        <v>113</v>
      </c>
      <c r="F51" s="298">
        <v>136</v>
      </c>
      <c r="G51" s="300" t="s">
        <v>113</v>
      </c>
      <c r="H51" s="298">
        <f>+F51</f>
        <v>136</v>
      </c>
      <c r="I51" s="300" t="s">
        <v>113</v>
      </c>
      <c r="J51" s="127" t="s">
        <v>161</v>
      </c>
      <c r="K51" s="126"/>
    </row>
    <row r="52" spans="1:11">
      <c r="A52" s="6"/>
      <c r="B52" s="6"/>
      <c r="C52" s="6"/>
      <c r="D52" s="6"/>
      <c r="E52" s="6"/>
      <c r="F52" s="6"/>
      <c r="G52" s="6"/>
      <c r="H52" s="6"/>
      <c r="I52" s="6"/>
    </row>
    <row r="53" spans="1:11">
      <c r="C53" s="1" t="s">
        <v>113</v>
      </c>
    </row>
    <row r="56" spans="1:11">
      <c r="C56" s="175" t="s">
        <v>113</v>
      </c>
    </row>
    <row r="58" spans="1:11">
      <c r="C58" s="196" t="s">
        <v>113</v>
      </c>
    </row>
  </sheetData>
  <mergeCells count="12">
    <mergeCell ref="B33:C34"/>
    <mergeCell ref="D33:E34"/>
    <mergeCell ref="F33:G34"/>
    <mergeCell ref="H33:I34"/>
    <mergeCell ref="A2:I2"/>
    <mergeCell ref="A3:I3"/>
    <mergeCell ref="A4:I4"/>
    <mergeCell ref="A5:I5"/>
    <mergeCell ref="B7:C8"/>
    <mergeCell ref="D7:E8"/>
    <mergeCell ref="F7:G8"/>
    <mergeCell ref="H7:I8"/>
  </mergeCells>
  <phoneticPr fontId="0" type="noConversion"/>
  <pageMargins left="0.75" right="0.75" top="1" bottom="0.65" header="0.5" footer="0.3"/>
  <pageSetup scale="85" fitToHeight="2" orientation="landscape" r:id="rId1"/>
  <headerFooter scaleWithDoc="0" alignWithMargins="0">
    <oddFooter>&amp;C&amp;"Times New Roman,Regular"Exhibit L:  Summary of Requirements by Object Class</oddFooter>
  </headerFooter>
  <rowBreaks count="1" manualBreakCount="1">
    <brk id="30" max="9" man="1"/>
  </rowBreaks>
</worksheet>
</file>

<file path=xl/worksheets/sheet13.xml><?xml version="1.0" encoding="utf-8"?>
<worksheet xmlns="http://schemas.openxmlformats.org/spreadsheetml/2006/main" xmlns:r="http://schemas.openxmlformats.org/officeDocument/2006/relationships">
  <dimension ref="A1:N65"/>
  <sheetViews>
    <sheetView view="pageBreakPreview" topLeftCell="A17" zoomScale="80" zoomScaleNormal="100" zoomScaleSheetLayoutView="80" workbookViewId="0">
      <selection activeCell="J1" sqref="J1"/>
    </sheetView>
  </sheetViews>
  <sheetFormatPr defaultColWidth="8.90625" defaultRowHeight="15"/>
  <cols>
    <col min="1" max="6" width="8.90625" style="256"/>
    <col min="7" max="7" width="21.453125" style="256" customWidth="1"/>
    <col min="8" max="8" width="8.90625" style="256"/>
    <col min="9" max="9" width="8.90625" style="554"/>
    <col min="10" max="10" width="7.08984375" style="256" customWidth="1"/>
    <col min="11" max="11" width="1.453125" style="256" customWidth="1"/>
    <col min="12" max="12" width="8.90625" style="256" customWidth="1"/>
    <col min="13" max="13" width="0.81640625" style="256" customWidth="1"/>
    <col min="14" max="14" width="1.90625" style="256" customWidth="1"/>
    <col min="15" max="16384" width="8.90625" style="256"/>
  </cols>
  <sheetData>
    <row r="1" spans="1:14" ht="15.6">
      <c r="A1" s="543" t="s">
        <v>328</v>
      </c>
      <c r="B1" s="544"/>
      <c r="C1" s="544"/>
      <c r="D1" s="544"/>
      <c r="E1" s="544"/>
      <c r="F1" s="544"/>
      <c r="G1" s="544"/>
      <c r="H1" s="544"/>
      <c r="I1" s="545"/>
      <c r="J1" s="544"/>
      <c r="K1" s="545" t="s">
        <v>159</v>
      </c>
      <c r="M1" s="554" t="s">
        <v>159</v>
      </c>
      <c r="N1" s="554"/>
    </row>
    <row r="2" spans="1:14" ht="15.6">
      <c r="A2" s="546"/>
      <c r="B2" s="547"/>
      <c r="C2" s="547"/>
      <c r="D2" s="547"/>
      <c r="E2" s="547"/>
      <c r="F2" s="547"/>
      <c r="G2" s="547"/>
      <c r="H2" s="547"/>
      <c r="I2" s="547"/>
      <c r="J2" s="547"/>
      <c r="K2" s="545" t="s">
        <v>159</v>
      </c>
      <c r="M2" s="554" t="s">
        <v>159</v>
      </c>
      <c r="N2" s="554"/>
    </row>
    <row r="3" spans="1:14" ht="15.6">
      <c r="A3" s="918" t="s">
        <v>30</v>
      </c>
      <c r="B3" s="919"/>
      <c r="C3" s="919"/>
      <c r="D3" s="919"/>
      <c r="E3" s="919"/>
      <c r="F3" s="919"/>
      <c r="G3" s="919"/>
      <c r="H3" s="919"/>
      <c r="I3" s="919"/>
      <c r="J3" s="919"/>
      <c r="K3" s="545" t="s">
        <v>159</v>
      </c>
      <c r="M3" s="554" t="s">
        <v>159</v>
      </c>
      <c r="N3" s="554"/>
    </row>
    <row r="4" spans="1:14" ht="15.6">
      <c r="A4" s="547"/>
      <c r="B4" s="547"/>
      <c r="C4" s="547"/>
      <c r="D4" s="547"/>
      <c r="E4" s="547"/>
      <c r="F4" s="547"/>
      <c r="G4" s="547"/>
      <c r="H4" s="547"/>
      <c r="I4" s="547"/>
      <c r="J4" s="547"/>
      <c r="K4" s="545" t="s">
        <v>159</v>
      </c>
      <c r="M4" s="554" t="s">
        <v>159</v>
      </c>
      <c r="N4" s="554"/>
    </row>
    <row r="5" spans="1:14" ht="15.6">
      <c r="A5" s="920" t="s">
        <v>31</v>
      </c>
      <c r="B5" s="921"/>
      <c r="C5" s="921"/>
      <c r="D5" s="921"/>
      <c r="E5" s="921"/>
      <c r="F5" s="921"/>
      <c r="G5" s="921"/>
      <c r="H5" s="921"/>
      <c r="I5" s="921"/>
      <c r="J5" s="921"/>
      <c r="K5" s="545" t="s">
        <v>159</v>
      </c>
      <c r="M5" s="554" t="s">
        <v>159</v>
      </c>
      <c r="N5" s="554"/>
    </row>
    <row r="6" spans="1:14" ht="15.6">
      <c r="A6" s="922" t="s">
        <v>101</v>
      </c>
      <c r="B6" s="923"/>
      <c r="C6" s="923"/>
      <c r="D6" s="923"/>
      <c r="E6" s="923"/>
      <c r="F6" s="923"/>
      <c r="G6" s="923"/>
      <c r="H6" s="923"/>
      <c r="I6" s="923"/>
      <c r="J6" s="923"/>
      <c r="K6" s="545" t="s">
        <v>159</v>
      </c>
      <c r="M6" s="554" t="s">
        <v>159</v>
      </c>
      <c r="N6" s="554"/>
    </row>
    <row r="7" spans="1:14" ht="15.6">
      <c r="A7" s="718"/>
      <c r="B7" s="718"/>
      <c r="C7" s="718"/>
      <c r="D7" s="718"/>
      <c r="E7" s="718"/>
      <c r="F7" s="718"/>
      <c r="G7" s="718"/>
      <c r="H7" s="718"/>
      <c r="I7" s="718"/>
      <c r="J7" s="718"/>
      <c r="K7" s="545" t="s">
        <v>159</v>
      </c>
      <c r="M7" s="554" t="s">
        <v>159</v>
      </c>
      <c r="N7" s="554"/>
    </row>
    <row r="8" spans="1:14" ht="15.6">
      <c r="A8" s="548"/>
      <c r="B8" s="548"/>
      <c r="C8" s="548"/>
      <c r="D8" s="548"/>
      <c r="E8" s="549"/>
      <c r="F8" s="549"/>
      <c r="G8" s="549"/>
      <c r="H8" s="549"/>
      <c r="I8" s="549"/>
      <c r="J8" s="548"/>
      <c r="K8" s="545" t="s">
        <v>159</v>
      </c>
      <c r="M8" s="554" t="s">
        <v>159</v>
      </c>
      <c r="N8" s="554"/>
    </row>
    <row r="9" spans="1:14" ht="15.6">
      <c r="A9" s="924" t="s">
        <v>329</v>
      </c>
      <c r="B9" s="924"/>
      <c r="C9" s="924"/>
      <c r="D9" s="924"/>
      <c r="E9" s="924"/>
      <c r="F9" s="924"/>
      <c r="G9" s="924"/>
      <c r="H9" s="924"/>
      <c r="I9" s="924"/>
      <c r="J9" s="924"/>
      <c r="K9" s="545" t="s">
        <v>159</v>
      </c>
      <c r="M9" s="554" t="s">
        <v>159</v>
      </c>
      <c r="N9" s="554"/>
    </row>
    <row r="10" spans="1:14" ht="15.6">
      <c r="A10" s="550"/>
      <c r="B10" s="548"/>
      <c r="C10" s="548"/>
      <c r="D10" s="548"/>
      <c r="E10" s="548"/>
      <c r="F10" s="548"/>
      <c r="G10" s="548"/>
      <c r="H10" s="548"/>
      <c r="I10" s="548"/>
      <c r="J10" s="548"/>
      <c r="K10" s="545" t="s">
        <v>159</v>
      </c>
      <c r="M10" s="554" t="s">
        <v>159</v>
      </c>
      <c r="N10" s="554"/>
    </row>
    <row r="11" spans="1:14" ht="15.75" customHeight="1">
      <c r="A11" s="551"/>
      <c r="B11" s="551"/>
      <c r="C11" s="551"/>
      <c r="D11" s="551"/>
      <c r="E11" s="551"/>
      <c r="F11" s="551"/>
      <c r="G11" s="551"/>
      <c r="H11" s="551"/>
      <c r="I11" s="551"/>
      <c r="J11" s="551"/>
      <c r="K11" s="545" t="s">
        <v>159</v>
      </c>
      <c r="M11" s="554" t="s">
        <v>159</v>
      </c>
    </row>
    <row r="12" spans="1:14" ht="14.25" customHeight="1">
      <c r="A12" s="925" t="s">
        <v>411</v>
      </c>
      <c r="B12" s="925"/>
      <c r="C12" s="925"/>
      <c r="D12" s="925"/>
      <c r="E12" s="925"/>
      <c r="F12" s="925"/>
      <c r="G12" s="925"/>
      <c r="H12" s="925"/>
      <c r="I12" s="925"/>
      <c r="J12" s="925"/>
      <c r="K12" s="925"/>
      <c r="L12" s="925"/>
      <c r="M12" s="554" t="s">
        <v>159</v>
      </c>
    </row>
    <row r="13" spans="1:14" ht="14.25" customHeight="1">
      <c r="A13" s="925"/>
      <c r="B13" s="925"/>
      <c r="C13" s="925"/>
      <c r="D13" s="925"/>
      <c r="E13" s="925"/>
      <c r="F13" s="925"/>
      <c r="G13" s="925"/>
      <c r="H13" s="925"/>
      <c r="I13" s="925"/>
      <c r="J13" s="925"/>
      <c r="K13" s="925"/>
      <c r="L13" s="925"/>
      <c r="M13" s="554" t="s">
        <v>159</v>
      </c>
    </row>
    <row r="14" spans="1:14" ht="14.25" customHeight="1">
      <c r="A14" s="925"/>
      <c r="B14" s="925"/>
      <c r="C14" s="925"/>
      <c r="D14" s="925"/>
      <c r="E14" s="925"/>
      <c r="F14" s="925"/>
      <c r="G14" s="925"/>
      <c r="H14" s="925"/>
      <c r="I14" s="925"/>
      <c r="J14" s="925"/>
      <c r="K14" s="925"/>
      <c r="L14" s="925"/>
      <c r="M14" s="554" t="s">
        <v>159</v>
      </c>
    </row>
    <row r="15" spans="1:14" ht="25.5" customHeight="1">
      <c r="A15" s="925"/>
      <c r="B15" s="925"/>
      <c r="C15" s="925"/>
      <c r="D15" s="925"/>
      <c r="E15" s="925"/>
      <c r="F15" s="925"/>
      <c r="G15" s="925"/>
      <c r="H15" s="925"/>
      <c r="I15" s="925"/>
      <c r="J15" s="925"/>
      <c r="K15" s="925"/>
      <c r="L15" s="925"/>
      <c r="M15" s="554" t="s">
        <v>159</v>
      </c>
    </row>
    <row r="16" spans="1:14" ht="12" customHeight="1">
      <c r="A16" s="721"/>
      <c r="B16" s="721"/>
      <c r="C16" s="721"/>
      <c r="D16" s="721"/>
      <c r="E16" s="721"/>
      <c r="F16" s="721"/>
      <c r="G16" s="721"/>
      <c r="H16" s="721"/>
      <c r="I16" s="721"/>
      <c r="J16" s="721"/>
      <c r="K16" s="721"/>
      <c r="L16" s="721"/>
      <c r="M16" s="554" t="s">
        <v>159</v>
      </c>
    </row>
    <row r="17" spans="1:14" ht="11.25" customHeight="1">
      <c r="A17" s="927" t="s">
        <v>412</v>
      </c>
      <c r="B17" s="927"/>
      <c r="C17" s="927"/>
      <c r="D17" s="927"/>
      <c r="E17" s="927"/>
      <c r="F17" s="927"/>
      <c r="G17" s="927"/>
      <c r="H17" s="927"/>
      <c r="I17" s="927"/>
      <c r="J17" s="927"/>
      <c r="K17" s="927"/>
      <c r="L17" s="927"/>
      <c r="M17" s="554" t="s">
        <v>159</v>
      </c>
    </row>
    <row r="18" spans="1:14" ht="15.75" customHeight="1">
      <c r="A18" s="927"/>
      <c r="B18" s="927"/>
      <c r="C18" s="927"/>
      <c r="D18" s="927"/>
      <c r="E18" s="927"/>
      <c r="F18" s="927"/>
      <c r="G18" s="927"/>
      <c r="H18" s="927"/>
      <c r="I18" s="927"/>
      <c r="J18" s="927"/>
      <c r="K18" s="927"/>
      <c r="L18" s="927"/>
      <c r="M18" s="554" t="s">
        <v>159</v>
      </c>
      <c r="N18" s="554"/>
    </row>
    <row r="19" spans="1:14" ht="19.5" customHeight="1">
      <c r="A19" s="927"/>
      <c r="B19" s="927"/>
      <c r="C19" s="927"/>
      <c r="D19" s="927"/>
      <c r="E19" s="927"/>
      <c r="F19" s="927"/>
      <c r="G19" s="927"/>
      <c r="H19" s="927"/>
      <c r="I19" s="927"/>
      <c r="J19" s="927"/>
      <c r="K19" s="927"/>
      <c r="L19" s="927"/>
      <c r="M19" s="554" t="s">
        <v>159</v>
      </c>
      <c r="N19" s="554"/>
    </row>
    <row r="20" spans="1:14" ht="12" customHeight="1">
      <c r="A20" s="719"/>
      <c r="B20" s="719"/>
      <c r="C20" s="719"/>
      <c r="D20" s="719"/>
      <c r="E20" s="719"/>
      <c r="F20" s="719"/>
      <c r="G20" s="719"/>
      <c r="H20" s="719"/>
      <c r="I20" s="719"/>
      <c r="J20" s="719"/>
      <c r="K20" s="719"/>
      <c r="L20" s="719"/>
      <c r="M20" s="554"/>
      <c r="N20" s="554"/>
    </row>
    <row r="21" spans="1:14" ht="11.25" customHeight="1">
      <c r="A21" s="927" t="s">
        <v>431</v>
      </c>
      <c r="B21" s="927"/>
      <c r="C21" s="927"/>
      <c r="D21" s="927"/>
      <c r="E21" s="927"/>
      <c r="F21" s="927"/>
      <c r="G21" s="927"/>
      <c r="H21" s="927"/>
      <c r="I21" s="927"/>
      <c r="J21" s="927"/>
      <c r="K21" s="927"/>
      <c r="L21" s="927"/>
      <c r="M21" s="554" t="s">
        <v>159</v>
      </c>
      <c r="N21" s="554"/>
    </row>
    <row r="22" spans="1:14" ht="19.5" customHeight="1">
      <c r="A22" s="927"/>
      <c r="B22" s="927"/>
      <c r="C22" s="927"/>
      <c r="D22" s="927"/>
      <c r="E22" s="927"/>
      <c r="F22" s="927"/>
      <c r="G22" s="927"/>
      <c r="H22" s="927"/>
      <c r="I22" s="927"/>
      <c r="J22" s="927"/>
      <c r="K22" s="927"/>
      <c r="L22" s="927"/>
      <c r="M22" s="554" t="s">
        <v>159</v>
      </c>
      <c r="N22" s="554"/>
    </row>
    <row r="23" spans="1:14" ht="41.25" customHeight="1">
      <c r="A23" s="927"/>
      <c r="B23" s="927"/>
      <c r="C23" s="927"/>
      <c r="D23" s="927"/>
      <c r="E23" s="927"/>
      <c r="F23" s="927"/>
      <c r="G23" s="927"/>
      <c r="H23" s="927"/>
      <c r="I23" s="927"/>
      <c r="J23" s="927"/>
      <c r="K23" s="927"/>
      <c r="L23" s="927"/>
      <c r="M23" s="554" t="s">
        <v>159</v>
      </c>
      <c r="N23" s="554"/>
    </row>
    <row r="24" spans="1:14" ht="12" customHeight="1">
      <c r="A24" s="720"/>
      <c r="B24" s="720"/>
      <c r="C24" s="720"/>
      <c r="D24" s="720"/>
      <c r="E24" s="720"/>
      <c r="F24" s="720"/>
      <c r="G24" s="720"/>
      <c r="H24" s="720"/>
      <c r="I24" s="720"/>
      <c r="J24" s="720"/>
      <c r="K24" s="720"/>
      <c r="L24" s="720"/>
      <c r="M24" s="554" t="s">
        <v>159</v>
      </c>
      <c r="N24" s="554"/>
    </row>
    <row r="25" spans="1:14" ht="15.75" customHeight="1">
      <c r="A25" s="927" t="s">
        <v>413</v>
      </c>
      <c r="B25" s="927"/>
      <c r="C25" s="927"/>
      <c r="D25" s="927"/>
      <c r="E25" s="927"/>
      <c r="F25" s="927"/>
      <c r="G25" s="927"/>
      <c r="H25" s="927"/>
      <c r="I25" s="927"/>
      <c r="J25" s="927"/>
      <c r="K25" s="927"/>
      <c r="L25" s="927"/>
      <c r="M25" s="554" t="s">
        <v>159</v>
      </c>
      <c r="N25" s="554"/>
    </row>
    <row r="26" spans="1:14" ht="15.75" customHeight="1">
      <c r="A26" s="927"/>
      <c r="B26" s="927"/>
      <c r="C26" s="927"/>
      <c r="D26" s="927"/>
      <c r="E26" s="927"/>
      <c r="F26" s="927"/>
      <c r="G26" s="927"/>
      <c r="H26" s="927"/>
      <c r="I26" s="927"/>
      <c r="J26" s="927"/>
      <c r="K26" s="927"/>
      <c r="L26" s="927"/>
      <c r="M26" s="554" t="s">
        <v>159</v>
      </c>
      <c r="N26" s="554"/>
    </row>
    <row r="27" spans="1:14" ht="15.75" customHeight="1">
      <c r="A27" s="927"/>
      <c r="B27" s="927"/>
      <c r="C27" s="927"/>
      <c r="D27" s="927"/>
      <c r="E27" s="927"/>
      <c r="F27" s="927"/>
      <c r="G27" s="927"/>
      <c r="H27" s="927"/>
      <c r="I27" s="927"/>
      <c r="J27" s="927"/>
      <c r="K27" s="927"/>
      <c r="L27" s="927"/>
      <c r="M27" s="554" t="s">
        <v>159</v>
      </c>
      <c r="N27" s="554"/>
    </row>
    <row r="28" spans="1:14" ht="15.75" customHeight="1">
      <c r="A28" s="927"/>
      <c r="B28" s="927"/>
      <c r="C28" s="927"/>
      <c r="D28" s="927"/>
      <c r="E28" s="927"/>
      <c r="F28" s="927"/>
      <c r="G28" s="927"/>
      <c r="H28" s="927"/>
      <c r="I28" s="927"/>
      <c r="J28" s="927"/>
      <c r="K28" s="927"/>
      <c r="L28" s="927"/>
      <c r="M28" s="554" t="s">
        <v>159</v>
      </c>
      <c r="N28" s="554"/>
    </row>
    <row r="29" spans="1:14" ht="15.75" customHeight="1">
      <c r="A29" s="927"/>
      <c r="B29" s="927"/>
      <c r="C29" s="927"/>
      <c r="D29" s="927"/>
      <c r="E29" s="927"/>
      <c r="F29" s="927"/>
      <c r="G29" s="927"/>
      <c r="H29" s="927"/>
      <c r="I29" s="927"/>
      <c r="J29" s="927"/>
      <c r="K29" s="927"/>
      <c r="L29" s="927"/>
      <c r="M29" s="554" t="s">
        <v>159</v>
      </c>
      <c r="N29" s="554"/>
    </row>
    <row r="30" spans="1:14" ht="12" customHeight="1">
      <c r="A30" s="552"/>
      <c r="B30" s="552"/>
      <c r="C30" s="552"/>
      <c r="D30" s="552"/>
      <c r="E30" s="552"/>
      <c r="F30" s="552"/>
      <c r="G30" s="552"/>
      <c r="H30" s="552"/>
      <c r="I30" s="552"/>
      <c r="J30" s="552"/>
      <c r="K30" s="545"/>
      <c r="M30" s="554" t="s">
        <v>159</v>
      </c>
      <c r="N30" s="554"/>
    </row>
    <row r="31" spans="1:14" ht="15.75" customHeight="1">
      <c r="A31" s="928" t="s">
        <v>414</v>
      </c>
      <c r="B31" s="928"/>
      <c r="C31" s="928"/>
      <c r="D31" s="928"/>
      <c r="E31" s="928"/>
      <c r="F31" s="928"/>
      <c r="G31" s="928"/>
      <c r="H31" s="928"/>
      <c r="I31" s="928"/>
      <c r="J31" s="928"/>
      <c r="K31" s="928"/>
      <c r="L31" s="928"/>
      <c r="M31" s="554" t="s">
        <v>159</v>
      </c>
      <c r="N31" s="554"/>
    </row>
    <row r="32" spans="1:14" ht="34.5" customHeight="1">
      <c r="A32" s="928"/>
      <c r="B32" s="928"/>
      <c r="C32" s="928"/>
      <c r="D32" s="928"/>
      <c r="E32" s="928"/>
      <c r="F32" s="928"/>
      <c r="G32" s="928"/>
      <c r="H32" s="928"/>
      <c r="I32" s="928"/>
      <c r="J32" s="928"/>
      <c r="K32" s="928"/>
      <c r="L32" s="928"/>
      <c r="M32" s="554" t="s">
        <v>159</v>
      </c>
    </row>
    <row r="33" spans="1:13" ht="9.75" customHeight="1">
      <c r="A33" s="553"/>
      <c r="B33" s="553"/>
      <c r="C33" s="553"/>
      <c r="D33" s="553"/>
      <c r="E33" s="553"/>
      <c r="F33" s="553"/>
      <c r="G33" s="553"/>
      <c r="H33" s="553"/>
      <c r="I33" s="553"/>
      <c r="J33" s="553"/>
      <c r="K33" s="545"/>
      <c r="M33" s="554" t="s">
        <v>159</v>
      </c>
    </row>
    <row r="34" spans="1:13" ht="24" customHeight="1">
      <c r="A34" s="927" t="s">
        <v>416</v>
      </c>
      <c r="B34" s="927"/>
      <c r="C34" s="927"/>
      <c r="D34" s="927"/>
      <c r="E34" s="927"/>
      <c r="F34" s="927"/>
      <c r="G34" s="927"/>
      <c r="H34" s="927"/>
      <c r="I34" s="927"/>
      <c r="J34" s="927"/>
      <c r="K34" s="927"/>
      <c r="L34" s="927"/>
      <c r="M34" s="554" t="s">
        <v>159</v>
      </c>
    </row>
    <row r="35" spans="1:13" ht="15.75" customHeight="1">
      <c r="A35" s="927"/>
      <c r="B35" s="927"/>
      <c r="C35" s="927"/>
      <c r="D35" s="927"/>
      <c r="E35" s="927"/>
      <c r="F35" s="927"/>
      <c r="G35" s="927"/>
      <c r="H35" s="927"/>
      <c r="I35" s="927"/>
      <c r="J35" s="927"/>
      <c r="K35" s="927"/>
      <c r="L35" s="927"/>
      <c r="M35" s="554" t="s">
        <v>159</v>
      </c>
    </row>
    <row r="36" spans="1:13" ht="15.75" customHeight="1">
      <c r="A36" s="927"/>
      <c r="B36" s="927"/>
      <c r="C36" s="927"/>
      <c r="D36" s="927"/>
      <c r="E36" s="927"/>
      <c r="F36" s="927"/>
      <c r="G36" s="927"/>
      <c r="H36" s="927"/>
      <c r="I36" s="927"/>
      <c r="J36" s="927"/>
      <c r="K36" s="927"/>
      <c r="L36" s="927"/>
      <c r="M36" s="554" t="s">
        <v>159</v>
      </c>
    </row>
    <row r="37" spans="1:13" ht="15.75" customHeight="1">
      <c r="A37" s="927"/>
      <c r="B37" s="927"/>
      <c r="C37" s="927"/>
      <c r="D37" s="927"/>
      <c r="E37" s="927"/>
      <c r="F37" s="927"/>
      <c r="G37" s="927"/>
      <c r="H37" s="927"/>
      <c r="I37" s="927"/>
      <c r="J37" s="927"/>
      <c r="K37" s="927"/>
      <c r="L37" s="927"/>
      <c r="M37" s="554" t="s">
        <v>159</v>
      </c>
    </row>
    <row r="38" spans="1:13" ht="25.5" customHeight="1">
      <c r="A38" s="927"/>
      <c r="B38" s="927"/>
      <c r="C38" s="927"/>
      <c r="D38" s="927"/>
      <c r="E38" s="927"/>
      <c r="F38" s="927"/>
      <c r="G38" s="927"/>
      <c r="H38" s="927"/>
      <c r="I38" s="927"/>
      <c r="J38" s="927"/>
      <c r="K38" s="927"/>
      <c r="L38" s="927"/>
      <c r="M38" s="554" t="s">
        <v>159</v>
      </c>
    </row>
    <row r="39" spans="1:13" ht="13.5" customHeight="1">
      <c r="A39" s="719"/>
      <c r="B39" s="719"/>
      <c r="C39" s="719"/>
      <c r="D39" s="719"/>
      <c r="E39" s="719"/>
      <c r="F39" s="719"/>
      <c r="G39" s="719"/>
      <c r="H39" s="719"/>
      <c r="I39" s="719"/>
      <c r="J39" s="719"/>
      <c r="K39" s="719"/>
      <c r="L39" s="719"/>
      <c r="M39" s="554" t="s">
        <v>159</v>
      </c>
    </row>
    <row r="40" spans="1:13" ht="15.75" customHeight="1">
      <c r="A40" s="926" t="s">
        <v>415</v>
      </c>
      <c r="B40" s="926"/>
      <c r="C40" s="926"/>
      <c r="D40" s="926"/>
      <c r="E40" s="926"/>
      <c r="F40" s="926"/>
      <c r="G40" s="926"/>
      <c r="H40" s="926"/>
      <c r="I40" s="926"/>
      <c r="J40" s="926"/>
      <c r="K40" s="926"/>
      <c r="L40" s="926"/>
      <c r="M40" s="554" t="s">
        <v>159</v>
      </c>
    </row>
    <row r="41" spans="1:13" ht="15.75" customHeight="1">
      <c r="A41" s="926"/>
      <c r="B41" s="926"/>
      <c r="C41" s="926"/>
      <c r="D41" s="926"/>
      <c r="E41" s="926"/>
      <c r="F41" s="926"/>
      <c r="G41" s="926"/>
      <c r="H41" s="926"/>
      <c r="I41" s="926"/>
      <c r="J41" s="926"/>
      <c r="K41" s="926"/>
      <c r="L41" s="926"/>
      <c r="M41" s="554" t="s">
        <v>159</v>
      </c>
    </row>
    <row r="42" spans="1:13" ht="12" customHeight="1">
      <c r="A42" s="926"/>
      <c r="B42" s="926"/>
      <c r="C42" s="926"/>
      <c r="D42" s="926"/>
      <c r="E42" s="926"/>
      <c r="F42" s="926"/>
      <c r="G42" s="926"/>
      <c r="H42" s="926"/>
      <c r="I42" s="926"/>
      <c r="J42" s="926"/>
      <c r="K42" s="926"/>
      <c r="L42" s="926"/>
      <c r="M42" s="554" t="s">
        <v>159</v>
      </c>
    </row>
    <row r="43" spans="1:13" ht="15" customHeight="1">
      <c r="A43" s="926"/>
      <c r="B43" s="926"/>
      <c r="C43" s="926"/>
      <c r="D43" s="926"/>
      <c r="E43" s="926"/>
      <c r="F43" s="926"/>
      <c r="G43" s="926"/>
      <c r="H43" s="926"/>
      <c r="I43" s="926"/>
      <c r="J43" s="926"/>
      <c r="K43" s="926"/>
      <c r="L43" s="926"/>
      <c r="M43" s="554" t="s">
        <v>159</v>
      </c>
    </row>
    <row r="44" spans="1:13" ht="15.75" customHeight="1">
      <c r="A44" s="555"/>
      <c r="B44" s="555"/>
      <c r="C44" s="555"/>
      <c r="D44" s="555"/>
      <c r="E44" s="555"/>
      <c r="F44" s="555"/>
      <c r="G44" s="555"/>
      <c r="H44" s="555"/>
      <c r="I44" s="555"/>
      <c r="J44" s="555"/>
      <c r="K44" s="545"/>
      <c r="M44" s="554" t="s">
        <v>159</v>
      </c>
    </row>
    <row r="45" spans="1:13" ht="15.75" customHeight="1">
      <c r="A45" s="555"/>
      <c r="B45" s="555"/>
      <c r="C45" s="555"/>
      <c r="D45" s="555"/>
      <c r="E45" s="555"/>
      <c r="F45" s="555"/>
      <c r="G45" s="555"/>
      <c r="H45" s="555"/>
      <c r="I45" s="555"/>
      <c r="J45" s="555"/>
      <c r="K45" s="545"/>
      <c r="M45" s="554" t="s">
        <v>159</v>
      </c>
    </row>
    <row r="46" spans="1:13" ht="23.25" customHeight="1">
      <c r="A46" s="555"/>
      <c r="B46" s="555"/>
      <c r="C46" s="555"/>
      <c r="D46" s="555"/>
      <c r="E46" s="555"/>
      <c r="F46" s="555"/>
      <c r="G46" s="555"/>
      <c r="H46" s="555"/>
      <c r="I46" s="555"/>
      <c r="J46" s="555"/>
      <c r="K46" s="545"/>
      <c r="M46" s="554" t="s">
        <v>161</v>
      </c>
    </row>
    <row r="47" spans="1:13" ht="15.75" customHeight="1">
      <c r="A47" s="555"/>
      <c r="B47" s="555"/>
      <c r="C47" s="555"/>
      <c r="D47" s="555"/>
      <c r="E47" s="555"/>
      <c r="F47" s="555"/>
      <c r="G47" s="555"/>
      <c r="H47" s="555"/>
      <c r="I47" s="555"/>
      <c r="J47" s="555"/>
      <c r="K47" s="545"/>
    </row>
    <row r="48" spans="1:13" ht="15.75" customHeight="1">
      <c r="K48" s="545"/>
    </row>
    <row r="49" spans="1:11" ht="15.75" customHeight="1">
      <c r="A49" s="555"/>
      <c r="B49" s="555"/>
      <c r="C49" s="555"/>
      <c r="D49" s="555"/>
      <c r="E49" s="555"/>
      <c r="F49" s="555"/>
      <c r="G49" s="555"/>
      <c r="H49" s="555"/>
      <c r="I49" s="555"/>
      <c r="J49" s="555"/>
      <c r="K49" s="545"/>
    </row>
    <row r="50" spans="1:11" ht="15.75" customHeight="1">
      <c r="A50" s="555"/>
      <c r="B50" s="555"/>
      <c r="C50" s="555"/>
      <c r="D50" s="555"/>
      <c r="E50" s="555"/>
      <c r="F50" s="555"/>
      <c r="G50" s="555"/>
      <c r="H50" s="555"/>
      <c r="I50" s="555"/>
      <c r="J50" s="555"/>
      <c r="K50" s="545"/>
    </row>
    <row r="51" spans="1:11" ht="15.75" customHeight="1">
      <c r="A51" s="555"/>
      <c r="B51" s="555"/>
      <c r="C51" s="555"/>
      <c r="D51" s="555"/>
      <c r="E51" s="555"/>
      <c r="F51" s="555"/>
      <c r="G51" s="555"/>
      <c r="H51" s="555"/>
      <c r="I51" s="555"/>
      <c r="J51" s="555"/>
      <c r="K51" s="545"/>
    </row>
    <row r="52" spans="1:11" ht="3" customHeight="1">
      <c r="A52" s="555"/>
      <c r="B52" s="555"/>
      <c r="C52" s="555"/>
      <c r="D52" s="555"/>
      <c r="E52" s="555"/>
      <c r="F52" s="555"/>
      <c r="G52" s="555"/>
      <c r="H52" s="555"/>
      <c r="I52" s="555"/>
      <c r="J52" s="555"/>
      <c r="K52" s="545"/>
    </row>
    <row r="53" spans="1:11" ht="15.75" customHeight="1">
      <c r="A53" s="555"/>
      <c r="B53" s="555"/>
      <c r="C53" s="555"/>
      <c r="D53" s="555"/>
      <c r="E53" s="555"/>
      <c r="F53" s="555"/>
      <c r="G53" s="555"/>
      <c r="H53" s="555"/>
      <c r="I53" s="555"/>
      <c r="J53" s="555"/>
      <c r="K53" s="545"/>
    </row>
    <row r="54" spans="1:11" ht="15.75" customHeight="1">
      <c r="A54" s="555"/>
      <c r="B54" s="555"/>
      <c r="C54" s="555"/>
      <c r="D54" s="555"/>
      <c r="E54" s="555"/>
      <c r="F54" s="555"/>
      <c r="G54" s="555"/>
      <c r="H54" s="555"/>
      <c r="I54" s="555"/>
      <c r="J54" s="555"/>
      <c r="K54" s="545"/>
    </row>
    <row r="55" spans="1:11" ht="15.75" customHeight="1">
      <c r="A55" s="555"/>
      <c r="B55" s="555"/>
      <c r="C55" s="555"/>
      <c r="D55" s="555"/>
      <c r="E55" s="555"/>
      <c r="F55" s="555"/>
      <c r="G55" s="555"/>
      <c r="H55" s="555"/>
      <c r="I55" s="555"/>
      <c r="J55" s="555"/>
      <c r="K55" s="545"/>
    </row>
    <row r="56" spans="1:11" ht="15.75" customHeight="1">
      <c r="A56" s="555"/>
      <c r="B56" s="555"/>
      <c r="C56" s="555"/>
      <c r="D56" s="555"/>
      <c r="E56" s="555"/>
      <c r="F56" s="555"/>
      <c r="G56" s="555"/>
      <c r="H56" s="555"/>
      <c r="I56" s="555"/>
      <c r="J56" s="555"/>
      <c r="K56" s="545"/>
    </row>
    <row r="57" spans="1:11" ht="15.75" customHeight="1">
      <c r="A57" s="555"/>
      <c r="B57" s="555"/>
      <c r="C57" s="555"/>
      <c r="D57" s="555"/>
      <c r="E57" s="555"/>
      <c r="F57" s="555"/>
      <c r="G57" s="555"/>
      <c r="H57" s="555"/>
      <c r="I57" s="555"/>
      <c r="J57" s="555"/>
      <c r="K57" s="545"/>
    </row>
    <row r="58" spans="1:11" ht="3" customHeight="1">
      <c r="A58" s="555"/>
      <c r="B58" s="555"/>
      <c r="C58" s="555"/>
      <c r="D58" s="555"/>
      <c r="E58" s="555"/>
      <c r="F58" s="555"/>
      <c r="G58" s="555"/>
      <c r="H58" s="555"/>
      <c r="I58" s="555"/>
      <c r="J58" s="555"/>
      <c r="K58" s="545"/>
    </row>
    <row r="59" spans="1:11" ht="15.75" customHeight="1">
      <c r="K59" s="545"/>
    </row>
    <row r="60" spans="1:11" ht="15.75" customHeight="1">
      <c r="A60" s="555"/>
      <c r="B60" s="555"/>
      <c r="C60" s="555"/>
      <c r="D60" s="555"/>
      <c r="E60" s="555"/>
      <c r="F60" s="555"/>
      <c r="G60" s="555"/>
      <c r="H60" s="555"/>
      <c r="I60" s="555"/>
      <c r="J60" s="555"/>
      <c r="K60" s="545"/>
    </row>
    <row r="61" spans="1:11" ht="15.75" customHeight="1">
      <c r="A61" s="555"/>
      <c r="B61" s="555"/>
      <c r="C61" s="555"/>
      <c r="D61" s="555"/>
      <c r="E61" s="555"/>
      <c r="F61" s="555"/>
      <c r="G61" s="555"/>
      <c r="H61" s="555"/>
      <c r="I61" s="555"/>
      <c r="J61" s="555"/>
      <c r="K61" s="545"/>
    </row>
    <row r="62" spans="1:11" ht="15.75" customHeight="1">
      <c r="A62" s="555"/>
      <c r="B62" s="555"/>
      <c r="C62" s="555"/>
      <c r="D62" s="555"/>
      <c r="E62" s="555"/>
      <c r="F62" s="555"/>
      <c r="G62" s="555"/>
      <c r="H62" s="555"/>
      <c r="I62" s="555"/>
      <c r="J62" s="555"/>
      <c r="K62" s="545"/>
    </row>
    <row r="63" spans="1:11" ht="15.75" customHeight="1">
      <c r="A63" s="555"/>
      <c r="B63" s="555"/>
      <c r="C63" s="555"/>
      <c r="D63" s="555"/>
      <c r="E63" s="555"/>
      <c r="F63" s="555"/>
      <c r="G63" s="555"/>
      <c r="H63" s="555"/>
      <c r="I63" s="555"/>
      <c r="J63" s="555"/>
      <c r="K63" s="545"/>
    </row>
    <row r="64" spans="1:11" ht="15.75" customHeight="1">
      <c r="A64" s="555"/>
      <c r="B64" s="555"/>
      <c r="C64" s="555"/>
      <c r="D64" s="555"/>
      <c r="E64" s="555"/>
      <c r="F64" s="555"/>
      <c r="G64" s="555"/>
      <c r="H64" s="555"/>
      <c r="I64" s="555"/>
      <c r="J64" s="555"/>
      <c r="K64" s="545"/>
    </row>
    <row r="65" spans="1:11" ht="15.6">
      <c r="A65" s="555"/>
      <c r="B65" s="555"/>
      <c r="C65" s="555"/>
      <c r="D65" s="555"/>
      <c r="E65" s="555"/>
      <c r="F65" s="555"/>
      <c r="G65" s="555"/>
      <c r="H65" s="555"/>
      <c r="I65" s="555"/>
      <c r="J65" s="555"/>
      <c r="K65" s="545"/>
    </row>
  </sheetData>
  <mergeCells count="11">
    <mergeCell ref="A40:L43"/>
    <mergeCell ref="A17:L19"/>
    <mergeCell ref="A21:L23"/>
    <mergeCell ref="A25:L29"/>
    <mergeCell ref="A31:L32"/>
    <mergeCell ref="A34:L38"/>
    <mergeCell ref="A3:J3"/>
    <mergeCell ref="A5:J5"/>
    <mergeCell ref="A6:J6"/>
    <mergeCell ref="A9:J9"/>
    <mergeCell ref="A12:L15"/>
  </mergeCells>
  <pageMargins left="0.7" right="0.7" top="0.75" bottom="0.75" header="0.3" footer="0.3"/>
  <pageSetup scale="92" fitToHeight="2" orientation="landscape" r:id="rId1"/>
  <headerFooter>
    <oddFooter>&amp;C&amp;"Times New Roman,Regular"Exhibit M:  Status of Congressionally Requested Studies, Reports, and Evaluations</oddFooter>
  </headerFooter>
  <rowBreaks count="1" manualBreakCount="1">
    <brk id="32" max="12" man="1"/>
  </rowBreaks>
</worksheet>
</file>

<file path=xl/worksheets/sheet14.xml><?xml version="1.0" encoding="utf-8"?>
<worksheet xmlns="http://schemas.openxmlformats.org/spreadsheetml/2006/main" xmlns:r="http://schemas.openxmlformats.org/officeDocument/2006/relationships">
  <dimension ref="A1:L26"/>
  <sheetViews>
    <sheetView view="pageBreakPreview" zoomScaleNormal="100" zoomScaleSheetLayoutView="100" workbookViewId="0">
      <selection activeCell="J1" sqref="J1"/>
    </sheetView>
  </sheetViews>
  <sheetFormatPr defaultColWidth="8.90625" defaultRowHeight="15.6"/>
  <cols>
    <col min="1" max="1" width="21.453125" style="1" customWidth="1"/>
    <col min="2" max="2" width="7.54296875" style="1" customWidth="1"/>
    <col min="3" max="3" width="7.1796875" style="1" customWidth="1"/>
    <col min="4" max="4" width="10.90625" style="1" customWidth="1"/>
    <col min="5" max="5" width="6.90625" style="1" customWidth="1"/>
    <col min="6" max="6" width="7.08984375" style="1" customWidth="1"/>
    <col min="7" max="7" width="9.81640625" style="1" customWidth="1"/>
    <col min="8" max="8" width="8" style="1" customWidth="1"/>
    <col min="9" max="9" width="7.81640625" style="1" customWidth="1"/>
    <col min="10" max="10" width="10.54296875" style="1" customWidth="1"/>
    <col min="11" max="11" width="0.81640625" style="1" customWidth="1"/>
    <col min="12" max="16384" width="8.90625" style="1"/>
  </cols>
  <sheetData>
    <row r="1" spans="1:12" ht="38.25" customHeight="1">
      <c r="A1" s="511" t="s">
        <v>371</v>
      </c>
      <c r="B1" s="512"/>
      <c r="C1" s="171"/>
      <c r="D1" s="171"/>
      <c r="E1" s="72"/>
      <c r="K1" s="124" t="s">
        <v>159</v>
      </c>
      <c r="L1" s="126"/>
    </row>
    <row r="2" spans="1:12">
      <c r="A2" s="820" t="s">
        <v>205</v>
      </c>
      <c r="B2" s="820"/>
      <c r="C2" s="820"/>
      <c r="D2" s="820"/>
      <c r="E2" s="820"/>
      <c r="F2" s="820"/>
      <c r="G2" s="820"/>
      <c r="H2" s="820"/>
      <c r="I2" s="820"/>
      <c r="J2" s="820"/>
      <c r="K2" s="124" t="s">
        <v>159</v>
      </c>
      <c r="L2" s="126"/>
    </row>
    <row r="3" spans="1:12">
      <c r="A3" s="820" t="s">
        <v>30</v>
      </c>
      <c r="B3" s="820"/>
      <c r="C3" s="820"/>
      <c r="D3" s="820"/>
      <c r="E3" s="820"/>
      <c r="F3" s="820"/>
      <c r="G3" s="820"/>
      <c r="H3" s="820"/>
      <c r="I3" s="820"/>
      <c r="J3" s="820"/>
      <c r="K3" s="124" t="s">
        <v>159</v>
      </c>
      <c r="L3" s="126"/>
    </row>
    <row r="4" spans="1:12">
      <c r="A4" s="820" t="s">
        <v>31</v>
      </c>
      <c r="B4" s="820"/>
      <c r="C4" s="820"/>
      <c r="D4" s="820"/>
      <c r="E4" s="820"/>
      <c r="F4" s="820"/>
      <c r="G4" s="820"/>
      <c r="H4" s="820"/>
      <c r="I4" s="820"/>
      <c r="J4" s="820"/>
      <c r="K4" s="124" t="s">
        <v>159</v>
      </c>
      <c r="L4" s="126"/>
    </row>
    <row r="5" spans="1:12" ht="6.75" customHeight="1" thickBot="1">
      <c r="A5" s="6"/>
      <c r="B5" s="6"/>
      <c r="C5" s="6"/>
      <c r="D5" s="6"/>
      <c r="E5" s="6"/>
      <c r="F5" s="6"/>
      <c r="G5" s="6"/>
      <c r="H5" s="6"/>
      <c r="I5" s="6"/>
      <c r="J5" s="6"/>
      <c r="K5" s="124" t="s">
        <v>159</v>
      </c>
      <c r="L5" s="126"/>
    </row>
    <row r="6" spans="1:12">
      <c r="A6" s="11"/>
      <c r="B6" s="930" t="s">
        <v>261</v>
      </c>
      <c r="C6" s="931"/>
      <c r="D6" s="932"/>
      <c r="E6" s="930" t="s">
        <v>308</v>
      </c>
      <c r="F6" s="931"/>
      <c r="G6" s="932"/>
      <c r="H6" s="808" t="s">
        <v>304</v>
      </c>
      <c r="I6" s="809"/>
      <c r="J6" s="810"/>
      <c r="K6" s="124" t="s">
        <v>159</v>
      </c>
      <c r="L6" s="126"/>
    </row>
    <row r="7" spans="1:12">
      <c r="A7" s="10"/>
      <c r="B7" s="933"/>
      <c r="C7" s="934"/>
      <c r="D7" s="935"/>
      <c r="E7" s="933"/>
      <c r="F7" s="934"/>
      <c r="G7" s="935"/>
      <c r="H7" s="936"/>
      <c r="I7" s="937"/>
      <c r="J7" s="938"/>
      <c r="K7" s="124" t="s">
        <v>159</v>
      </c>
      <c r="L7" s="126"/>
    </row>
    <row r="8" spans="1:12" ht="16.2" thickBot="1">
      <c r="A8" s="7" t="s">
        <v>109</v>
      </c>
      <c r="B8" s="109" t="s">
        <v>26</v>
      </c>
      <c r="C8" s="110" t="s">
        <v>262</v>
      </c>
      <c r="D8" s="86" t="s">
        <v>110</v>
      </c>
      <c r="E8" s="109" t="s">
        <v>26</v>
      </c>
      <c r="F8" s="111" t="s">
        <v>262</v>
      </c>
      <c r="G8" s="88" t="s">
        <v>110</v>
      </c>
      <c r="H8" s="109" t="s">
        <v>26</v>
      </c>
      <c r="I8" s="110" t="s">
        <v>262</v>
      </c>
      <c r="J8" s="86" t="s">
        <v>111</v>
      </c>
      <c r="K8" s="124" t="s">
        <v>159</v>
      </c>
      <c r="L8" s="126"/>
    </row>
    <row r="9" spans="1:12">
      <c r="A9" s="10"/>
      <c r="B9" s="400" t="s">
        <v>113</v>
      </c>
      <c r="C9" s="401" t="s">
        <v>113</v>
      </c>
      <c r="D9" s="402"/>
      <c r="E9" s="400"/>
      <c r="F9" s="403" t="s">
        <v>113</v>
      </c>
      <c r="G9" s="404"/>
      <c r="H9" s="400" t="s">
        <v>113</v>
      </c>
      <c r="I9" s="401"/>
      <c r="J9" s="402"/>
      <c r="K9" s="124" t="s">
        <v>159</v>
      </c>
      <c r="L9" s="126"/>
    </row>
    <row r="10" spans="1:12">
      <c r="A10" s="10" t="s">
        <v>31</v>
      </c>
      <c r="B10" s="400">
        <v>40279</v>
      </c>
      <c r="C10" s="401">
        <v>36108</v>
      </c>
      <c r="D10" s="418">
        <v>6282410</v>
      </c>
      <c r="E10" s="400">
        <v>41035</v>
      </c>
      <c r="F10" s="403">
        <v>36947</v>
      </c>
      <c r="G10" s="419">
        <v>6551281</v>
      </c>
      <c r="H10" s="400">
        <v>41904</v>
      </c>
      <c r="I10" s="401">
        <v>37703</v>
      </c>
      <c r="J10" s="418">
        <v>6820217</v>
      </c>
      <c r="K10" s="124" t="s">
        <v>159</v>
      </c>
      <c r="L10" s="126"/>
    </row>
    <row r="11" spans="1:12">
      <c r="A11" s="10" t="s">
        <v>113</v>
      </c>
      <c r="B11" s="400" t="s">
        <v>113</v>
      </c>
      <c r="C11" s="401" t="s">
        <v>113</v>
      </c>
      <c r="D11" s="402" t="s">
        <v>113</v>
      </c>
      <c r="E11" s="400"/>
      <c r="F11" s="403"/>
      <c r="G11" s="404"/>
      <c r="H11" s="400"/>
      <c r="I11" s="401"/>
      <c r="J11" s="402"/>
      <c r="K11" s="124" t="s">
        <v>159</v>
      </c>
      <c r="L11" s="126"/>
    </row>
    <row r="12" spans="1:12">
      <c r="A12" s="10"/>
      <c r="B12" s="400"/>
      <c r="C12" s="401"/>
      <c r="D12" s="405"/>
      <c r="E12" s="400"/>
      <c r="F12" s="403"/>
      <c r="G12" s="404"/>
      <c r="H12" s="400"/>
      <c r="I12" s="401"/>
      <c r="J12" s="402"/>
      <c r="K12" s="124" t="s">
        <v>159</v>
      </c>
      <c r="L12" s="126"/>
    </row>
    <row r="13" spans="1:12">
      <c r="A13" s="10" t="s">
        <v>186</v>
      </c>
      <c r="B13" s="400">
        <v>281</v>
      </c>
      <c r="C13" s="401">
        <v>263</v>
      </c>
      <c r="D13" s="402">
        <v>98957</v>
      </c>
      <c r="E13" s="400">
        <v>275</v>
      </c>
      <c r="F13" s="403">
        <v>256</v>
      </c>
      <c r="G13" s="404">
        <v>90000</v>
      </c>
      <c r="H13" s="400">
        <v>260</v>
      </c>
      <c r="I13" s="401">
        <v>241</v>
      </c>
      <c r="J13" s="402">
        <v>99189</v>
      </c>
      <c r="K13" s="124" t="s">
        <v>159</v>
      </c>
      <c r="L13" s="126"/>
    </row>
    <row r="14" spans="1:12">
      <c r="A14" s="10" t="s">
        <v>309</v>
      </c>
      <c r="B14" s="406" t="s">
        <v>113</v>
      </c>
      <c r="C14" s="407"/>
      <c r="D14" s="408" t="s">
        <v>113</v>
      </c>
      <c r="E14" s="406" t="s">
        <v>113</v>
      </c>
      <c r="F14" s="409"/>
      <c r="G14" s="410">
        <v>-45000</v>
      </c>
      <c r="H14" s="406" t="s">
        <v>113</v>
      </c>
      <c r="I14" s="407"/>
      <c r="J14" s="410">
        <v>-75000</v>
      </c>
      <c r="K14" s="124" t="s">
        <v>159</v>
      </c>
      <c r="L14" s="126"/>
    </row>
    <row r="15" spans="1:12">
      <c r="A15" s="10" t="s">
        <v>187</v>
      </c>
      <c r="B15" s="400"/>
      <c r="C15" s="401"/>
      <c r="D15" s="404">
        <f>SUM(D13:D14)</f>
        <v>98957</v>
      </c>
      <c r="E15" s="400"/>
      <c r="F15" s="403"/>
      <c r="G15" s="404">
        <f>SUM(G13:G14)</f>
        <v>45000</v>
      </c>
      <c r="H15" s="400"/>
      <c r="I15" s="401"/>
      <c r="J15" s="402">
        <f>SUM(J13:J14)</f>
        <v>24189</v>
      </c>
      <c r="K15" s="124" t="s">
        <v>159</v>
      </c>
      <c r="L15" s="126"/>
    </row>
    <row r="16" spans="1:12">
      <c r="A16" s="10"/>
      <c r="B16" s="400"/>
      <c r="C16" s="401"/>
      <c r="D16" s="402"/>
      <c r="E16" s="400"/>
      <c r="F16" s="403"/>
      <c r="G16" s="404"/>
      <c r="H16" s="400"/>
      <c r="I16" s="401"/>
      <c r="J16" s="402"/>
      <c r="K16" s="124" t="s">
        <v>159</v>
      </c>
      <c r="L16" s="126"/>
    </row>
    <row r="17" spans="1:12">
      <c r="A17" s="10" t="s">
        <v>46</v>
      </c>
      <c r="B17" s="400">
        <v>1950</v>
      </c>
      <c r="C17" s="401">
        <v>1806</v>
      </c>
      <c r="D17" s="402">
        <v>0</v>
      </c>
      <c r="E17" s="400">
        <v>1950</v>
      </c>
      <c r="F17" s="403">
        <v>1806</v>
      </c>
      <c r="G17" s="404">
        <v>0</v>
      </c>
      <c r="H17" s="400">
        <v>1950</v>
      </c>
      <c r="I17" s="401">
        <v>1806</v>
      </c>
      <c r="J17" s="402">
        <v>0</v>
      </c>
      <c r="K17" s="124" t="s">
        <v>159</v>
      </c>
      <c r="L17" s="126"/>
    </row>
    <row r="18" spans="1:12">
      <c r="A18" s="10"/>
      <c r="B18" s="400"/>
      <c r="C18" s="401"/>
      <c r="D18" s="402"/>
      <c r="E18" s="400"/>
      <c r="F18" s="403"/>
      <c r="G18" s="404"/>
      <c r="H18" s="400"/>
      <c r="I18" s="401"/>
      <c r="J18" s="402" t="s">
        <v>113</v>
      </c>
      <c r="K18" s="124" t="s">
        <v>159</v>
      </c>
      <c r="L18" s="126"/>
    </row>
    <row r="19" spans="1:12">
      <c r="A19" s="10" t="s">
        <v>116</v>
      </c>
      <c r="B19" s="400">
        <v>714</v>
      </c>
      <c r="C19" s="401">
        <v>714</v>
      </c>
      <c r="D19" s="402">
        <v>0</v>
      </c>
      <c r="E19" s="400">
        <v>727</v>
      </c>
      <c r="F19" s="403">
        <v>724</v>
      </c>
      <c r="G19" s="404">
        <v>0</v>
      </c>
      <c r="H19" s="400">
        <v>791</v>
      </c>
      <c r="I19" s="401">
        <v>786</v>
      </c>
      <c r="J19" s="402">
        <v>0</v>
      </c>
      <c r="K19" s="124" t="s">
        <v>159</v>
      </c>
      <c r="L19" s="126"/>
    </row>
    <row r="20" spans="1:12" ht="16.2" thickBot="1">
      <c r="A20" s="7"/>
      <c r="B20" s="411"/>
      <c r="C20" s="412"/>
      <c r="D20" s="413"/>
      <c r="E20" s="411"/>
      <c r="F20" s="414"/>
      <c r="G20" s="415"/>
      <c r="H20" s="411"/>
      <c r="I20" s="412"/>
      <c r="J20" s="413"/>
      <c r="K20" s="124" t="s">
        <v>159</v>
      </c>
      <c r="L20" s="126"/>
    </row>
    <row r="21" spans="1:12" ht="16.2" thickBot="1">
      <c r="A21" s="7" t="s">
        <v>117</v>
      </c>
      <c r="B21" s="411">
        <f>+B10+B13+B17+B19</f>
        <v>43224</v>
      </c>
      <c r="C21" s="412">
        <f>+C10+C13+C17+C19</f>
        <v>38891</v>
      </c>
      <c r="D21" s="413">
        <f>+D10+D15</f>
        <v>6381367</v>
      </c>
      <c r="E21" s="411">
        <f>+E10+E13+E17+E19</f>
        <v>43987</v>
      </c>
      <c r="F21" s="414">
        <f>+F10+F13+F17+F19</f>
        <v>39733</v>
      </c>
      <c r="G21" s="416">
        <f>+G10+G15</f>
        <v>6596281</v>
      </c>
      <c r="H21" s="417">
        <f>+H10+H13+H17+H19</f>
        <v>44905</v>
      </c>
      <c r="I21" s="413">
        <f>+I10+I13+I17+I19</f>
        <v>40536</v>
      </c>
      <c r="J21" s="413">
        <f>+J10+J15+J17+J19</f>
        <v>6844406</v>
      </c>
      <c r="K21" s="124" t="s">
        <v>159</v>
      </c>
      <c r="L21" s="126"/>
    </row>
    <row r="22" spans="1:12" ht="6.75" customHeight="1">
      <c r="A22" s="268"/>
      <c r="B22" s="404"/>
      <c r="C22" s="404"/>
      <c r="D22" s="404"/>
      <c r="E22" s="404"/>
      <c r="F22" s="404"/>
      <c r="G22" s="404"/>
      <c r="H22" s="404"/>
      <c r="I22" s="404"/>
      <c r="J22" s="404"/>
      <c r="K22" s="124"/>
      <c r="L22" s="126"/>
    </row>
    <row r="23" spans="1:12">
      <c r="A23" s="1" t="s">
        <v>303</v>
      </c>
      <c r="H23" s="1" t="s">
        <v>113</v>
      </c>
      <c r="I23" s="1" t="s">
        <v>113</v>
      </c>
      <c r="J23" s="1" t="s">
        <v>113</v>
      </c>
      <c r="K23" s="124" t="s">
        <v>159</v>
      </c>
      <c r="L23" s="126"/>
    </row>
    <row r="24" spans="1:12" ht="43.5" customHeight="1">
      <c r="A24" s="929" t="s">
        <v>311</v>
      </c>
      <c r="B24" s="929"/>
      <c r="C24" s="929"/>
      <c r="D24" s="929"/>
      <c r="E24" s="929"/>
      <c r="F24" s="929"/>
      <c r="G24" s="929"/>
      <c r="H24" s="929"/>
      <c r="I24" s="929"/>
      <c r="J24" s="929"/>
      <c r="K24" s="124" t="s">
        <v>161</v>
      </c>
      <c r="L24" s="126"/>
    </row>
    <row r="25" spans="1:12">
      <c r="A25" s="1" t="s">
        <v>113</v>
      </c>
    </row>
    <row r="26" spans="1:12">
      <c r="A26" s="1" t="s">
        <v>113</v>
      </c>
    </row>
  </sheetData>
  <mergeCells count="7">
    <mergeCell ref="A24:J24"/>
    <mergeCell ref="A2:J2"/>
    <mergeCell ref="A3:J3"/>
    <mergeCell ref="A4:J4"/>
    <mergeCell ref="B6:D7"/>
    <mergeCell ref="E6:G7"/>
    <mergeCell ref="H6:J7"/>
  </mergeCells>
  <phoneticPr fontId="0" type="noConversion"/>
  <printOptions horizontalCentered="1"/>
  <pageMargins left="0.73" right="0.52" top="1" bottom="1" header="0.5" footer="0.5"/>
  <pageSetup orientation="landscape" r:id="rId1"/>
  <headerFooter scaleWithDoc="0" alignWithMargins="0">
    <oddFooter>&amp;C&amp;"Times New Roman,Regular"Exhibit N:  Summary by Appropriation</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G55"/>
  <sheetViews>
    <sheetView view="pageBreakPreview" zoomScale="70" zoomScaleNormal="100" zoomScaleSheetLayoutView="70" workbookViewId="0">
      <selection activeCell="J1" sqref="J1"/>
    </sheetView>
  </sheetViews>
  <sheetFormatPr defaultColWidth="8.90625" defaultRowHeight="15.6"/>
  <cols>
    <col min="1" max="1" width="1.08984375" style="1" customWidth="1"/>
    <col min="2" max="2" width="8.90625" style="1"/>
    <col min="3" max="3" width="53.36328125" style="1" customWidth="1"/>
    <col min="4" max="4" width="7" style="1" customWidth="1"/>
    <col min="5" max="5" width="7.453125" style="1" customWidth="1"/>
    <col min="6" max="6" width="11.08984375" style="1" customWidth="1"/>
    <col min="7" max="7" width="0.7265625" style="1" customWidth="1"/>
    <col min="8" max="16384" width="8.90625" style="1"/>
  </cols>
  <sheetData>
    <row r="1" spans="1:7" ht="18">
      <c r="A1" s="512"/>
      <c r="B1" s="509" t="s">
        <v>372</v>
      </c>
      <c r="C1" s="512"/>
      <c r="D1" s="512"/>
      <c r="F1" s="72"/>
      <c r="G1" s="124" t="s">
        <v>159</v>
      </c>
    </row>
    <row r="2" spans="1:7">
      <c r="B2" s="820" t="s">
        <v>175</v>
      </c>
      <c r="C2" s="820"/>
      <c r="D2" s="820"/>
      <c r="E2" s="820"/>
      <c r="F2" s="820"/>
      <c r="G2" s="124" t="s">
        <v>159</v>
      </c>
    </row>
    <row r="3" spans="1:7">
      <c r="B3" s="820" t="s">
        <v>305</v>
      </c>
      <c r="C3" s="820"/>
      <c r="D3" s="820"/>
      <c r="E3" s="820"/>
      <c r="F3" s="820"/>
      <c r="G3" s="124" t="s">
        <v>159</v>
      </c>
    </row>
    <row r="4" spans="1:7">
      <c r="B4" s="939" t="s">
        <v>31</v>
      </c>
      <c r="C4" s="939"/>
      <c r="D4" s="939"/>
      <c r="E4" s="939"/>
      <c r="F4" s="939"/>
      <c r="G4" s="124" t="s">
        <v>159</v>
      </c>
    </row>
    <row r="5" spans="1:7" ht="16.2" thickBot="1">
      <c r="B5" s="939" t="s">
        <v>101</v>
      </c>
      <c r="C5" s="939"/>
      <c r="D5" s="939"/>
      <c r="E5" s="939"/>
      <c r="F5" s="939"/>
      <c r="G5" s="124" t="s">
        <v>159</v>
      </c>
    </row>
    <row r="6" spans="1:7">
      <c r="A6" s="21"/>
      <c r="B6" s="89"/>
      <c r="C6" s="12"/>
      <c r="D6" s="235"/>
      <c r="E6" s="11"/>
      <c r="F6" s="12" t="s">
        <v>113</v>
      </c>
      <c r="G6" s="124" t="s">
        <v>159</v>
      </c>
    </row>
    <row r="7" spans="1:7" ht="16.2" thickBot="1">
      <c r="A7" s="21"/>
      <c r="C7" s="9"/>
      <c r="D7" s="229" t="s">
        <v>12</v>
      </c>
      <c r="E7" s="145" t="s">
        <v>107</v>
      </c>
      <c r="F7" s="230" t="s">
        <v>21</v>
      </c>
      <c r="G7" s="124" t="s">
        <v>159</v>
      </c>
    </row>
    <row r="8" spans="1:7" ht="16.2" thickBot="1">
      <c r="B8" s="236" t="s">
        <v>307</v>
      </c>
      <c r="C8" s="180"/>
      <c r="D8" s="238">
        <v>41035</v>
      </c>
      <c r="E8" s="240">
        <v>36947</v>
      </c>
      <c r="F8" s="239">
        <v>6551281</v>
      </c>
      <c r="G8" s="271" t="s">
        <v>159</v>
      </c>
    </row>
    <row r="9" spans="1:7">
      <c r="B9" s="265" t="s">
        <v>232</v>
      </c>
      <c r="C9" s="12"/>
      <c r="D9" s="231"/>
      <c r="E9" s="10"/>
      <c r="F9" s="21"/>
      <c r="G9" s="124" t="s">
        <v>159</v>
      </c>
    </row>
    <row r="10" spans="1:7">
      <c r="B10" s="265" t="s">
        <v>229</v>
      </c>
      <c r="C10" s="21"/>
      <c r="D10" s="268"/>
      <c r="E10" s="10"/>
      <c r="F10" s="21"/>
      <c r="G10" s="124" t="s">
        <v>159</v>
      </c>
    </row>
    <row r="11" spans="1:7">
      <c r="B11" s="90" t="s">
        <v>326</v>
      </c>
      <c r="C11" s="21"/>
      <c r="D11" s="268">
        <v>0</v>
      </c>
      <c r="E11" s="10">
        <v>0</v>
      </c>
      <c r="F11" s="192">
        <v>-1102</v>
      </c>
      <c r="G11" s="124"/>
    </row>
    <row r="12" spans="1:7">
      <c r="B12" s="90" t="s">
        <v>327</v>
      </c>
      <c r="C12" s="21"/>
      <c r="D12" s="268">
        <v>0</v>
      </c>
      <c r="E12" s="10">
        <v>0</v>
      </c>
      <c r="F12" s="21">
        <v>-71</v>
      </c>
      <c r="G12" s="124"/>
    </row>
    <row r="13" spans="1:7">
      <c r="B13" s="90" t="s">
        <v>233</v>
      </c>
      <c r="C13" s="21"/>
      <c r="D13" s="231">
        <v>0</v>
      </c>
      <c r="E13" s="10">
        <v>0</v>
      </c>
      <c r="F13" s="269">
        <v>18</v>
      </c>
      <c r="G13" s="124" t="s">
        <v>159</v>
      </c>
    </row>
    <row r="14" spans="1:7">
      <c r="B14" s="90" t="s">
        <v>243</v>
      </c>
      <c r="C14" s="21"/>
      <c r="D14" s="538">
        <v>0</v>
      </c>
      <c r="E14" s="539">
        <v>0</v>
      </c>
      <c r="F14" s="168">
        <v>1615</v>
      </c>
      <c r="G14" s="124" t="s">
        <v>159</v>
      </c>
    </row>
    <row r="15" spans="1:7">
      <c r="B15" s="90" t="s">
        <v>310</v>
      </c>
      <c r="C15" s="21"/>
      <c r="D15" s="268">
        <f>SUM(D11:D14)</f>
        <v>0</v>
      </c>
      <c r="E15" s="10">
        <f>SUM(E11:E14)</f>
        <v>0</v>
      </c>
      <c r="F15" s="18">
        <f>SUM(F11:F14)</f>
        <v>460</v>
      </c>
      <c r="G15" s="124"/>
    </row>
    <row r="16" spans="1:7">
      <c r="B16" s="265" t="s">
        <v>230</v>
      </c>
      <c r="C16" s="21"/>
      <c r="D16" s="268"/>
      <c r="E16" s="10"/>
      <c r="F16" s="179"/>
      <c r="G16" s="124" t="s">
        <v>159</v>
      </c>
    </row>
    <row r="17" spans="1:7">
      <c r="B17" s="90" t="s">
        <v>312</v>
      </c>
      <c r="C17" s="21"/>
      <c r="D17" s="268">
        <v>0</v>
      </c>
      <c r="E17" s="10">
        <v>0</v>
      </c>
      <c r="F17" s="192">
        <v>12742</v>
      </c>
      <c r="G17" s="124"/>
    </row>
    <row r="18" spans="1:7">
      <c r="B18" s="90" t="s">
        <v>239</v>
      </c>
      <c r="C18" s="21"/>
      <c r="D18" s="231">
        <v>0</v>
      </c>
      <c r="E18" s="10">
        <v>0</v>
      </c>
      <c r="F18" s="18">
        <v>13502</v>
      </c>
      <c r="G18" s="124" t="s">
        <v>159</v>
      </c>
    </row>
    <row r="19" spans="1:7">
      <c r="B19" s="90" t="s">
        <v>238</v>
      </c>
      <c r="C19" s="21"/>
      <c r="D19" s="268">
        <v>0</v>
      </c>
      <c r="E19" s="10">
        <v>0</v>
      </c>
      <c r="F19" s="18">
        <v>6191</v>
      </c>
      <c r="G19" s="124" t="s">
        <v>159</v>
      </c>
    </row>
    <row r="20" spans="1:7">
      <c r="B20" s="90" t="s">
        <v>240</v>
      </c>
      <c r="C20" s="21"/>
      <c r="D20" s="231">
        <v>0</v>
      </c>
      <c r="E20" s="10">
        <v>0</v>
      </c>
      <c r="F20" s="192">
        <v>14105</v>
      </c>
      <c r="G20" s="124" t="s">
        <v>159</v>
      </c>
    </row>
    <row r="21" spans="1:7">
      <c r="B21" s="90" t="s">
        <v>242</v>
      </c>
      <c r="C21" s="21"/>
      <c r="D21" s="268">
        <v>0</v>
      </c>
      <c r="E21" s="10">
        <v>0</v>
      </c>
      <c r="F21" s="192">
        <v>28735</v>
      </c>
      <c r="G21" s="124" t="s">
        <v>159</v>
      </c>
    </row>
    <row r="22" spans="1:7">
      <c r="A22" s="213" t="s">
        <v>113</v>
      </c>
      <c r="B22" s="90" t="s">
        <v>241</v>
      </c>
      <c r="C22" s="21"/>
      <c r="D22" s="231">
        <v>0</v>
      </c>
      <c r="E22" s="10">
        <v>0</v>
      </c>
      <c r="F22" s="18">
        <v>11183</v>
      </c>
      <c r="G22" s="124" t="s">
        <v>159</v>
      </c>
    </row>
    <row r="23" spans="1:7">
      <c r="B23" s="265" t="s">
        <v>231</v>
      </c>
      <c r="C23" s="21"/>
      <c r="D23" s="268"/>
      <c r="E23" s="10"/>
      <c r="F23" s="18"/>
      <c r="G23" s="124" t="s">
        <v>159</v>
      </c>
    </row>
    <row r="24" spans="1:7">
      <c r="B24" s="90" t="s">
        <v>446</v>
      </c>
      <c r="C24" s="21"/>
      <c r="D24" s="231">
        <v>0</v>
      </c>
      <c r="E24" s="10">
        <v>0</v>
      </c>
      <c r="F24" s="18">
        <v>38665</v>
      </c>
      <c r="G24" s="124" t="s">
        <v>159</v>
      </c>
    </row>
    <row r="25" spans="1:7">
      <c r="B25" s="90" t="s">
        <v>449</v>
      </c>
      <c r="C25" s="21"/>
      <c r="D25" s="231">
        <v>0</v>
      </c>
      <c r="E25" s="10">
        <v>0</v>
      </c>
      <c r="F25" s="18">
        <v>20670</v>
      </c>
      <c r="G25" s="124" t="s">
        <v>159</v>
      </c>
    </row>
    <row r="26" spans="1:7">
      <c r="B26" s="90" t="s">
        <v>447</v>
      </c>
      <c r="C26" s="21"/>
      <c r="D26" s="231">
        <v>0</v>
      </c>
      <c r="E26" s="10">
        <v>0</v>
      </c>
      <c r="F26" s="18">
        <v>14891</v>
      </c>
      <c r="G26" s="124" t="s">
        <v>159</v>
      </c>
    </row>
    <row r="27" spans="1:7">
      <c r="B27" s="90" t="s">
        <v>448</v>
      </c>
      <c r="C27" s="21"/>
      <c r="D27" s="231">
        <v>0</v>
      </c>
      <c r="E27" s="10">
        <v>0</v>
      </c>
      <c r="F27" s="18">
        <v>15509</v>
      </c>
      <c r="G27" s="124" t="s">
        <v>159</v>
      </c>
    </row>
    <row r="28" spans="1:7">
      <c r="B28" s="90" t="s">
        <v>316</v>
      </c>
      <c r="C28" s="21"/>
      <c r="D28" s="268">
        <v>0</v>
      </c>
      <c r="E28" s="10">
        <v>189</v>
      </c>
      <c r="F28" s="18">
        <v>31216</v>
      </c>
      <c r="G28" s="124" t="s">
        <v>159</v>
      </c>
    </row>
    <row r="29" spans="1:7">
      <c r="B29" s="90" t="s">
        <v>317</v>
      </c>
      <c r="C29" s="21"/>
      <c r="D29" s="268">
        <v>0</v>
      </c>
      <c r="E29" s="10">
        <v>94</v>
      </c>
      <c r="F29" s="18">
        <v>12775</v>
      </c>
      <c r="G29" s="124" t="s">
        <v>159</v>
      </c>
    </row>
    <row r="30" spans="1:7">
      <c r="B30" s="90" t="s">
        <v>323</v>
      </c>
      <c r="C30" s="21"/>
      <c r="D30" s="268">
        <v>0</v>
      </c>
      <c r="E30" s="10">
        <v>210</v>
      </c>
      <c r="F30" s="18">
        <v>22002</v>
      </c>
      <c r="G30" s="124" t="s">
        <v>159</v>
      </c>
    </row>
    <row r="31" spans="1:7">
      <c r="B31" s="90" t="s">
        <v>324</v>
      </c>
      <c r="C31" s="21"/>
      <c r="D31" s="268">
        <v>120</v>
      </c>
      <c r="E31" s="10">
        <v>120</v>
      </c>
      <c r="F31" s="18">
        <v>13000</v>
      </c>
      <c r="G31" s="124" t="s">
        <v>159</v>
      </c>
    </row>
    <row r="32" spans="1:7">
      <c r="B32" s="90" t="s">
        <v>325</v>
      </c>
      <c r="C32" s="21"/>
      <c r="D32" s="268">
        <v>0</v>
      </c>
      <c r="E32" s="10">
        <v>0</v>
      </c>
      <c r="F32" s="18">
        <v>-7135</v>
      </c>
      <c r="G32" s="124" t="s">
        <v>159</v>
      </c>
    </row>
    <row r="33" spans="2:7">
      <c r="B33" s="265" t="s">
        <v>251</v>
      </c>
      <c r="C33" s="21"/>
      <c r="D33" s="268"/>
      <c r="E33" s="10"/>
      <c r="F33" s="18"/>
      <c r="G33" s="124" t="s">
        <v>159</v>
      </c>
    </row>
    <row r="34" spans="2:7">
      <c r="B34" s="90" t="s">
        <v>318</v>
      </c>
      <c r="C34" s="21"/>
      <c r="D34" s="231">
        <v>0</v>
      </c>
      <c r="E34" s="10">
        <v>0</v>
      </c>
      <c r="F34" s="192">
        <v>2492</v>
      </c>
      <c r="G34" s="124" t="s">
        <v>159</v>
      </c>
    </row>
    <row r="35" spans="2:7">
      <c r="B35" s="90" t="s">
        <v>319</v>
      </c>
      <c r="C35" s="21"/>
      <c r="D35" s="268">
        <v>0</v>
      </c>
      <c r="E35" s="10">
        <v>0</v>
      </c>
      <c r="F35" s="192">
        <v>350</v>
      </c>
      <c r="G35" s="124" t="s">
        <v>159</v>
      </c>
    </row>
    <row r="36" spans="2:7">
      <c r="B36" s="90" t="s">
        <v>320</v>
      </c>
      <c r="C36" s="21"/>
      <c r="D36" s="268">
        <v>0</v>
      </c>
      <c r="E36" s="10">
        <v>0</v>
      </c>
      <c r="F36" s="192">
        <v>-5801</v>
      </c>
      <c r="G36" s="124" t="s">
        <v>159</v>
      </c>
    </row>
    <row r="37" spans="2:7" ht="16.2" thickBot="1">
      <c r="B37" s="90"/>
      <c r="C37" s="21"/>
      <c r="D37" s="268"/>
      <c r="E37" s="10"/>
      <c r="F37" s="179"/>
      <c r="G37" s="124"/>
    </row>
    <row r="38" spans="2:7" ht="16.2" thickBot="1">
      <c r="B38" s="236" t="s">
        <v>321</v>
      </c>
      <c r="C38" s="180"/>
      <c r="D38" s="237">
        <f>SUM(D15:D36)</f>
        <v>120</v>
      </c>
      <c r="E38" s="242">
        <f>SUM(E15:E36)</f>
        <v>613</v>
      </c>
      <c r="F38" s="37">
        <f>SUM(F15:F36)</f>
        <v>245552</v>
      </c>
      <c r="G38" s="124" t="s">
        <v>159</v>
      </c>
    </row>
    <row r="39" spans="2:7" ht="16.2" thickBot="1">
      <c r="B39" s="266" t="s">
        <v>322</v>
      </c>
      <c r="C39" s="180"/>
      <c r="D39" s="267">
        <f>+D38+D8</f>
        <v>41155</v>
      </c>
      <c r="E39" s="267">
        <f>+E38+E8</f>
        <v>37560</v>
      </c>
      <c r="F39" s="267">
        <f>+F38+F8</f>
        <v>6796833</v>
      </c>
      <c r="G39" s="124" t="s">
        <v>159</v>
      </c>
    </row>
    <row r="40" spans="2:7">
      <c r="B40" s="90" t="s">
        <v>140</v>
      </c>
      <c r="C40" s="21"/>
      <c r="D40" s="231"/>
      <c r="E40" s="10"/>
      <c r="F40" s="21"/>
      <c r="G40" s="124" t="s">
        <v>159</v>
      </c>
    </row>
    <row r="41" spans="2:7">
      <c r="B41" s="90" t="s">
        <v>141</v>
      </c>
      <c r="C41" s="21"/>
      <c r="D41" s="231"/>
      <c r="E41" s="10"/>
      <c r="F41" s="21"/>
      <c r="G41" s="124" t="s">
        <v>159</v>
      </c>
    </row>
    <row r="42" spans="2:7">
      <c r="B42" s="90" t="s">
        <v>433</v>
      </c>
      <c r="C42" s="21"/>
      <c r="D42" s="231">
        <v>416</v>
      </c>
      <c r="E42" s="10">
        <v>104</v>
      </c>
      <c r="F42" s="18">
        <v>28421</v>
      </c>
      <c r="G42" s="124" t="s">
        <v>159</v>
      </c>
    </row>
    <row r="43" spans="2:7">
      <c r="B43" s="90" t="s">
        <v>434</v>
      </c>
      <c r="C43" s="21"/>
      <c r="D43" s="722">
        <v>389</v>
      </c>
      <c r="E43" s="10">
        <v>97</v>
      </c>
      <c r="F43" s="18">
        <v>27084</v>
      </c>
      <c r="G43" s="124" t="s">
        <v>159</v>
      </c>
    </row>
    <row r="44" spans="2:7" ht="16.2" thickBot="1">
      <c r="B44" s="90" t="s">
        <v>263</v>
      </c>
      <c r="C44" s="21"/>
      <c r="D44" s="231">
        <v>4</v>
      </c>
      <c r="E44" s="7">
        <v>2</v>
      </c>
      <c r="F44" s="241">
        <v>25865</v>
      </c>
      <c r="G44" s="124" t="s">
        <v>159</v>
      </c>
    </row>
    <row r="45" spans="2:7">
      <c r="B45" s="90" t="s">
        <v>225</v>
      </c>
      <c r="C45" s="21"/>
      <c r="D45" s="11">
        <f>SUM(D42:D44)</f>
        <v>809</v>
      </c>
      <c r="E45" s="10">
        <f>SUM(E42:E44)</f>
        <v>203</v>
      </c>
      <c r="F45" s="18">
        <f>SUM(F42:F44)</f>
        <v>81370</v>
      </c>
      <c r="G45" s="124" t="s">
        <v>159</v>
      </c>
    </row>
    <row r="46" spans="2:7">
      <c r="B46" s="90"/>
      <c r="C46" s="21"/>
      <c r="D46" s="264"/>
      <c r="E46" s="10"/>
      <c r="F46" s="18"/>
      <c r="G46" s="124" t="s">
        <v>159</v>
      </c>
    </row>
    <row r="47" spans="2:7">
      <c r="B47" s="90" t="s">
        <v>313</v>
      </c>
      <c r="C47" s="21"/>
      <c r="D47" s="245"/>
      <c r="E47" s="10"/>
      <c r="F47" s="18"/>
      <c r="G47" s="124" t="s">
        <v>159</v>
      </c>
    </row>
    <row r="48" spans="2:7">
      <c r="B48" s="90" t="s">
        <v>432</v>
      </c>
      <c r="C48" s="21"/>
      <c r="D48" s="268">
        <v>0</v>
      </c>
      <c r="E48" s="10">
        <v>0</v>
      </c>
      <c r="F48" s="18">
        <v>-41000</v>
      </c>
      <c r="G48" s="124" t="s">
        <v>159</v>
      </c>
    </row>
    <row r="49" spans="2:7">
      <c r="B49" s="90" t="s">
        <v>314</v>
      </c>
      <c r="C49" s="21"/>
      <c r="D49" s="722">
        <v>0</v>
      </c>
      <c r="E49" s="10">
        <v>0</v>
      </c>
      <c r="F49" s="18">
        <v>-3154</v>
      </c>
      <c r="G49" s="124" t="s">
        <v>159</v>
      </c>
    </row>
    <row r="50" spans="2:7">
      <c r="B50" s="90" t="s">
        <v>315</v>
      </c>
      <c r="C50" s="21"/>
      <c r="D50" s="268">
        <v>0</v>
      </c>
      <c r="E50" s="10">
        <v>0</v>
      </c>
      <c r="F50" s="18">
        <v>-2831</v>
      </c>
      <c r="G50" s="124" t="s">
        <v>159</v>
      </c>
    </row>
    <row r="51" spans="2:7" ht="16.2" thickBot="1">
      <c r="B51" s="90" t="s">
        <v>435</v>
      </c>
      <c r="C51" s="21"/>
      <c r="D51" s="264">
        <v>-60</v>
      </c>
      <c r="E51" s="7">
        <v>-60</v>
      </c>
      <c r="F51" s="241">
        <v>-11001</v>
      </c>
      <c r="G51" s="124" t="s">
        <v>159</v>
      </c>
    </row>
    <row r="52" spans="2:7" ht="16.2" thickBot="1">
      <c r="B52" s="116" t="s">
        <v>224</v>
      </c>
      <c r="C52" s="9"/>
      <c r="D52" s="242">
        <f>SUM(D48:D51)</f>
        <v>-60</v>
      </c>
      <c r="E52" s="7">
        <f>SUM(E48:E51)</f>
        <v>-60</v>
      </c>
      <c r="F52" s="148">
        <f>SUM(F48:F51)</f>
        <v>-57986</v>
      </c>
      <c r="G52" s="124" t="s">
        <v>159</v>
      </c>
    </row>
    <row r="53" spans="2:7" ht="16.2" thickBot="1">
      <c r="B53" s="116" t="s">
        <v>226</v>
      </c>
      <c r="C53" s="9"/>
      <c r="D53" s="8">
        <f>+D45+D52</f>
        <v>749</v>
      </c>
      <c r="E53" s="241">
        <f>+E45+E52</f>
        <v>143</v>
      </c>
      <c r="F53" s="19">
        <f>+F45+F52</f>
        <v>23384</v>
      </c>
      <c r="G53" s="124" t="s">
        <v>159</v>
      </c>
    </row>
    <row r="54" spans="2:7" ht="16.2" thickBot="1">
      <c r="B54" s="116" t="s">
        <v>306</v>
      </c>
      <c r="C54" s="9"/>
      <c r="D54" s="115">
        <f>+D39+D53</f>
        <v>41904</v>
      </c>
      <c r="E54" s="241">
        <f>+E39+E53</f>
        <v>37703</v>
      </c>
      <c r="F54" s="19">
        <f>+F39+F53</f>
        <v>6820217</v>
      </c>
      <c r="G54" s="124" t="s">
        <v>159</v>
      </c>
    </row>
    <row r="55" spans="2:7">
      <c r="B55" s="1" t="s">
        <v>106</v>
      </c>
      <c r="G55" s="124" t="s">
        <v>161</v>
      </c>
    </row>
  </sheetData>
  <mergeCells count="4">
    <mergeCell ref="B2:F2"/>
    <mergeCell ref="B3:F3"/>
    <mergeCell ref="B4:F4"/>
    <mergeCell ref="B5:F5"/>
  </mergeCells>
  <phoneticPr fontId="0" type="noConversion"/>
  <printOptions horizontalCentered="1"/>
  <pageMargins left="0.25" right="0.25" top="1" bottom="0.4" header="0.5" footer="0.18"/>
  <pageSetup scale="80" orientation="portrait" r:id="rId1"/>
  <headerFooter scaleWithDoc="0" alignWithMargins="0">
    <oddFooter>&amp;C&amp;"Times New Roman,Regular"&amp;10Exhibit O: Summary of Change</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H33"/>
  <sheetViews>
    <sheetView view="pageBreakPreview" zoomScale="85" zoomScaleNormal="100" zoomScaleSheetLayoutView="85" workbookViewId="0">
      <selection activeCell="J1" sqref="J1"/>
    </sheetView>
  </sheetViews>
  <sheetFormatPr defaultColWidth="8.90625" defaultRowHeight="13.8"/>
  <cols>
    <col min="1" max="1" width="2" style="524" customWidth="1"/>
    <col min="2" max="2" width="2.81640625" style="524" customWidth="1"/>
    <col min="3" max="3" width="42.08984375" style="524" customWidth="1"/>
    <col min="4" max="4" width="29.6328125" style="524" customWidth="1"/>
    <col min="5" max="7" width="12.08984375" style="524" customWidth="1"/>
    <col min="8" max="8" width="1.1796875" style="524" customWidth="1"/>
    <col min="9" max="16384" width="8.90625" style="524"/>
  </cols>
  <sheetData>
    <row r="1" spans="1:8" s="522" customFormat="1" ht="15.6">
      <c r="A1" s="521" t="s">
        <v>417</v>
      </c>
      <c r="H1" s="743" t="s">
        <v>159</v>
      </c>
    </row>
    <row r="2" spans="1:8" s="522" customFormat="1" ht="4.5" customHeight="1">
      <c r="H2" s="743" t="s">
        <v>159</v>
      </c>
    </row>
    <row r="3" spans="1:8" s="522" customFormat="1" ht="15.6">
      <c r="B3" s="523" t="s">
        <v>266</v>
      </c>
      <c r="C3" s="521"/>
      <c r="H3" s="743" t="s">
        <v>159</v>
      </c>
    </row>
    <row r="4" spans="1:8" s="522" customFormat="1" ht="15.6">
      <c r="H4" s="743" t="s">
        <v>159</v>
      </c>
    </row>
    <row r="5" spans="1:8" s="522" customFormat="1" ht="15.6">
      <c r="B5" s="523" t="s">
        <v>267</v>
      </c>
      <c r="C5" s="521"/>
      <c r="H5" s="743" t="s">
        <v>159</v>
      </c>
    </row>
    <row r="6" spans="1:8" ht="15.6">
      <c r="B6" s="944"/>
      <c r="C6" s="944"/>
      <c r="D6" s="944"/>
      <c r="E6" s="945" t="s">
        <v>268</v>
      </c>
      <c r="F6" s="945" t="s">
        <v>269</v>
      </c>
      <c r="G6" s="945" t="s">
        <v>270</v>
      </c>
      <c r="H6" s="743" t="s">
        <v>159</v>
      </c>
    </row>
    <row r="7" spans="1:8" ht="15.6">
      <c r="B7" s="944"/>
      <c r="C7" s="944"/>
      <c r="D7" s="944"/>
      <c r="E7" s="945"/>
      <c r="F7" s="945"/>
      <c r="G7" s="945"/>
      <c r="H7" s="743" t="s">
        <v>159</v>
      </c>
    </row>
    <row r="8" spans="1:8" ht="15.6">
      <c r="B8" s="533" t="s">
        <v>271</v>
      </c>
      <c r="C8" s="946" t="s">
        <v>272</v>
      </c>
      <c r="D8" s="947"/>
      <c r="E8" s="534">
        <v>206</v>
      </c>
      <c r="F8" s="534">
        <v>210</v>
      </c>
      <c r="G8" s="534">
        <v>218</v>
      </c>
      <c r="H8" s="743" t="s">
        <v>159</v>
      </c>
    </row>
    <row r="9" spans="1:8" ht="15.6">
      <c r="B9" s="533" t="s">
        <v>273</v>
      </c>
      <c r="C9" s="946" t="s">
        <v>274</v>
      </c>
      <c r="D9" s="947"/>
      <c r="E9" s="534">
        <v>57</v>
      </c>
      <c r="F9" s="534">
        <v>60</v>
      </c>
      <c r="G9" s="534">
        <v>65</v>
      </c>
      <c r="H9" s="743" t="s">
        <v>159</v>
      </c>
    </row>
    <row r="10" spans="1:8" ht="15.6">
      <c r="B10" s="533" t="s">
        <v>275</v>
      </c>
      <c r="C10" s="946" t="s">
        <v>276</v>
      </c>
      <c r="D10" s="947"/>
      <c r="E10" s="534">
        <v>149</v>
      </c>
      <c r="F10" s="534">
        <v>150</v>
      </c>
      <c r="G10" s="534">
        <v>153</v>
      </c>
      <c r="H10" s="743" t="s">
        <v>159</v>
      </c>
    </row>
    <row r="11" spans="1:8" ht="15.6">
      <c r="B11" s="533" t="s">
        <v>277</v>
      </c>
      <c r="C11" s="946" t="s">
        <v>278</v>
      </c>
      <c r="D11" s="947"/>
      <c r="E11" s="535">
        <v>151100</v>
      </c>
      <c r="F11" s="535">
        <v>152200</v>
      </c>
      <c r="G11" s="535">
        <v>153000</v>
      </c>
      <c r="H11" s="743" t="s">
        <v>159</v>
      </c>
    </row>
    <row r="12" spans="1:8" ht="15.6">
      <c r="B12" s="533" t="s">
        <v>279</v>
      </c>
      <c r="C12" s="946" t="s">
        <v>280</v>
      </c>
      <c r="D12" s="947"/>
      <c r="E12" s="535">
        <v>20982</v>
      </c>
      <c r="F12" s="535">
        <v>21000</v>
      </c>
      <c r="G12" s="535">
        <v>21500</v>
      </c>
      <c r="H12" s="743" t="s">
        <v>159</v>
      </c>
    </row>
    <row r="13" spans="1:8" ht="15.6">
      <c r="B13" s="948" t="s">
        <v>281</v>
      </c>
      <c r="C13" s="942" t="s">
        <v>282</v>
      </c>
      <c r="D13" s="536" t="s">
        <v>283</v>
      </c>
      <c r="E13" s="534">
        <v>206</v>
      </c>
      <c r="F13" s="534">
        <v>210</v>
      </c>
      <c r="G13" s="534">
        <v>218</v>
      </c>
      <c r="H13" s="743" t="s">
        <v>159</v>
      </c>
    </row>
    <row r="14" spans="1:8" ht="15.6">
      <c r="B14" s="948"/>
      <c r="C14" s="942"/>
      <c r="D14" s="536" t="s">
        <v>284</v>
      </c>
      <c r="E14" s="534">
        <v>0</v>
      </c>
      <c r="F14" s="534">
        <v>0</v>
      </c>
      <c r="G14" s="534">
        <v>0</v>
      </c>
      <c r="H14" s="743" t="s">
        <v>159</v>
      </c>
    </row>
    <row r="15" spans="1:8" ht="15.6">
      <c r="B15" s="948"/>
      <c r="C15" s="942"/>
      <c r="D15" s="536" t="s">
        <v>285</v>
      </c>
      <c r="E15" s="534">
        <v>0</v>
      </c>
      <c r="F15" s="534">
        <v>0</v>
      </c>
      <c r="G15" s="534">
        <v>0</v>
      </c>
      <c r="H15" s="743" t="s">
        <v>159</v>
      </c>
    </row>
    <row r="16" spans="1:8" ht="15.6">
      <c r="B16" s="948"/>
      <c r="C16" s="942"/>
      <c r="D16" s="536" t="s">
        <v>286</v>
      </c>
      <c r="E16" s="534">
        <v>0</v>
      </c>
      <c r="F16" s="534">
        <v>0</v>
      </c>
      <c r="G16" s="534">
        <v>0</v>
      </c>
      <c r="H16" s="743" t="s">
        <v>159</v>
      </c>
    </row>
    <row r="17" spans="2:8" ht="15.6">
      <c r="B17" s="948"/>
      <c r="C17" s="942"/>
      <c r="D17" s="537" t="s">
        <v>287</v>
      </c>
      <c r="E17" s="534">
        <v>0</v>
      </c>
      <c r="F17" s="534">
        <v>0</v>
      </c>
      <c r="G17" s="534">
        <v>0</v>
      </c>
      <c r="H17" s="743" t="s">
        <v>159</v>
      </c>
    </row>
    <row r="18" spans="2:8" ht="15.6">
      <c r="C18" s="525" t="s">
        <v>288</v>
      </c>
      <c r="D18" s="526"/>
      <c r="H18" s="743" t="s">
        <v>159</v>
      </c>
    </row>
    <row r="19" spans="2:8" ht="15.6">
      <c r="B19" s="527"/>
      <c r="C19" s="528"/>
      <c r="H19" s="743" t="s">
        <v>159</v>
      </c>
    </row>
    <row r="20" spans="2:8" ht="31.5" customHeight="1">
      <c r="B20" s="529" t="s">
        <v>289</v>
      </c>
      <c r="C20" s="943" t="s">
        <v>290</v>
      </c>
      <c r="D20" s="943"/>
      <c r="E20" s="943"/>
      <c r="F20" s="943"/>
      <c r="G20" s="943"/>
      <c r="H20" s="743" t="s">
        <v>159</v>
      </c>
    </row>
    <row r="21" spans="2:8" ht="15" customHeight="1">
      <c r="B21" s="530"/>
      <c r="C21" s="940" t="s">
        <v>291</v>
      </c>
      <c r="D21" s="941"/>
      <c r="E21" s="941"/>
      <c r="F21" s="941"/>
      <c r="G21" s="942"/>
      <c r="H21" s="743" t="s">
        <v>159</v>
      </c>
    </row>
    <row r="22" spans="2:8" ht="15.6">
      <c r="B22" s="529"/>
      <c r="C22" s="531"/>
      <c r="H22" s="743" t="s">
        <v>159</v>
      </c>
    </row>
    <row r="23" spans="2:8" ht="18" customHeight="1">
      <c r="B23" s="529" t="s">
        <v>292</v>
      </c>
      <c r="C23" s="943" t="s">
        <v>293</v>
      </c>
      <c r="D23" s="943"/>
      <c r="E23" s="943"/>
      <c r="F23" s="943"/>
      <c r="G23" s="943"/>
      <c r="H23" s="743" t="s">
        <v>159</v>
      </c>
    </row>
    <row r="24" spans="2:8" ht="31.5" customHeight="1">
      <c r="B24" s="530"/>
      <c r="C24" s="940" t="s">
        <v>301</v>
      </c>
      <c r="D24" s="941"/>
      <c r="E24" s="941"/>
      <c r="F24" s="941"/>
      <c r="G24" s="942"/>
      <c r="H24" s="743" t="s">
        <v>159</v>
      </c>
    </row>
    <row r="25" spans="2:8" ht="15.6">
      <c r="B25" s="530"/>
      <c r="H25" s="743" t="s">
        <v>159</v>
      </c>
    </row>
    <row r="26" spans="2:8" ht="18" customHeight="1">
      <c r="B26" s="529" t="s">
        <v>294</v>
      </c>
      <c r="C26" s="943" t="s">
        <v>295</v>
      </c>
      <c r="D26" s="943"/>
      <c r="E26" s="943"/>
      <c r="F26" s="943"/>
      <c r="G26" s="943"/>
      <c r="H26" s="743" t="s">
        <v>159</v>
      </c>
    </row>
    <row r="27" spans="2:8" ht="46.5" customHeight="1">
      <c r="B27" s="530"/>
      <c r="C27" s="940" t="s">
        <v>302</v>
      </c>
      <c r="D27" s="941"/>
      <c r="E27" s="941"/>
      <c r="F27" s="941"/>
      <c r="G27" s="942"/>
      <c r="H27" s="743" t="s">
        <v>159</v>
      </c>
    </row>
    <row r="28" spans="2:8" ht="15.6">
      <c r="B28" s="530"/>
      <c r="H28" s="743" t="s">
        <v>159</v>
      </c>
    </row>
    <row r="29" spans="2:8" ht="17.25" customHeight="1">
      <c r="B29" s="529" t="s">
        <v>296</v>
      </c>
      <c r="C29" s="943" t="s">
        <v>297</v>
      </c>
      <c r="D29" s="943"/>
      <c r="E29" s="943"/>
      <c r="F29" s="943"/>
      <c r="G29" s="943"/>
      <c r="H29" s="743" t="s">
        <v>159</v>
      </c>
    </row>
    <row r="30" spans="2:8" ht="46.5" customHeight="1">
      <c r="B30" s="530"/>
      <c r="C30" s="940" t="s">
        <v>298</v>
      </c>
      <c r="D30" s="941"/>
      <c r="E30" s="941"/>
      <c r="F30" s="941"/>
      <c r="G30" s="942"/>
      <c r="H30" s="743" t="s">
        <v>159</v>
      </c>
    </row>
    <row r="31" spans="2:8" ht="15.6">
      <c r="B31" s="530"/>
      <c r="H31" s="743" t="s">
        <v>159</v>
      </c>
    </row>
    <row r="32" spans="2:8" ht="18" customHeight="1">
      <c r="B32" s="529" t="s">
        <v>299</v>
      </c>
      <c r="C32" s="943" t="s">
        <v>300</v>
      </c>
      <c r="D32" s="943"/>
      <c r="E32" s="943"/>
      <c r="F32" s="943"/>
      <c r="G32" s="943"/>
      <c r="H32" s="743" t="s">
        <v>159</v>
      </c>
    </row>
    <row r="33" spans="2:8" ht="15" customHeight="1">
      <c r="B33" s="532"/>
      <c r="C33" s="940" t="s">
        <v>291</v>
      </c>
      <c r="D33" s="941"/>
      <c r="E33" s="941"/>
      <c r="F33" s="941"/>
      <c r="G33" s="942"/>
      <c r="H33" s="743" t="s">
        <v>161</v>
      </c>
    </row>
  </sheetData>
  <mergeCells count="21">
    <mergeCell ref="C20:G20"/>
    <mergeCell ref="B6:D7"/>
    <mergeCell ref="E6:E7"/>
    <mergeCell ref="F6:F7"/>
    <mergeCell ref="G6:G7"/>
    <mergeCell ref="C8:D8"/>
    <mergeCell ref="C9:D9"/>
    <mergeCell ref="C10:D10"/>
    <mergeCell ref="C11:D11"/>
    <mergeCell ref="C12:D12"/>
    <mergeCell ref="B13:B17"/>
    <mergeCell ref="C13:C17"/>
    <mergeCell ref="C30:G30"/>
    <mergeCell ref="C32:G32"/>
    <mergeCell ref="C33:G33"/>
    <mergeCell ref="C21:G21"/>
    <mergeCell ref="C23:G23"/>
    <mergeCell ref="C24:G24"/>
    <mergeCell ref="C26:G26"/>
    <mergeCell ref="C27:G27"/>
    <mergeCell ref="C29:G29"/>
  </mergeCells>
  <printOptions horizontalCentered="1" verticalCentered="1"/>
  <pageMargins left="0.45" right="0.45" top="0.75" bottom="0.75" header="0.3" footer="0.3"/>
  <pageSetup scale="84" orientation="landscape" r:id="rId1"/>
  <headerFooter>
    <oddFooter>&amp;C&amp;"Times New Roman,Regular"Exhibit P:  Physicians' Comparability Allowance (PCA) Worksheet</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I112"/>
  <sheetViews>
    <sheetView showOutlineSymbols="0" view="pageBreakPreview" zoomScale="70" zoomScaleNormal="75" zoomScaleSheetLayoutView="70" workbookViewId="0">
      <selection activeCell="J1" sqref="J1"/>
    </sheetView>
  </sheetViews>
  <sheetFormatPr defaultRowHeight="15"/>
  <cols>
    <col min="1" max="1" width="4.90625" customWidth="1"/>
    <col min="2" max="2" width="6" customWidth="1"/>
    <col min="3" max="3" width="13.1796875" customWidth="1"/>
    <col min="4" max="5" width="6.81640625" customWidth="1"/>
    <col min="6" max="6" width="10.1796875" bestFit="1" customWidth="1"/>
    <col min="7" max="7" width="7.1796875" hidden="1" customWidth="1"/>
    <col min="8" max="8" width="7.08984375" hidden="1" customWidth="1"/>
    <col min="9" max="9" width="9.08984375" hidden="1" customWidth="1"/>
    <col min="10" max="11" width="6.81640625" customWidth="1"/>
    <col min="12" max="12" width="10.6328125" customWidth="1"/>
    <col min="13" max="13" width="5.90625" customWidth="1"/>
    <col min="14" max="14" width="5.36328125" customWidth="1"/>
    <col min="15" max="15" width="8.90625" customWidth="1"/>
    <col min="16" max="17" width="6.81640625" customWidth="1"/>
    <col min="18" max="18" width="11" customWidth="1"/>
    <col min="19" max="19" width="5.08984375" customWidth="1"/>
    <col min="20" max="20" width="5.453125" customWidth="1"/>
    <col min="21" max="21" width="8.08984375" customWidth="1"/>
    <col min="22" max="22" width="5.08984375" customWidth="1"/>
    <col min="23" max="23" width="5.453125" customWidth="1"/>
    <col min="24" max="24" width="8.453125" customWidth="1"/>
    <col min="25" max="25" width="7.81640625" customWidth="1"/>
    <col min="26" max="26" width="8" customWidth="1"/>
    <col min="27" max="27" width="10.81640625" customWidth="1"/>
    <col min="28" max="28" width="0.54296875" customWidth="1"/>
  </cols>
  <sheetData>
    <row r="1" spans="1:31" ht="20.399999999999999">
      <c r="A1" s="766" t="s">
        <v>114</v>
      </c>
      <c r="B1" s="766"/>
      <c r="C1" s="766"/>
      <c r="D1" s="766"/>
      <c r="O1" s="243"/>
      <c r="AB1" s="127" t="s">
        <v>159</v>
      </c>
    </row>
    <row r="2" spans="1:31" ht="21">
      <c r="A2" s="279"/>
      <c r="B2" s="279"/>
      <c r="C2" s="279"/>
      <c r="D2" s="279"/>
      <c r="O2" s="243"/>
      <c r="AB2" s="127" t="s">
        <v>159</v>
      </c>
    </row>
    <row r="3" spans="1:31" ht="17.399999999999999">
      <c r="A3" s="745" t="s">
        <v>164</v>
      </c>
      <c r="B3" s="745"/>
      <c r="C3" s="745"/>
      <c r="D3" s="745"/>
      <c r="E3" s="745"/>
      <c r="F3" s="745"/>
      <c r="G3" s="745"/>
      <c r="H3" s="745"/>
      <c r="I3" s="745"/>
      <c r="J3" s="745"/>
      <c r="K3" s="745"/>
      <c r="L3" s="745"/>
      <c r="M3" s="745"/>
      <c r="N3" s="745"/>
      <c r="O3" s="745"/>
      <c r="P3" s="745"/>
      <c r="Q3" s="745"/>
      <c r="R3" s="745"/>
      <c r="S3" s="745"/>
      <c r="T3" s="745"/>
      <c r="U3" s="745"/>
      <c r="V3" s="745"/>
      <c r="W3" s="745"/>
      <c r="X3" s="745"/>
      <c r="Y3" s="745"/>
      <c r="Z3" s="745"/>
      <c r="AA3" s="745"/>
      <c r="AB3" s="127" t="s">
        <v>159</v>
      </c>
      <c r="AC3" s="126"/>
      <c r="AD3" s="27"/>
      <c r="AE3" s="27"/>
    </row>
    <row r="4" spans="1:31" ht="15.6">
      <c r="A4" s="744" t="s">
        <v>30</v>
      </c>
      <c r="B4" s="744"/>
      <c r="C4" s="744"/>
      <c r="D4" s="744"/>
      <c r="E4" s="744"/>
      <c r="F4" s="744"/>
      <c r="G4" s="744"/>
      <c r="H4" s="744"/>
      <c r="I4" s="744"/>
      <c r="J4" s="744"/>
      <c r="K4" s="744"/>
      <c r="L4" s="744"/>
      <c r="M4" s="744"/>
      <c r="N4" s="744"/>
      <c r="O4" s="744"/>
      <c r="P4" s="744"/>
      <c r="Q4" s="744"/>
      <c r="R4" s="744"/>
      <c r="S4" s="744"/>
      <c r="T4" s="744"/>
      <c r="U4" s="744"/>
      <c r="V4" s="744"/>
      <c r="W4" s="744"/>
      <c r="X4" s="744"/>
      <c r="Y4" s="744"/>
      <c r="Z4" s="744"/>
      <c r="AA4" s="744"/>
      <c r="AB4" s="127" t="s">
        <v>159</v>
      </c>
      <c r="AC4" s="126"/>
      <c r="AD4" s="27"/>
      <c r="AE4" s="27"/>
    </row>
    <row r="5" spans="1:31" ht="15.6">
      <c r="A5" s="744" t="s">
        <v>31</v>
      </c>
      <c r="B5" s="744"/>
      <c r="C5" s="744"/>
      <c r="D5" s="744"/>
      <c r="E5" s="744"/>
      <c r="F5" s="744"/>
      <c r="G5" s="744"/>
      <c r="H5" s="744"/>
      <c r="I5" s="744"/>
      <c r="J5" s="744"/>
      <c r="K5" s="744"/>
      <c r="L5" s="744"/>
      <c r="M5" s="744"/>
      <c r="N5" s="744"/>
      <c r="O5" s="744"/>
      <c r="P5" s="744"/>
      <c r="Q5" s="744"/>
      <c r="R5" s="744"/>
      <c r="S5" s="744"/>
      <c r="T5" s="744"/>
      <c r="U5" s="744"/>
      <c r="V5" s="744"/>
      <c r="W5" s="744"/>
      <c r="X5" s="744"/>
      <c r="Y5" s="744"/>
      <c r="Z5" s="744"/>
      <c r="AA5" s="744"/>
      <c r="AB5" s="127" t="s">
        <v>159</v>
      </c>
      <c r="AC5" s="126"/>
      <c r="AD5" s="27"/>
      <c r="AE5" s="27"/>
    </row>
    <row r="6" spans="1:31" ht="15.6">
      <c r="A6" s="744" t="s">
        <v>44</v>
      </c>
      <c r="B6" s="744"/>
      <c r="C6" s="744"/>
      <c r="D6" s="744"/>
      <c r="E6" s="744"/>
      <c r="F6" s="744"/>
      <c r="G6" s="744"/>
      <c r="H6" s="744"/>
      <c r="I6" s="744"/>
      <c r="J6" s="744"/>
      <c r="K6" s="744"/>
      <c r="L6" s="744"/>
      <c r="M6" s="744"/>
      <c r="N6" s="744"/>
      <c r="O6" s="744"/>
      <c r="P6" s="744"/>
      <c r="Q6" s="744"/>
      <c r="R6" s="744"/>
      <c r="S6" s="744"/>
      <c r="T6" s="744"/>
      <c r="U6" s="744"/>
      <c r="V6" s="744"/>
      <c r="W6" s="744"/>
      <c r="X6" s="744"/>
      <c r="Y6" s="744"/>
      <c r="Z6" s="744"/>
      <c r="AA6" s="744"/>
      <c r="AB6" s="127" t="s">
        <v>159</v>
      </c>
      <c r="AC6" s="126"/>
      <c r="AD6" s="27"/>
      <c r="AE6" s="27"/>
    </row>
    <row r="7" spans="1:31" ht="21">
      <c r="A7" s="279"/>
      <c r="B7" s="279"/>
      <c r="C7" s="279"/>
      <c r="D7" s="279"/>
      <c r="O7" s="243"/>
      <c r="AB7" s="127" t="s">
        <v>159</v>
      </c>
    </row>
    <row r="8" spans="1:31" ht="17.399999999999999">
      <c r="A8" s="27"/>
      <c r="B8" s="27"/>
      <c r="C8" s="27"/>
      <c r="D8" s="27"/>
      <c r="E8" s="27"/>
      <c r="F8" s="27"/>
      <c r="G8" s="27"/>
      <c r="H8" s="27"/>
      <c r="I8" s="27"/>
      <c r="J8" s="280"/>
      <c r="K8" s="280"/>
      <c r="L8" s="280"/>
      <c r="M8" s="26"/>
      <c r="N8" s="27"/>
      <c r="O8" s="27"/>
      <c r="P8" s="27"/>
      <c r="Q8" s="27"/>
      <c r="R8" s="27"/>
      <c r="S8" s="27"/>
      <c r="T8" s="27"/>
      <c r="U8" s="27"/>
      <c r="V8" s="27"/>
      <c r="W8" s="27"/>
      <c r="X8" s="27"/>
      <c r="Y8" s="27"/>
      <c r="Z8" s="27"/>
      <c r="AA8" s="27"/>
      <c r="AB8" s="127" t="s">
        <v>159</v>
      </c>
      <c r="AC8" s="126"/>
      <c r="AD8" s="27"/>
      <c r="AE8" s="27"/>
    </row>
    <row r="9" spans="1:31" ht="17.399999999999999">
      <c r="A9" s="27"/>
      <c r="B9" s="27"/>
      <c r="C9" s="27"/>
      <c r="D9" s="27"/>
      <c r="E9" s="27"/>
      <c r="F9" s="27"/>
      <c r="G9" s="27"/>
      <c r="H9" s="27"/>
      <c r="I9" s="27"/>
      <c r="J9" s="280"/>
      <c r="K9" s="280"/>
      <c r="L9" s="280"/>
      <c r="M9" s="26"/>
      <c r="N9" s="27"/>
      <c r="O9" s="27"/>
      <c r="P9" s="27"/>
      <c r="Q9" s="27"/>
      <c r="R9" s="27"/>
      <c r="S9" s="27"/>
      <c r="T9" s="27"/>
      <c r="U9" s="27"/>
      <c r="V9" s="27"/>
      <c r="W9" s="27"/>
      <c r="X9" s="27"/>
      <c r="Y9" s="27"/>
      <c r="Z9" s="27"/>
      <c r="AA9" s="27"/>
      <c r="AB9" s="127" t="s">
        <v>159</v>
      </c>
      <c r="AC9" s="126"/>
      <c r="AD9" s="27"/>
      <c r="AE9" s="27"/>
    </row>
    <row r="10" spans="1:31" ht="15.6">
      <c r="A10" s="27"/>
      <c r="B10" s="27"/>
      <c r="C10" s="27"/>
      <c r="D10" s="27"/>
      <c r="E10" s="27"/>
      <c r="F10" s="27"/>
      <c r="G10" s="27"/>
      <c r="H10" s="27"/>
      <c r="I10" s="27"/>
      <c r="J10" s="280"/>
      <c r="K10" s="280"/>
      <c r="L10" s="280"/>
      <c r="M10" s="25"/>
      <c r="N10" s="27"/>
      <c r="O10" s="27"/>
      <c r="P10" s="27"/>
      <c r="Q10" s="27"/>
      <c r="R10" s="27"/>
      <c r="S10" s="27"/>
      <c r="T10" s="27"/>
      <c r="U10" s="27"/>
      <c r="V10" s="27"/>
      <c r="W10" s="27"/>
      <c r="X10" s="27"/>
      <c r="Y10" s="751" t="s">
        <v>196</v>
      </c>
      <c r="Z10" s="752"/>
      <c r="AA10" s="753"/>
      <c r="AB10" s="127" t="s">
        <v>159</v>
      </c>
      <c r="AC10" s="126"/>
      <c r="AD10" s="27"/>
      <c r="AE10" s="27"/>
    </row>
    <row r="11" spans="1:31" ht="15.6">
      <c r="A11" s="27"/>
      <c r="B11" s="27"/>
      <c r="C11" s="27"/>
      <c r="D11" s="27"/>
      <c r="E11" s="27"/>
      <c r="F11" s="27"/>
      <c r="G11" s="27"/>
      <c r="H11" s="27"/>
      <c r="I11" s="27"/>
      <c r="J11" s="280"/>
      <c r="K11" s="280"/>
      <c r="L11" s="280"/>
      <c r="M11" s="27"/>
      <c r="N11" s="27"/>
      <c r="O11" s="27"/>
      <c r="P11" s="27"/>
      <c r="Q11" s="27"/>
      <c r="R11" s="27"/>
      <c r="S11" s="27"/>
      <c r="T11" s="27"/>
      <c r="U11" s="27"/>
      <c r="V11" s="27"/>
      <c r="W11" s="27"/>
      <c r="X11" s="27"/>
      <c r="Y11" s="28" t="s">
        <v>118</v>
      </c>
      <c r="Z11" s="28" t="s">
        <v>20</v>
      </c>
      <c r="AA11" s="28" t="s">
        <v>21</v>
      </c>
      <c r="AB11" s="127" t="s">
        <v>159</v>
      </c>
      <c r="AC11" s="126"/>
      <c r="AD11" s="27"/>
      <c r="AE11" s="27"/>
    </row>
    <row r="12" spans="1:31" ht="15.6">
      <c r="A12" s="754" t="s">
        <v>443</v>
      </c>
      <c r="B12" s="755"/>
      <c r="C12" s="755"/>
      <c r="D12" s="755"/>
      <c r="E12" s="755"/>
      <c r="F12" s="755"/>
      <c r="G12" s="755"/>
      <c r="H12" s="755"/>
      <c r="I12" s="755"/>
      <c r="J12" s="755"/>
      <c r="K12" s="755"/>
      <c r="L12" s="755"/>
      <c r="M12" s="755"/>
      <c r="N12" s="755"/>
      <c r="O12" s="755"/>
      <c r="P12" s="755"/>
      <c r="Q12" s="755"/>
      <c r="R12" s="755"/>
      <c r="S12" s="755"/>
      <c r="T12" s="755"/>
      <c r="U12" s="755"/>
      <c r="V12" s="755"/>
      <c r="W12" s="755"/>
      <c r="X12" s="756"/>
      <c r="Y12" s="440">
        <v>40279</v>
      </c>
      <c r="Z12" s="440">
        <v>36108</v>
      </c>
      <c r="AA12" s="457">
        <v>6282410</v>
      </c>
      <c r="AB12" s="127" t="s">
        <v>159</v>
      </c>
      <c r="AC12" s="126"/>
      <c r="AD12" s="27"/>
    </row>
    <row r="13" spans="1:31" ht="15.6">
      <c r="A13" s="754" t="s">
        <v>330</v>
      </c>
      <c r="B13" s="755"/>
      <c r="C13" s="755"/>
      <c r="D13" s="755"/>
      <c r="E13" s="755"/>
      <c r="F13" s="755"/>
      <c r="G13" s="755"/>
      <c r="H13" s="755"/>
      <c r="I13" s="755"/>
      <c r="J13" s="755"/>
      <c r="K13" s="755"/>
      <c r="L13" s="755"/>
      <c r="M13" s="755"/>
      <c r="N13" s="755"/>
      <c r="O13" s="755"/>
      <c r="P13" s="755"/>
      <c r="Q13" s="755"/>
      <c r="R13" s="755"/>
      <c r="S13" s="755"/>
      <c r="T13" s="755"/>
      <c r="U13" s="755"/>
      <c r="V13" s="755"/>
      <c r="W13" s="755"/>
      <c r="X13" s="756"/>
      <c r="Y13" s="556">
        <v>41035</v>
      </c>
      <c r="Z13" s="556">
        <v>36947</v>
      </c>
      <c r="AA13" s="458">
        <v>6551281</v>
      </c>
      <c r="AB13" s="127" t="s">
        <v>159</v>
      </c>
      <c r="AC13" s="126"/>
      <c r="AD13" s="27"/>
    </row>
    <row r="14" spans="1:31" ht="15.6">
      <c r="A14" s="754" t="s">
        <v>331</v>
      </c>
      <c r="B14" s="755"/>
      <c r="C14" s="755"/>
      <c r="D14" s="755"/>
      <c r="E14" s="755"/>
      <c r="F14" s="755"/>
      <c r="G14" s="755"/>
      <c r="H14" s="755"/>
      <c r="I14" s="755"/>
      <c r="J14" s="755"/>
      <c r="K14" s="755"/>
      <c r="L14" s="755"/>
      <c r="M14" s="755"/>
      <c r="N14" s="755"/>
      <c r="O14" s="755"/>
      <c r="P14" s="755"/>
      <c r="Q14" s="755"/>
      <c r="R14" s="755"/>
      <c r="S14" s="755"/>
      <c r="T14" s="755"/>
      <c r="U14" s="755"/>
      <c r="V14" s="755"/>
      <c r="W14" s="755"/>
      <c r="X14" s="756"/>
      <c r="Y14" s="441">
        <v>0</v>
      </c>
      <c r="Z14" s="441">
        <v>0</v>
      </c>
      <c r="AA14" s="458">
        <v>0</v>
      </c>
      <c r="AB14" s="127"/>
      <c r="AC14" s="126"/>
      <c r="AD14" s="27"/>
    </row>
    <row r="15" spans="1:31" ht="15.6">
      <c r="A15" s="541"/>
      <c r="B15" s="755" t="s">
        <v>332</v>
      </c>
      <c r="C15" s="755"/>
      <c r="D15" s="755"/>
      <c r="E15" s="755"/>
      <c r="F15" s="755"/>
      <c r="G15" s="755"/>
      <c r="H15" s="755"/>
      <c r="I15" s="755"/>
      <c r="J15" s="755"/>
      <c r="K15" s="755"/>
      <c r="L15" s="755"/>
      <c r="M15" s="755"/>
      <c r="N15" s="755"/>
      <c r="O15" s="755"/>
      <c r="P15" s="755"/>
      <c r="Q15" s="755"/>
      <c r="R15" s="755"/>
      <c r="S15" s="755"/>
      <c r="T15" s="755"/>
      <c r="U15" s="755"/>
      <c r="V15" s="755"/>
      <c r="W15" s="755"/>
      <c r="X15" s="756"/>
      <c r="Y15" s="441">
        <f>SUM(Y13:Y14)</f>
        <v>41035</v>
      </c>
      <c r="Z15" s="441">
        <f>SUM(Z13:Z14)</f>
        <v>36947</v>
      </c>
      <c r="AA15" s="458">
        <f>SUM(AA13:AA14)</f>
        <v>6551281</v>
      </c>
      <c r="AB15" s="127"/>
      <c r="AC15" s="126"/>
      <c r="AD15" s="27"/>
    </row>
    <row r="16" spans="1:31" ht="15.6">
      <c r="A16" s="757" t="s">
        <v>189</v>
      </c>
      <c r="B16" s="748"/>
      <c r="C16" s="748"/>
      <c r="D16" s="748"/>
      <c r="E16" s="748"/>
      <c r="F16" s="748"/>
      <c r="G16" s="748"/>
      <c r="H16" s="748"/>
      <c r="I16" s="748"/>
      <c r="J16" s="748"/>
      <c r="K16" s="748"/>
      <c r="L16" s="748"/>
      <c r="M16" s="748"/>
      <c r="N16" s="748"/>
      <c r="O16" s="748"/>
      <c r="P16" s="748"/>
      <c r="Q16" s="748"/>
      <c r="R16" s="748"/>
      <c r="S16" s="748"/>
      <c r="T16" s="748"/>
      <c r="U16" s="748"/>
      <c r="V16" s="748"/>
      <c r="W16" s="748"/>
      <c r="X16" s="749"/>
      <c r="Y16" s="440"/>
      <c r="Z16" s="440"/>
      <c r="AA16" s="440"/>
      <c r="AB16" s="127" t="s">
        <v>159</v>
      </c>
      <c r="AC16" s="126"/>
    </row>
    <row r="17" spans="1:30" ht="15.6">
      <c r="A17" s="234"/>
      <c r="B17" s="233"/>
      <c r="C17" s="748" t="s">
        <v>223</v>
      </c>
      <c r="D17" s="748"/>
      <c r="E17" s="748"/>
      <c r="F17" s="748"/>
      <c r="G17" s="748"/>
      <c r="H17" s="748"/>
      <c r="I17" s="748"/>
      <c r="J17" s="748"/>
      <c r="K17" s="748"/>
      <c r="L17" s="748"/>
      <c r="M17" s="748"/>
      <c r="N17" s="748"/>
      <c r="O17" s="748"/>
      <c r="P17" s="748"/>
      <c r="Q17" s="748"/>
      <c r="R17" s="748"/>
      <c r="S17" s="748"/>
      <c r="T17" s="748"/>
      <c r="U17" s="748"/>
      <c r="V17" s="748"/>
      <c r="W17" s="748"/>
      <c r="X17" s="749"/>
      <c r="Y17" s="440">
        <v>0</v>
      </c>
      <c r="Z17" s="440">
        <v>0</v>
      </c>
      <c r="AA17" s="440">
        <v>1615</v>
      </c>
      <c r="AB17" s="127" t="s">
        <v>159</v>
      </c>
      <c r="AC17" s="126"/>
    </row>
    <row r="18" spans="1:30" ht="15.6">
      <c r="A18" s="234"/>
      <c r="B18" s="233"/>
      <c r="C18" s="748" t="s">
        <v>212</v>
      </c>
      <c r="D18" s="748"/>
      <c r="E18" s="748"/>
      <c r="F18" s="748"/>
      <c r="G18" s="748"/>
      <c r="H18" s="748"/>
      <c r="I18" s="748"/>
      <c r="J18" s="748"/>
      <c r="K18" s="748"/>
      <c r="L18" s="748"/>
      <c r="M18" s="748"/>
      <c r="N18" s="748"/>
      <c r="O18" s="748"/>
      <c r="P18" s="748"/>
      <c r="Q18" s="748"/>
      <c r="R18" s="748"/>
      <c r="S18" s="748"/>
      <c r="T18" s="748"/>
      <c r="U18" s="748"/>
      <c r="V18" s="748"/>
      <c r="W18" s="748"/>
      <c r="X18" s="749"/>
      <c r="Y18" s="440">
        <v>0</v>
      </c>
      <c r="Z18" s="440">
        <v>0</v>
      </c>
      <c r="AA18" s="440">
        <v>18</v>
      </c>
      <c r="AB18" s="127" t="s">
        <v>159</v>
      </c>
      <c r="AC18" s="126"/>
    </row>
    <row r="19" spans="1:30" ht="15.6">
      <c r="A19" s="234"/>
      <c r="B19" s="233"/>
      <c r="C19" s="748" t="s">
        <v>213</v>
      </c>
      <c r="D19" s="748"/>
      <c r="E19" s="748"/>
      <c r="F19" s="748"/>
      <c r="G19" s="748"/>
      <c r="H19" s="748"/>
      <c r="I19" s="748"/>
      <c r="J19" s="748"/>
      <c r="K19" s="748"/>
      <c r="L19" s="748"/>
      <c r="M19" s="748"/>
      <c r="N19" s="748"/>
      <c r="O19" s="748"/>
      <c r="P19" s="748"/>
      <c r="Q19" s="748"/>
      <c r="R19" s="748"/>
      <c r="S19" s="748"/>
      <c r="T19" s="748"/>
      <c r="U19" s="748"/>
      <c r="V19" s="748"/>
      <c r="W19" s="748"/>
      <c r="X19" s="749"/>
      <c r="Y19" s="440">
        <v>0</v>
      </c>
      <c r="Z19" s="440">
        <v>0</v>
      </c>
      <c r="AA19" s="440">
        <v>-1102</v>
      </c>
      <c r="AB19" s="127" t="s">
        <v>159</v>
      </c>
      <c r="AC19" s="126"/>
    </row>
    <row r="20" spans="1:30" ht="16.2" thickBot="1">
      <c r="A20" s="234"/>
      <c r="B20" s="233"/>
      <c r="C20" s="748" t="s">
        <v>214</v>
      </c>
      <c r="D20" s="748"/>
      <c r="E20" s="748"/>
      <c r="F20" s="748"/>
      <c r="G20" s="748"/>
      <c r="H20" s="748"/>
      <c r="I20" s="748"/>
      <c r="J20" s="748"/>
      <c r="K20" s="748"/>
      <c r="L20" s="748"/>
      <c r="M20" s="748"/>
      <c r="N20" s="748"/>
      <c r="O20" s="748"/>
      <c r="P20" s="748"/>
      <c r="Q20" s="748"/>
      <c r="R20" s="748"/>
      <c r="S20" s="748"/>
      <c r="T20" s="748"/>
      <c r="U20" s="748"/>
      <c r="V20" s="748"/>
      <c r="W20" s="748"/>
      <c r="X20" s="749"/>
      <c r="Y20" s="442">
        <v>0</v>
      </c>
      <c r="Z20" s="442">
        <v>0</v>
      </c>
      <c r="AA20" s="442">
        <v>-71</v>
      </c>
      <c r="AB20" s="127" t="s">
        <v>159</v>
      </c>
      <c r="AC20" s="126"/>
    </row>
    <row r="21" spans="1:30" ht="15.6">
      <c r="A21" s="234"/>
      <c r="B21" s="233"/>
      <c r="C21" s="233"/>
      <c r="D21" s="748" t="s">
        <v>215</v>
      </c>
      <c r="E21" s="748"/>
      <c r="F21" s="748"/>
      <c r="G21" s="748"/>
      <c r="H21" s="748"/>
      <c r="I21" s="748"/>
      <c r="J21" s="748"/>
      <c r="K21" s="748"/>
      <c r="L21" s="748"/>
      <c r="M21" s="748"/>
      <c r="N21" s="748"/>
      <c r="O21" s="748"/>
      <c r="P21" s="748"/>
      <c r="Q21" s="748"/>
      <c r="R21" s="748"/>
      <c r="S21" s="748"/>
      <c r="T21" s="748"/>
      <c r="U21" s="748"/>
      <c r="V21" s="748"/>
      <c r="W21" s="748"/>
      <c r="X21" s="749"/>
      <c r="Y21" s="438">
        <f>SUM(Y17:Y20)</f>
        <v>0</v>
      </c>
      <c r="Z21" s="438">
        <f>SUM(Z17:Z20)</f>
        <v>0</v>
      </c>
      <c r="AA21" s="438">
        <f>SUM(AA17:AA20)</f>
        <v>460</v>
      </c>
      <c r="AB21" s="127" t="s">
        <v>159</v>
      </c>
      <c r="AC21" s="126"/>
    </row>
    <row r="22" spans="1:30" ht="15.6">
      <c r="A22" s="190"/>
      <c r="B22" s="748" t="s">
        <v>115</v>
      </c>
      <c r="C22" s="748"/>
      <c r="D22" s="748"/>
      <c r="E22" s="748"/>
      <c r="F22" s="748"/>
      <c r="G22" s="748"/>
      <c r="H22" s="748"/>
      <c r="I22" s="748"/>
      <c r="J22" s="748"/>
      <c r="K22" s="748"/>
      <c r="L22" s="748"/>
      <c r="M22" s="748"/>
      <c r="N22" s="748"/>
      <c r="O22" s="748"/>
      <c r="P22" s="748"/>
      <c r="Q22" s="748"/>
      <c r="R22" s="748"/>
      <c r="S22" s="748"/>
      <c r="T22" s="748"/>
      <c r="U22" s="748"/>
      <c r="V22" s="748"/>
      <c r="W22" s="748"/>
      <c r="X22" s="749"/>
      <c r="Y22" s="440" t="s">
        <v>113</v>
      </c>
      <c r="Z22" s="440" t="s">
        <v>113</v>
      </c>
      <c r="AA22" s="440" t="s">
        <v>113</v>
      </c>
      <c r="AB22" s="127" t="s">
        <v>159</v>
      </c>
      <c r="AC22" s="126"/>
      <c r="AD22" s="27"/>
    </row>
    <row r="23" spans="1:30" ht="15.6">
      <c r="A23" s="200"/>
      <c r="B23" s="199"/>
      <c r="C23" s="748" t="s">
        <v>190</v>
      </c>
      <c r="D23" s="748"/>
      <c r="E23" s="748"/>
      <c r="F23" s="748"/>
      <c r="G23" s="748"/>
      <c r="H23" s="748"/>
      <c r="I23" s="748"/>
      <c r="J23" s="748"/>
      <c r="K23" s="748"/>
      <c r="L23" s="748"/>
      <c r="M23" s="748"/>
      <c r="N23" s="748"/>
      <c r="O23" s="748"/>
      <c r="P23" s="748"/>
      <c r="Q23" s="748"/>
      <c r="R23" s="748"/>
      <c r="S23" s="748"/>
      <c r="T23" s="748"/>
      <c r="U23" s="748"/>
      <c r="V23" s="748"/>
      <c r="W23" s="748"/>
      <c r="X23" s="749"/>
      <c r="Y23" s="440">
        <v>0</v>
      </c>
      <c r="Z23" s="440">
        <v>0</v>
      </c>
      <c r="AA23" s="457">
        <v>86458</v>
      </c>
      <c r="AB23" s="127" t="s">
        <v>159</v>
      </c>
      <c r="AC23" s="126"/>
      <c r="AD23" s="27"/>
    </row>
    <row r="24" spans="1:30" ht="15.6">
      <c r="A24" s="225"/>
      <c r="B24" s="226"/>
      <c r="C24" s="748" t="s">
        <v>200</v>
      </c>
      <c r="D24" s="748"/>
      <c r="E24" s="748"/>
      <c r="F24" s="748"/>
      <c r="G24" s="748"/>
      <c r="H24" s="748"/>
      <c r="I24" s="748"/>
      <c r="J24" s="748"/>
      <c r="K24" s="748"/>
      <c r="L24" s="748"/>
      <c r="M24" s="748"/>
      <c r="N24" s="748"/>
      <c r="O24" s="748"/>
      <c r="P24" s="748"/>
      <c r="Q24" s="748"/>
      <c r="R24" s="748"/>
      <c r="S24" s="748"/>
      <c r="T24" s="748"/>
      <c r="U24" s="748"/>
      <c r="V24" s="748"/>
      <c r="W24" s="748"/>
      <c r="X24" s="749"/>
      <c r="Y24" s="440">
        <v>0</v>
      </c>
      <c r="Z24" s="438">
        <v>0</v>
      </c>
      <c r="AA24" s="459">
        <v>-2959</v>
      </c>
      <c r="AB24" s="127" t="s">
        <v>159</v>
      </c>
      <c r="AC24" s="126"/>
      <c r="AD24" s="27"/>
    </row>
    <row r="25" spans="1:30" ht="16.2" thickBot="1">
      <c r="A25" s="201"/>
      <c r="B25" s="228"/>
      <c r="C25" s="764" t="s">
        <v>201</v>
      </c>
      <c r="D25" s="764"/>
      <c r="E25" s="764"/>
      <c r="F25" s="764"/>
      <c r="G25" s="764"/>
      <c r="H25" s="764"/>
      <c r="I25" s="764"/>
      <c r="J25" s="764"/>
      <c r="K25" s="764"/>
      <c r="L25" s="764"/>
      <c r="M25" s="764"/>
      <c r="N25" s="764"/>
      <c r="O25" s="764"/>
      <c r="P25" s="764"/>
      <c r="Q25" s="764"/>
      <c r="R25" s="764"/>
      <c r="S25" s="764"/>
      <c r="T25" s="764"/>
      <c r="U25" s="764"/>
      <c r="V25" s="764"/>
      <c r="W25" s="764"/>
      <c r="X25" s="765"/>
      <c r="Y25" s="443">
        <v>120</v>
      </c>
      <c r="Z25" s="444">
        <v>613</v>
      </c>
      <c r="AA25" s="460">
        <v>161593</v>
      </c>
      <c r="AB25" s="127" t="s">
        <v>159</v>
      </c>
    </row>
    <row r="26" spans="1:30" ht="16.2" thickBot="1">
      <c r="A26" s="208"/>
      <c r="B26" s="209"/>
      <c r="C26" s="60"/>
      <c r="D26" s="764" t="s">
        <v>193</v>
      </c>
      <c r="E26" s="764"/>
      <c r="F26" s="764"/>
      <c r="G26" s="764"/>
      <c r="H26" s="764"/>
      <c r="I26" s="764"/>
      <c r="J26" s="764"/>
      <c r="K26" s="764"/>
      <c r="L26" s="764"/>
      <c r="M26" s="764"/>
      <c r="N26" s="764"/>
      <c r="O26" s="764"/>
      <c r="P26" s="764"/>
      <c r="Q26" s="764"/>
      <c r="R26" s="764"/>
      <c r="S26" s="764"/>
      <c r="T26" s="764"/>
      <c r="U26" s="764"/>
      <c r="V26" s="764"/>
      <c r="W26" s="764"/>
      <c r="X26" s="765"/>
      <c r="Y26" s="445">
        <f>SUM(Y23:Y25)</f>
        <v>120</v>
      </c>
      <c r="Z26" s="399">
        <f>SUM(Z23:Z25)</f>
        <v>613</v>
      </c>
      <c r="AA26" s="399">
        <f>SUM(AA23:AA25)</f>
        <v>245092</v>
      </c>
      <c r="AB26" s="127" t="s">
        <v>159</v>
      </c>
    </row>
    <row r="27" spans="1:30" ht="16.2" thickBot="1">
      <c r="A27" s="143"/>
      <c r="B27" s="770" t="s">
        <v>191</v>
      </c>
      <c r="C27" s="770"/>
      <c r="D27" s="770"/>
      <c r="E27" s="770"/>
      <c r="F27" s="770"/>
      <c r="G27" s="770"/>
      <c r="H27" s="770"/>
      <c r="I27" s="770"/>
      <c r="J27" s="770"/>
      <c r="K27" s="770"/>
      <c r="L27" s="770"/>
      <c r="M27" s="770"/>
      <c r="N27" s="770"/>
      <c r="O27" s="770"/>
      <c r="P27" s="770"/>
      <c r="Q27" s="770"/>
      <c r="R27" s="770"/>
      <c r="S27" s="770"/>
      <c r="T27" s="770"/>
      <c r="U27" s="770"/>
      <c r="V27" s="770"/>
      <c r="W27" s="770"/>
      <c r="X27" s="771"/>
      <c r="Y27" s="434">
        <f>+Y21+Y26</f>
        <v>120</v>
      </c>
      <c r="Z27" s="303">
        <f>+Z21+Z26</f>
        <v>613</v>
      </c>
      <c r="AA27" s="303">
        <f>+AA21+AA26</f>
        <v>245552</v>
      </c>
      <c r="AB27" s="127" t="s">
        <v>159</v>
      </c>
      <c r="AC27" s="126"/>
    </row>
    <row r="28" spans="1:30" ht="16.2" thickBot="1">
      <c r="A28" s="761" t="s">
        <v>197</v>
      </c>
      <c r="B28" s="762"/>
      <c r="C28" s="762"/>
      <c r="D28" s="762"/>
      <c r="E28" s="762"/>
      <c r="F28" s="762"/>
      <c r="G28" s="762"/>
      <c r="H28" s="762"/>
      <c r="I28" s="762"/>
      <c r="J28" s="762"/>
      <c r="K28" s="762"/>
      <c r="L28" s="762"/>
      <c r="M28" s="762"/>
      <c r="N28" s="762"/>
      <c r="O28" s="762"/>
      <c r="P28" s="762"/>
      <c r="Q28" s="762"/>
      <c r="R28" s="762"/>
      <c r="S28" s="762"/>
      <c r="T28" s="762"/>
      <c r="U28" s="762"/>
      <c r="V28" s="762"/>
      <c r="W28" s="762"/>
      <c r="X28" s="763"/>
      <c r="Y28" s="446">
        <f>+Y13+Y27</f>
        <v>41155</v>
      </c>
      <c r="Z28" s="447">
        <f>+Z13+Z27</f>
        <v>37560</v>
      </c>
      <c r="AA28" s="447">
        <f>+AA13+AA27</f>
        <v>6796833</v>
      </c>
      <c r="AB28" s="127" t="s">
        <v>159</v>
      </c>
      <c r="AC28" s="126"/>
    </row>
    <row r="29" spans="1:30" ht="15.6">
      <c r="A29" s="767" t="s">
        <v>140</v>
      </c>
      <c r="B29" s="768"/>
      <c r="C29" s="768"/>
      <c r="D29" s="768"/>
      <c r="E29" s="768"/>
      <c r="F29" s="768"/>
      <c r="G29" s="768"/>
      <c r="H29" s="768"/>
      <c r="I29" s="768"/>
      <c r="J29" s="768"/>
      <c r="K29" s="768"/>
      <c r="L29" s="768"/>
      <c r="M29" s="768"/>
      <c r="N29" s="768"/>
      <c r="O29" s="768"/>
      <c r="P29" s="768"/>
      <c r="Q29" s="768"/>
      <c r="R29" s="768"/>
      <c r="S29" s="768"/>
      <c r="T29" s="768"/>
      <c r="U29" s="768"/>
      <c r="V29" s="768"/>
      <c r="W29" s="768"/>
      <c r="X29" s="769"/>
      <c r="Y29" s="448"/>
      <c r="Z29" s="448"/>
      <c r="AA29" s="448"/>
      <c r="AB29" s="127" t="s">
        <v>159</v>
      </c>
      <c r="AC29" s="126"/>
    </row>
    <row r="30" spans="1:30" ht="15.6">
      <c r="A30" s="38"/>
      <c r="B30" s="748" t="s">
        <v>115</v>
      </c>
      <c r="C30" s="748"/>
      <c r="D30" s="748"/>
      <c r="E30" s="748"/>
      <c r="F30" s="748"/>
      <c r="G30" s="748"/>
      <c r="H30" s="748"/>
      <c r="I30" s="748"/>
      <c r="J30" s="748"/>
      <c r="K30" s="748"/>
      <c r="L30" s="748"/>
      <c r="M30" s="748"/>
      <c r="N30" s="748"/>
      <c r="O30" s="748"/>
      <c r="P30" s="748"/>
      <c r="Q30" s="748"/>
      <c r="R30" s="748"/>
      <c r="S30" s="748"/>
      <c r="T30" s="748"/>
      <c r="U30" s="748"/>
      <c r="V30" s="748"/>
      <c r="W30" s="748"/>
      <c r="X30" s="749"/>
      <c r="Y30" s="449"/>
      <c r="Z30" s="438"/>
      <c r="AA30" s="438"/>
      <c r="AB30" s="127" t="s">
        <v>159</v>
      </c>
      <c r="AC30" s="126"/>
    </row>
    <row r="31" spans="1:30" ht="15.6">
      <c r="A31" s="214"/>
      <c r="B31" s="36"/>
      <c r="C31" s="746" t="s">
        <v>419</v>
      </c>
      <c r="D31" s="746"/>
      <c r="E31" s="746"/>
      <c r="F31" s="746"/>
      <c r="G31" s="746"/>
      <c r="H31" s="746"/>
      <c r="I31" s="746"/>
      <c r="J31" s="746"/>
      <c r="K31" s="746"/>
      <c r="L31" s="746"/>
      <c r="M31" s="746"/>
      <c r="N31" s="746"/>
      <c r="O31" s="746"/>
      <c r="P31" s="746"/>
      <c r="Q31" s="746"/>
      <c r="R31" s="746"/>
      <c r="S31" s="746"/>
      <c r="T31" s="746"/>
      <c r="U31" s="746"/>
      <c r="V31" s="746"/>
      <c r="W31" s="746"/>
      <c r="X31" s="747"/>
      <c r="Y31" s="449">
        <v>416</v>
      </c>
      <c r="Z31" s="449">
        <v>104</v>
      </c>
      <c r="AA31" s="461">
        <v>28421</v>
      </c>
      <c r="AB31" s="127" t="s">
        <v>159</v>
      </c>
      <c r="AC31" s="126"/>
    </row>
    <row r="32" spans="1:30" ht="15.6">
      <c r="A32" s="214"/>
      <c r="B32" s="36"/>
      <c r="C32" s="746" t="s">
        <v>420</v>
      </c>
      <c r="D32" s="746"/>
      <c r="E32" s="746"/>
      <c r="F32" s="746"/>
      <c r="G32" s="746"/>
      <c r="H32" s="746"/>
      <c r="I32" s="746"/>
      <c r="J32" s="746"/>
      <c r="K32" s="746"/>
      <c r="L32" s="746"/>
      <c r="M32" s="746"/>
      <c r="N32" s="746"/>
      <c r="O32" s="746"/>
      <c r="P32" s="746"/>
      <c r="Q32" s="746"/>
      <c r="R32" s="746"/>
      <c r="S32" s="746"/>
      <c r="T32" s="746"/>
      <c r="U32" s="746"/>
      <c r="V32" s="746"/>
      <c r="W32" s="746"/>
      <c r="X32" s="747"/>
      <c r="Y32" s="449">
        <v>389</v>
      </c>
      <c r="Z32" s="449">
        <v>97</v>
      </c>
      <c r="AA32" s="461">
        <v>27084</v>
      </c>
      <c r="AB32" s="127" t="s">
        <v>159</v>
      </c>
      <c r="AC32" s="126"/>
    </row>
    <row r="33" spans="1:35" ht="16.2" thickBot="1">
      <c r="A33" s="186"/>
      <c r="B33" s="36"/>
      <c r="C33" s="746" t="s">
        <v>256</v>
      </c>
      <c r="D33" s="746"/>
      <c r="E33" s="746"/>
      <c r="F33" s="746"/>
      <c r="G33" s="746"/>
      <c r="H33" s="746"/>
      <c r="I33" s="746"/>
      <c r="J33" s="746"/>
      <c r="K33" s="746"/>
      <c r="L33" s="746"/>
      <c r="M33" s="746"/>
      <c r="N33" s="746"/>
      <c r="O33" s="746"/>
      <c r="P33" s="746"/>
      <c r="Q33" s="746"/>
      <c r="R33" s="746"/>
      <c r="S33" s="746"/>
      <c r="T33" s="746"/>
      <c r="U33" s="746"/>
      <c r="V33" s="746"/>
      <c r="W33" s="746"/>
      <c r="X33" s="747"/>
      <c r="Y33" s="449">
        <v>4</v>
      </c>
      <c r="Z33" s="451">
        <v>2</v>
      </c>
      <c r="AA33" s="460">
        <v>25865</v>
      </c>
      <c r="AB33" s="127" t="s">
        <v>159</v>
      </c>
      <c r="AC33" s="126"/>
    </row>
    <row r="34" spans="1:35" ht="15.6">
      <c r="A34" s="190"/>
      <c r="B34" s="188"/>
      <c r="C34" s="184"/>
      <c r="D34" s="746" t="s">
        <v>193</v>
      </c>
      <c r="E34" s="746"/>
      <c r="F34" s="746"/>
      <c r="G34" s="746"/>
      <c r="H34" s="746"/>
      <c r="I34" s="746"/>
      <c r="J34" s="746"/>
      <c r="K34" s="746"/>
      <c r="L34" s="746"/>
      <c r="M34" s="746"/>
      <c r="N34" s="746"/>
      <c r="O34" s="746"/>
      <c r="P34" s="746"/>
      <c r="Q34" s="746"/>
      <c r="R34" s="746"/>
      <c r="S34" s="746"/>
      <c r="T34" s="746"/>
      <c r="U34" s="746"/>
      <c r="V34" s="746"/>
      <c r="W34" s="746"/>
      <c r="X34" s="747"/>
      <c r="Y34" s="452">
        <f>SUM(Y31:Y33)</f>
        <v>809</v>
      </c>
      <c r="Z34" s="453">
        <f>SUM(Z31:Z33)</f>
        <v>203</v>
      </c>
      <c r="AA34" s="453">
        <f>SUM(AA31:AA33)</f>
        <v>81370</v>
      </c>
      <c r="AB34" s="127" t="s">
        <v>159</v>
      </c>
      <c r="AC34" s="126"/>
    </row>
    <row r="35" spans="1:35" ht="15.6">
      <c r="A35" s="232"/>
      <c r="B35" s="748" t="s">
        <v>217</v>
      </c>
      <c r="C35" s="748"/>
      <c r="D35" s="748"/>
      <c r="E35" s="748"/>
      <c r="F35" s="748"/>
      <c r="G35" s="748"/>
      <c r="H35" s="748"/>
      <c r="I35" s="748"/>
      <c r="J35" s="748"/>
      <c r="K35" s="748"/>
      <c r="L35" s="748"/>
      <c r="M35" s="748"/>
      <c r="N35" s="748"/>
      <c r="O35" s="748"/>
      <c r="P35" s="748"/>
      <c r="Q35" s="748"/>
      <c r="R35" s="748"/>
      <c r="S35" s="748"/>
      <c r="T35" s="748"/>
      <c r="U35" s="748"/>
      <c r="V35" s="748"/>
      <c r="W35" s="748"/>
      <c r="X35" s="749"/>
      <c r="Y35" s="449"/>
      <c r="Z35" s="453"/>
      <c r="AA35" s="453"/>
      <c r="AB35" s="127" t="s">
        <v>159</v>
      </c>
      <c r="AC35" s="126"/>
    </row>
    <row r="36" spans="1:35" ht="15.6">
      <c r="A36" s="232"/>
      <c r="B36" s="36"/>
      <c r="C36" s="764" t="s">
        <v>334</v>
      </c>
      <c r="D36" s="764"/>
      <c r="E36" s="764"/>
      <c r="F36" s="764"/>
      <c r="G36" s="764"/>
      <c r="H36" s="764"/>
      <c r="I36" s="764"/>
      <c r="J36" s="764"/>
      <c r="K36" s="764"/>
      <c r="L36" s="764"/>
      <c r="M36" s="764"/>
      <c r="N36" s="764"/>
      <c r="O36" s="764"/>
      <c r="P36" s="764"/>
      <c r="Q36" s="764"/>
      <c r="R36" s="764"/>
      <c r="S36" s="764"/>
      <c r="T36" s="764"/>
      <c r="U36" s="764"/>
      <c r="V36" s="764"/>
      <c r="W36" s="764"/>
      <c r="X36" s="765"/>
      <c r="Y36" s="449">
        <v>0</v>
      </c>
      <c r="Z36" s="453">
        <v>0</v>
      </c>
      <c r="AA36" s="453">
        <v>-41000</v>
      </c>
      <c r="AB36" s="127" t="s">
        <v>159</v>
      </c>
      <c r="AC36" s="126"/>
    </row>
    <row r="37" spans="1:35" ht="15.6">
      <c r="A37" s="232"/>
      <c r="B37" s="36"/>
      <c r="C37" s="746" t="s">
        <v>333</v>
      </c>
      <c r="D37" s="746"/>
      <c r="E37" s="746"/>
      <c r="F37" s="746"/>
      <c r="G37" s="746"/>
      <c r="H37" s="746"/>
      <c r="I37" s="746"/>
      <c r="J37" s="746"/>
      <c r="K37" s="746"/>
      <c r="L37" s="746"/>
      <c r="M37" s="746"/>
      <c r="N37" s="746"/>
      <c r="O37" s="746"/>
      <c r="P37" s="746"/>
      <c r="Q37" s="746"/>
      <c r="R37" s="746"/>
      <c r="S37" s="746"/>
      <c r="T37" s="746"/>
      <c r="U37" s="746"/>
      <c r="V37" s="746"/>
      <c r="W37" s="746"/>
      <c r="X37" s="747"/>
      <c r="Y37" s="450">
        <v>0</v>
      </c>
      <c r="Z37" s="449">
        <v>0</v>
      </c>
      <c r="AA37" s="449">
        <v>-3154</v>
      </c>
      <c r="AB37" s="127"/>
      <c r="AC37" s="126"/>
    </row>
    <row r="38" spans="1:35" ht="15.6">
      <c r="A38" s="232"/>
      <c r="B38" s="36"/>
      <c r="C38" s="746" t="s">
        <v>218</v>
      </c>
      <c r="D38" s="746"/>
      <c r="E38" s="746"/>
      <c r="F38" s="746"/>
      <c r="G38" s="746"/>
      <c r="H38" s="746"/>
      <c r="I38" s="746"/>
      <c r="J38" s="746"/>
      <c r="K38" s="746"/>
      <c r="L38" s="746"/>
      <c r="M38" s="746"/>
      <c r="N38" s="746"/>
      <c r="O38" s="746"/>
      <c r="P38" s="746"/>
      <c r="Q38" s="746"/>
      <c r="R38" s="746"/>
      <c r="S38" s="746"/>
      <c r="T38" s="746"/>
      <c r="U38" s="746"/>
      <c r="V38" s="746"/>
      <c r="W38" s="746"/>
      <c r="X38" s="747"/>
      <c r="Y38" s="450">
        <v>0</v>
      </c>
      <c r="Z38" s="434">
        <v>0</v>
      </c>
      <c r="AA38" s="434">
        <v>-2831</v>
      </c>
      <c r="AB38" s="127"/>
      <c r="AC38" s="126"/>
    </row>
    <row r="39" spans="1:35" ht="16.2" thickBot="1">
      <c r="A39" s="232"/>
      <c r="B39" s="36"/>
      <c r="C39" s="746" t="s">
        <v>421</v>
      </c>
      <c r="D39" s="746"/>
      <c r="E39" s="746"/>
      <c r="F39" s="746"/>
      <c r="G39" s="746"/>
      <c r="H39" s="746"/>
      <c r="I39" s="746"/>
      <c r="J39" s="746"/>
      <c r="K39" s="746"/>
      <c r="L39" s="746"/>
      <c r="M39" s="746"/>
      <c r="N39" s="746"/>
      <c r="O39" s="746"/>
      <c r="P39" s="746"/>
      <c r="Q39" s="746"/>
      <c r="R39" s="746"/>
      <c r="S39" s="746"/>
      <c r="T39" s="746"/>
      <c r="U39" s="746"/>
      <c r="V39" s="746"/>
      <c r="W39" s="746"/>
      <c r="X39" s="747"/>
      <c r="Y39" s="450">
        <v>-60</v>
      </c>
      <c r="Z39" s="451">
        <v>-60</v>
      </c>
      <c r="AA39" s="451">
        <v>-11001</v>
      </c>
      <c r="AB39" s="127" t="s">
        <v>159</v>
      </c>
      <c r="AC39" s="126"/>
    </row>
    <row r="40" spans="1:35" ht="16.2" thickBot="1">
      <c r="A40" s="232"/>
      <c r="B40" s="36"/>
      <c r="C40" s="244"/>
      <c r="D40" s="746" t="s">
        <v>219</v>
      </c>
      <c r="E40" s="746"/>
      <c r="F40" s="746"/>
      <c r="G40" s="746"/>
      <c r="H40" s="746"/>
      <c r="I40" s="746"/>
      <c r="J40" s="746"/>
      <c r="K40" s="746"/>
      <c r="L40" s="746"/>
      <c r="M40" s="746"/>
      <c r="N40" s="746"/>
      <c r="O40" s="746"/>
      <c r="P40" s="746"/>
      <c r="Q40" s="746"/>
      <c r="R40" s="746"/>
      <c r="S40" s="746"/>
      <c r="T40" s="746"/>
      <c r="U40" s="746"/>
      <c r="V40" s="746"/>
      <c r="W40" s="746"/>
      <c r="X40" s="747"/>
      <c r="Y40" s="454">
        <f>SUM(Y36:Y39)</f>
        <v>-60</v>
      </c>
      <c r="Z40" s="434">
        <f>SUM(Z36:Z39)</f>
        <v>-60</v>
      </c>
      <c r="AA40" s="462">
        <f>SUM(AA36:AA39)</f>
        <v>-57986</v>
      </c>
      <c r="AB40" s="127" t="s">
        <v>159</v>
      </c>
      <c r="AC40" s="126"/>
    </row>
    <row r="41" spans="1:35" ht="16.2" thickBot="1">
      <c r="A41" s="143"/>
      <c r="B41" s="750" t="s">
        <v>39</v>
      </c>
      <c r="C41" s="750"/>
      <c r="D41" s="750"/>
      <c r="E41" s="750"/>
      <c r="F41" s="750"/>
      <c r="G41" s="750"/>
      <c r="H41" s="750"/>
      <c r="I41" s="750"/>
      <c r="J41" s="750"/>
      <c r="K41" s="750"/>
      <c r="L41" s="750"/>
      <c r="M41" s="750"/>
      <c r="N41" s="750"/>
      <c r="O41" s="750"/>
      <c r="P41" s="750"/>
      <c r="Q41" s="750"/>
      <c r="R41" s="750"/>
      <c r="S41" s="750"/>
      <c r="T41" s="750"/>
      <c r="U41" s="750"/>
      <c r="V41" s="750"/>
      <c r="W41" s="750"/>
      <c r="X41" s="750"/>
      <c r="Y41" s="455">
        <f>+Y34+Y40</f>
        <v>749</v>
      </c>
      <c r="Z41" s="455">
        <f>+Z34+Z40</f>
        <v>143</v>
      </c>
      <c r="AA41" s="438">
        <f>+AA34+AA40</f>
        <v>23384</v>
      </c>
      <c r="AB41" s="127" t="s">
        <v>159</v>
      </c>
      <c r="AC41" s="126"/>
    </row>
    <row r="42" spans="1:35" ht="16.2" thickBot="1">
      <c r="A42" s="761" t="s">
        <v>198</v>
      </c>
      <c r="B42" s="762"/>
      <c r="C42" s="762"/>
      <c r="D42" s="762"/>
      <c r="E42" s="762"/>
      <c r="F42" s="762"/>
      <c r="G42" s="762"/>
      <c r="H42" s="762"/>
      <c r="I42" s="762"/>
      <c r="J42" s="762"/>
      <c r="K42" s="762"/>
      <c r="L42" s="762"/>
      <c r="M42" s="762"/>
      <c r="N42" s="762"/>
      <c r="O42" s="762"/>
      <c r="P42" s="762"/>
      <c r="Q42" s="762"/>
      <c r="R42" s="762"/>
      <c r="S42" s="762"/>
      <c r="T42" s="762"/>
      <c r="U42" s="762"/>
      <c r="V42" s="762"/>
      <c r="W42" s="762"/>
      <c r="X42" s="763"/>
      <c r="Y42" s="456">
        <f>+Y41+Y28</f>
        <v>41904</v>
      </c>
      <c r="Z42" s="456">
        <f>+Z41+Z28</f>
        <v>37703</v>
      </c>
      <c r="AA42" s="463">
        <f>+AA41+AA28</f>
        <v>6820217</v>
      </c>
      <c r="AB42" s="127" t="s">
        <v>159</v>
      </c>
      <c r="AC42" s="126"/>
      <c r="AD42" s="34"/>
      <c r="AE42" s="34"/>
      <c r="AF42" s="35"/>
      <c r="AG42" s="35"/>
      <c r="AH42" s="35"/>
      <c r="AI42" s="35"/>
    </row>
    <row r="43" spans="1:35" ht="15.6">
      <c r="A43" s="758" t="s">
        <v>335</v>
      </c>
      <c r="B43" s="759"/>
      <c r="C43" s="759"/>
      <c r="D43" s="759"/>
      <c r="E43" s="759"/>
      <c r="F43" s="759"/>
      <c r="G43" s="759"/>
      <c r="H43" s="759"/>
      <c r="I43" s="759"/>
      <c r="J43" s="759"/>
      <c r="K43" s="759"/>
      <c r="L43" s="759"/>
      <c r="M43" s="759"/>
      <c r="N43" s="759"/>
      <c r="O43" s="759"/>
      <c r="P43" s="759"/>
      <c r="Q43" s="759"/>
      <c r="R43" s="759"/>
      <c r="S43" s="759"/>
      <c r="T43" s="759"/>
      <c r="U43" s="759"/>
      <c r="V43" s="759"/>
      <c r="W43" s="759"/>
      <c r="X43" s="760"/>
      <c r="Y43" s="452">
        <f>+Y42-Y15</f>
        <v>869</v>
      </c>
      <c r="Z43" s="452">
        <f>+Z42-Z15</f>
        <v>756</v>
      </c>
      <c r="AA43" s="452">
        <f>+AA42-AA15</f>
        <v>268936</v>
      </c>
      <c r="AB43" s="127" t="s">
        <v>159</v>
      </c>
      <c r="AC43" s="126"/>
    </row>
    <row r="44" spans="1:35" ht="15.6">
      <c r="A44" s="30"/>
      <c r="B44" s="27"/>
      <c r="C44" s="27"/>
      <c r="D44" s="27"/>
      <c r="E44" s="27"/>
      <c r="F44" s="27"/>
      <c r="G44" s="27"/>
      <c r="H44" s="27"/>
      <c r="I44" s="27"/>
      <c r="J44" s="27"/>
      <c r="K44" s="27"/>
      <c r="L44" s="27"/>
      <c r="M44" s="27"/>
      <c r="N44" s="27"/>
      <c r="O44" s="27"/>
      <c r="P44" s="27"/>
      <c r="Q44" s="27"/>
      <c r="R44" s="27"/>
      <c r="S44" s="27"/>
      <c r="T44" s="27"/>
      <c r="V44" s="30"/>
      <c r="Y44" s="187"/>
      <c r="Z44" s="187"/>
      <c r="AA44" s="187"/>
      <c r="AB44" s="127" t="s">
        <v>159</v>
      </c>
      <c r="AC44" s="126"/>
    </row>
    <row r="45" spans="1:35" ht="15.6">
      <c r="A45" s="280"/>
      <c r="B45" s="280"/>
      <c r="C45" s="280"/>
      <c r="D45" s="280"/>
      <c r="E45" s="280"/>
      <c r="F45" s="280"/>
      <c r="G45" s="280"/>
      <c r="H45" s="280"/>
      <c r="I45" s="280"/>
      <c r="J45" s="280"/>
      <c r="K45" s="280"/>
      <c r="L45" s="280"/>
      <c r="M45" s="280"/>
      <c r="N45" s="280"/>
      <c r="O45" s="280"/>
      <c r="P45" s="280"/>
      <c r="Q45" s="280"/>
      <c r="R45" s="540"/>
      <c r="S45" s="540"/>
      <c r="T45" s="540"/>
      <c r="U45" s="280"/>
      <c r="V45" s="280"/>
      <c r="W45" s="280"/>
      <c r="X45" s="280"/>
      <c r="Y45" s="280"/>
      <c r="Z45" s="280"/>
      <c r="AA45" s="280"/>
      <c r="AB45" s="127" t="s">
        <v>159</v>
      </c>
      <c r="AC45" s="126"/>
      <c r="AD45" s="27"/>
      <c r="AE45" s="27"/>
    </row>
    <row r="46" spans="1:35" ht="15.6">
      <c r="A46" s="280"/>
      <c r="B46" s="280"/>
      <c r="C46" s="280"/>
      <c r="D46" s="280"/>
      <c r="E46" s="280"/>
      <c r="F46" s="280"/>
      <c r="G46" s="280"/>
      <c r="H46" s="280"/>
      <c r="I46" s="280"/>
      <c r="J46" s="280"/>
      <c r="K46" s="280"/>
      <c r="L46" s="280"/>
      <c r="M46" s="280"/>
      <c r="N46" s="280"/>
      <c r="O46" s="280"/>
      <c r="P46" s="280"/>
      <c r="Q46" s="280"/>
      <c r="R46" s="540"/>
      <c r="S46" s="540"/>
      <c r="T46" s="540"/>
      <c r="U46" s="280"/>
      <c r="V46" s="280"/>
      <c r="W46" s="280"/>
      <c r="X46" s="280"/>
      <c r="Y46" s="280"/>
      <c r="Z46" s="280"/>
      <c r="AA46" s="280"/>
      <c r="AB46" s="127" t="s">
        <v>159</v>
      </c>
      <c r="AC46" s="126"/>
      <c r="AD46" s="27"/>
      <c r="AE46" s="27"/>
    </row>
    <row r="47" spans="1:35" ht="15.6">
      <c r="A47" s="280"/>
      <c r="B47" s="280"/>
      <c r="C47" s="280"/>
      <c r="D47" s="280"/>
      <c r="E47" s="280"/>
      <c r="F47" s="280"/>
      <c r="G47" s="280"/>
      <c r="H47" s="280"/>
      <c r="I47" s="280"/>
      <c r="J47" s="280"/>
      <c r="K47" s="280"/>
      <c r="L47" s="280"/>
      <c r="M47" s="280"/>
      <c r="N47" s="280"/>
      <c r="O47" s="280"/>
      <c r="P47" s="280"/>
      <c r="Q47" s="280"/>
      <c r="R47" s="540"/>
      <c r="S47" s="540"/>
      <c r="T47" s="540"/>
      <c r="U47" s="280"/>
      <c r="V47" s="280"/>
      <c r="W47" s="280"/>
      <c r="X47" s="280"/>
      <c r="Y47" s="280"/>
      <c r="Z47" s="280"/>
      <c r="AA47" s="280"/>
      <c r="AB47" s="127" t="s">
        <v>159</v>
      </c>
      <c r="AC47" s="126"/>
      <c r="AD47" s="27"/>
      <c r="AE47" s="27"/>
    </row>
    <row r="48" spans="1:35" ht="15.6">
      <c r="A48" s="27"/>
      <c r="B48" s="27"/>
      <c r="C48" s="27"/>
      <c r="D48" s="27"/>
      <c r="E48" s="27"/>
      <c r="F48" s="27"/>
      <c r="G48" s="27"/>
      <c r="H48" s="27"/>
      <c r="I48" s="27"/>
      <c r="J48" s="280"/>
      <c r="K48" s="280"/>
      <c r="L48" s="280"/>
      <c r="M48" s="27"/>
      <c r="N48" s="27"/>
      <c r="O48" s="27"/>
      <c r="P48" s="27"/>
      <c r="Q48" s="27"/>
      <c r="R48" s="27"/>
      <c r="S48" s="27"/>
      <c r="T48" s="27"/>
      <c r="U48" s="27"/>
      <c r="V48" s="27"/>
      <c r="W48" s="27"/>
      <c r="X48" s="27"/>
      <c r="Y48" s="27"/>
      <c r="Z48" s="27"/>
      <c r="AA48" s="27"/>
      <c r="AB48" s="127" t="s">
        <v>159</v>
      </c>
      <c r="AC48" s="126"/>
      <c r="AD48" s="27"/>
      <c r="AE48" s="27"/>
    </row>
    <row r="49" spans="1:31" ht="21">
      <c r="A49" s="279"/>
      <c r="B49" s="279"/>
      <c r="C49" s="279"/>
      <c r="D49" s="279"/>
      <c r="O49" s="243"/>
      <c r="AB49" s="127" t="s">
        <v>159</v>
      </c>
    </row>
    <row r="50" spans="1:31" ht="15.6">
      <c r="A50" s="280"/>
      <c r="B50" s="280"/>
      <c r="C50" s="280"/>
      <c r="D50" s="280"/>
      <c r="E50" s="280"/>
      <c r="F50" s="280"/>
      <c r="G50" s="280"/>
      <c r="H50" s="280"/>
      <c r="I50" s="280"/>
      <c r="J50" s="280"/>
      <c r="K50" s="280"/>
      <c r="L50" s="280"/>
      <c r="M50" s="280"/>
      <c r="N50" s="280"/>
      <c r="O50" s="280"/>
      <c r="P50" s="280"/>
      <c r="Q50" s="280"/>
      <c r="R50" s="540"/>
      <c r="S50" s="540"/>
      <c r="T50" s="540"/>
      <c r="U50" s="280"/>
      <c r="V50" s="280"/>
      <c r="W50" s="280"/>
      <c r="X50" s="280"/>
      <c r="Y50" s="280"/>
      <c r="Z50" s="280"/>
      <c r="AA50" s="280"/>
      <c r="AB50" s="127" t="s">
        <v>159</v>
      </c>
      <c r="AC50" s="126"/>
      <c r="AD50" s="27"/>
      <c r="AE50" s="27"/>
    </row>
    <row r="51" spans="1:31" ht="15.6">
      <c r="A51" s="280"/>
      <c r="B51" s="280"/>
      <c r="C51" s="280"/>
      <c r="D51" s="280"/>
      <c r="E51" s="280"/>
      <c r="F51" s="280"/>
      <c r="G51" s="280"/>
      <c r="H51" s="280"/>
      <c r="I51" s="280"/>
      <c r="J51" s="280"/>
      <c r="K51" s="280"/>
      <c r="L51" s="280"/>
      <c r="M51" s="280"/>
      <c r="N51" s="280"/>
      <c r="O51" s="280"/>
      <c r="P51" s="280"/>
      <c r="Q51" s="280"/>
      <c r="R51" s="540"/>
      <c r="S51" s="540"/>
      <c r="T51" s="540"/>
      <c r="U51" s="280"/>
      <c r="V51" s="280"/>
      <c r="W51" s="280"/>
      <c r="X51" s="280"/>
      <c r="Y51" s="280"/>
      <c r="Z51" s="280"/>
      <c r="AA51" s="280"/>
      <c r="AB51" s="127" t="s">
        <v>159</v>
      </c>
      <c r="AC51" s="126"/>
      <c r="AD51" s="27"/>
      <c r="AE51" s="27"/>
    </row>
    <row r="52" spans="1:31" ht="15.6">
      <c r="A52" s="280"/>
      <c r="B52" s="280"/>
      <c r="C52" s="280"/>
      <c r="D52" s="280"/>
      <c r="E52" s="280"/>
      <c r="F52" s="280"/>
      <c r="G52" s="280"/>
      <c r="H52" s="280"/>
      <c r="I52" s="280"/>
      <c r="J52" s="280"/>
      <c r="K52" s="280"/>
      <c r="L52" s="280"/>
      <c r="M52" s="280"/>
      <c r="N52" s="280"/>
      <c r="O52" s="280"/>
      <c r="P52" s="280"/>
      <c r="Q52" s="280"/>
      <c r="R52" s="540"/>
      <c r="S52" s="540"/>
      <c r="T52" s="540"/>
      <c r="U52" s="280"/>
      <c r="V52" s="280"/>
      <c r="W52" s="280"/>
      <c r="X52" s="280"/>
      <c r="Y52" s="280"/>
      <c r="Z52" s="280"/>
      <c r="AA52" s="280"/>
      <c r="AB52" s="127" t="s">
        <v>159</v>
      </c>
      <c r="AC52" s="126"/>
      <c r="AD52" s="27"/>
      <c r="AE52" s="27"/>
    </row>
    <row r="53" spans="1:31" ht="15.6">
      <c r="A53" s="27"/>
      <c r="B53" s="27"/>
      <c r="C53" s="27"/>
      <c r="D53" s="27"/>
      <c r="E53" s="27"/>
      <c r="F53" s="27"/>
      <c r="G53" s="27"/>
      <c r="H53" s="27"/>
      <c r="I53" s="27"/>
      <c r="J53" s="280"/>
      <c r="K53" s="280"/>
      <c r="L53" s="280"/>
      <c r="M53" s="27"/>
      <c r="N53" s="27"/>
      <c r="O53" s="27"/>
      <c r="P53" s="27"/>
      <c r="Q53" s="27"/>
      <c r="R53" s="27"/>
      <c r="S53" s="27"/>
      <c r="T53" s="27"/>
      <c r="U53" s="27"/>
      <c r="V53" s="27"/>
      <c r="W53" s="27"/>
      <c r="X53" s="27"/>
      <c r="Y53" s="27"/>
      <c r="Z53" s="27"/>
      <c r="AA53" s="27"/>
      <c r="AB53" s="127" t="s">
        <v>159</v>
      </c>
      <c r="AC53" s="126"/>
      <c r="AD53" s="27"/>
      <c r="AE53" s="27"/>
    </row>
    <row r="54" spans="1:31" ht="17.399999999999999">
      <c r="A54" s="745" t="s">
        <v>164</v>
      </c>
      <c r="B54" s="745"/>
      <c r="C54" s="745"/>
      <c r="D54" s="745"/>
      <c r="E54" s="745"/>
      <c r="F54" s="745"/>
      <c r="G54" s="745"/>
      <c r="H54" s="745"/>
      <c r="I54" s="745"/>
      <c r="J54" s="745"/>
      <c r="K54" s="745"/>
      <c r="L54" s="745"/>
      <c r="M54" s="745"/>
      <c r="N54" s="745"/>
      <c r="O54" s="745"/>
      <c r="P54" s="745"/>
      <c r="Q54" s="745"/>
      <c r="R54" s="745"/>
      <c r="S54" s="745"/>
      <c r="T54" s="745"/>
      <c r="U54" s="745"/>
      <c r="V54" s="745"/>
      <c r="W54" s="745"/>
      <c r="X54" s="745"/>
      <c r="Y54" s="745"/>
      <c r="Z54" s="745"/>
      <c r="AA54" s="745"/>
      <c r="AB54" s="127" t="s">
        <v>159</v>
      </c>
      <c r="AC54" s="126"/>
      <c r="AD54" s="27"/>
      <c r="AE54" s="27"/>
    </row>
    <row r="55" spans="1:31" ht="15.6">
      <c r="A55" s="744" t="s">
        <v>30</v>
      </c>
      <c r="B55" s="744"/>
      <c r="C55" s="744"/>
      <c r="D55" s="744"/>
      <c r="E55" s="744"/>
      <c r="F55" s="744"/>
      <c r="G55" s="744"/>
      <c r="H55" s="744"/>
      <c r="I55" s="744"/>
      <c r="J55" s="744"/>
      <c r="K55" s="744"/>
      <c r="L55" s="744"/>
      <c r="M55" s="744"/>
      <c r="N55" s="744"/>
      <c r="O55" s="744"/>
      <c r="P55" s="744"/>
      <c r="Q55" s="744"/>
      <c r="R55" s="744"/>
      <c r="S55" s="744"/>
      <c r="T55" s="744"/>
      <c r="U55" s="744"/>
      <c r="V55" s="744"/>
      <c r="W55" s="744"/>
      <c r="X55" s="744"/>
      <c r="Y55" s="744"/>
      <c r="Z55" s="744"/>
      <c r="AA55" s="744"/>
      <c r="AB55" s="127" t="s">
        <v>159</v>
      </c>
      <c r="AC55" s="126"/>
      <c r="AD55" s="27"/>
      <c r="AE55" s="27"/>
    </row>
    <row r="56" spans="1:31" ht="15.6">
      <c r="A56" s="744" t="s">
        <v>31</v>
      </c>
      <c r="B56" s="744"/>
      <c r="C56" s="744"/>
      <c r="D56" s="744"/>
      <c r="E56" s="744"/>
      <c r="F56" s="744"/>
      <c r="G56" s="744"/>
      <c r="H56" s="744"/>
      <c r="I56" s="744"/>
      <c r="J56" s="744"/>
      <c r="K56" s="744"/>
      <c r="L56" s="744"/>
      <c r="M56" s="744"/>
      <c r="N56" s="744"/>
      <c r="O56" s="744"/>
      <c r="P56" s="744"/>
      <c r="Q56" s="744"/>
      <c r="R56" s="744"/>
      <c r="S56" s="744"/>
      <c r="T56" s="744"/>
      <c r="U56" s="744"/>
      <c r="V56" s="744"/>
      <c r="W56" s="744"/>
      <c r="X56" s="744"/>
      <c r="Y56" s="744"/>
      <c r="Z56" s="744"/>
      <c r="AA56" s="744"/>
      <c r="AB56" s="127" t="s">
        <v>159</v>
      </c>
      <c r="AC56" s="126"/>
      <c r="AD56" s="27"/>
      <c r="AE56" s="27"/>
    </row>
    <row r="57" spans="1:31" ht="15.6">
      <c r="A57" s="744" t="s">
        <v>44</v>
      </c>
      <c r="B57" s="744"/>
      <c r="C57" s="744"/>
      <c r="D57" s="744"/>
      <c r="E57" s="744"/>
      <c r="F57" s="744"/>
      <c r="G57" s="744"/>
      <c r="H57" s="744"/>
      <c r="I57" s="744"/>
      <c r="J57" s="744"/>
      <c r="K57" s="744"/>
      <c r="L57" s="744"/>
      <c r="M57" s="744"/>
      <c r="N57" s="744"/>
      <c r="O57" s="744"/>
      <c r="P57" s="744"/>
      <c r="Q57" s="744"/>
      <c r="R57" s="744"/>
      <c r="S57" s="744"/>
      <c r="T57" s="744"/>
      <c r="U57" s="744"/>
      <c r="V57" s="744"/>
      <c r="W57" s="744"/>
      <c r="X57" s="744"/>
      <c r="Y57" s="744"/>
      <c r="Z57" s="744"/>
      <c r="AA57" s="744"/>
      <c r="AB57" s="127" t="s">
        <v>159</v>
      </c>
      <c r="AC57" s="126"/>
      <c r="AD57" s="27"/>
      <c r="AE57" s="27"/>
    </row>
    <row r="58" spans="1:31" ht="15.6">
      <c r="A58" s="280"/>
      <c r="B58" s="280"/>
      <c r="C58" s="280"/>
      <c r="D58" s="280"/>
      <c r="E58" s="280"/>
      <c r="F58" s="280"/>
      <c r="G58" s="280"/>
      <c r="H58" s="280"/>
      <c r="I58" s="280"/>
      <c r="J58" s="280"/>
      <c r="K58" s="280"/>
      <c r="L58" s="280"/>
      <c r="M58" s="280"/>
      <c r="N58" s="280"/>
      <c r="O58" s="280"/>
      <c r="P58" s="280"/>
      <c r="Q58" s="280"/>
      <c r="R58" s="540"/>
      <c r="S58" s="540"/>
      <c r="T58" s="540"/>
      <c r="U58" s="280"/>
      <c r="V58" s="280"/>
      <c r="W58" s="280"/>
      <c r="X58" s="280"/>
      <c r="Y58" s="280"/>
      <c r="Z58" s="280"/>
      <c r="AA58" s="280"/>
      <c r="AB58" s="127" t="s">
        <v>159</v>
      </c>
      <c r="AC58" s="126"/>
      <c r="AD58" s="27"/>
      <c r="AE58" s="27"/>
    </row>
    <row r="59" spans="1:31" ht="15.6">
      <c r="A59" s="280"/>
      <c r="B59" s="280"/>
      <c r="C59" s="280"/>
      <c r="D59" s="280"/>
      <c r="E59" s="280"/>
      <c r="F59" s="280"/>
      <c r="G59" s="280"/>
      <c r="H59" s="280"/>
      <c r="I59" s="280"/>
      <c r="J59" s="280"/>
      <c r="K59" s="280"/>
      <c r="L59" s="280"/>
      <c r="M59" s="280"/>
      <c r="N59" s="280"/>
      <c r="O59" s="280"/>
      <c r="P59" s="280"/>
      <c r="Q59" s="280"/>
      <c r="R59" s="540"/>
      <c r="S59" s="540"/>
      <c r="T59" s="540"/>
      <c r="U59" s="280"/>
      <c r="V59" s="280"/>
      <c r="W59" s="280"/>
      <c r="X59" s="280"/>
      <c r="Y59" s="280"/>
      <c r="Z59" s="280"/>
      <c r="AA59" s="280"/>
      <c r="AB59" s="127" t="s">
        <v>159</v>
      </c>
      <c r="AC59" s="126"/>
      <c r="AD59" s="27"/>
      <c r="AE59" s="27"/>
    </row>
    <row r="60" spans="1:31" ht="15.6">
      <c r="A60" s="280"/>
      <c r="B60" s="280"/>
      <c r="C60" s="280"/>
      <c r="D60" s="280"/>
      <c r="E60" s="280"/>
      <c r="F60" s="280"/>
      <c r="G60" s="280"/>
      <c r="H60" s="280"/>
      <c r="I60" s="280"/>
      <c r="J60" s="280"/>
      <c r="K60" s="280"/>
      <c r="L60" s="280"/>
      <c r="M60" s="280"/>
      <c r="N60" s="280"/>
      <c r="O60" s="280"/>
      <c r="P60" s="280"/>
      <c r="Q60" s="280"/>
      <c r="R60" s="540"/>
      <c r="S60" s="540"/>
      <c r="T60" s="540"/>
      <c r="U60" s="280"/>
      <c r="V60" s="280"/>
      <c r="W60" s="280"/>
      <c r="X60" s="280"/>
      <c r="Y60" s="280"/>
      <c r="Z60" s="280"/>
      <c r="AA60" s="280"/>
      <c r="AB60" s="127" t="s">
        <v>159</v>
      </c>
      <c r="AC60" s="126"/>
      <c r="AD60" s="27"/>
      <c r="AE60" s="27"/>
    </row>
    <row r="61" spans="1:31" ht="15.6">
      <c r="A61" s="27"/>
      <c r="B61" s="27"/>
      <c r="C61" s="27"/>
      <c r="D61" s="27"/>
      <c r="E61" s="27"/>
      <c r="F61" s="27"/>
      <c r="G61" s="27"/>
      <c r="H61" s="27"/>
      <c r="I61" s="27"/>
      <c r="J61" s="280"/>
      <c r="K61" s="280"/>
      <c r="L61" s="280"/>
      <c r="M61" s="27"/>
      <c r="N61" s="27"/>
      <c r="O61" s="27"/>
      <c r="P61" s="27"/>
      <c r="Q61" s="27"/>
      <c r="R61" s="27"/>
      <c r="S61" s="27"/>
      <c r="T61" s="27"/>
      <c r="U61" s="27"/>
      <c r="V61" s="27"/>
      <c r="W61" s="27"/>
      <c r="X61" s="27"/>
      <c r="Y61" s="27"/>
      <c r="Z61" s="27"/>
      <c r="AA61" s="27"/>
      <c r="AB61" s="127" t="s">
        <v>159</v>
      </c>
      <c r="AC61" s="126"/>
      <c r="AD61" s="27"/>
      <c r="AE61" s="27"/>
    </row>
    <row r="62" spans="1:31" ht="15.6">
      <c r="A62" s="27"/>
      <c r="B62" s="27"/>
      <c r="C62" s="27"/>
      <c r="D62" s="27"/>
      <c r="E62" s="27"/>
      <c r="F62" s="27"/>
      <c r="G62" s="27"/>
      <c r="H62" s="27"/>
      <c r="I62" s="27"/>
      <c r="J62" s="280"/>
      <c r="K62" s="280"/>
      <c r="L62" s="280"/>
      <c r="M62" s="27"/>
      <c r="N62" s="27"/>
      <c r="O62" s="27"/>
      <c r="P62" s="27"/>
      <c r="Q62" s="27"/>
      <c r="R62" s="27"/>
      <c r="S62" s="27"/>
      <c r="T62" s="27"/>
      <c r="U62" s="27"/>
      <c r="V62" s="27"/>
      <c r="W62" s="27"/>
      <c r="X62" s="27"/>
      <c r="Y62" s="27"/>
      <c r="Z62" s="27"/>
      <c r="AA62" s="27"/>
      <c r="AB62" s="127" t="s">
        <v>159</v>
      </c>
      <c r="AC62" s="126"/>
      <c r="AD62" s="27"/>
      <c r="AE62" s="27"/>
    </row>
    <row r="63" spans="1:31" ht="15" customHeight="1">
      <c r="A63" s="779"/>
      <c r="B63" s="780"/>
      <c r="C63" s="781"/>
      <c r="D63" s="797" t="s">
        <v>436</v>
      </c>
      <c r="E63" s="798"/>
      <c r="F63" s="799"/>
      <c r="G63" s="803" t="s">
        <v>216</v>
      </c>
      <c r="H63" s="798"/>
      <c r="I63" s="799"/>
      <c r="J63" s="803" t="s">
        <v>336</v>
      </c>
      <c r="K63" s="798"/>
      <c r="L63" s="799"/>
      <c r="M63" s="803" t="s">
        <v>337</v>
      </c>
      <c r="N63" s="798"/>
      <c r="O63" s="798"/>
      <c r="P63" s="773" t="s">
        <v>197</v>
      </c>
      <c r="Q63" s="774"/>
      <c r="R63" s="775"/>
      <c r="S63" s="788" t="s">
        <v>220</v>
      </c>
      <c r="T63" s="789"/>
      <c r="U63" s="790"/>
      <c r="V63" s="788" t="s">
        <v>221</v>
      </c>
      <c r="W63" s="789"/>
      <c r="X63" s="790"/>
      <c r="Y63" s="773" t="s">
        <v>199</v>
      </c>
      <c r="Z63" s="774"/>
      <c r="AA63" s="775"/>
      <c r="AB63" s="127" t="s">
        <v>159</v>
      </c>
      <c r="AC63" s="126"/>
    </row>
    <row r="64" spans="1:31" ht="15.6">
      <c r="A64" s="782"/>
      <c r="B64" s="783"/>
      <c r="C64" s="784"/>
      <c r="D64" s="800"/>
      <c r="E64" s="801"/>
      <c r="F64" s="802"/>
      <c r="G64" s="804"/>
      <c r="H64" s="801"/>
      <c r="I64" s="802"/>
      <c r="J64" s="804"/>
      <c r="K64" s="801"/>
      <c r="L64" s="802"/>
      <c r="M64" s="804"/>
      <c r="N64" s="801"/>
      <c r="O64" s="801"/>
      <c r="P64" s="776"/>
      <c r="Q64" s="777"/>
      <c r="R64" s="778"/>
      <c r="S64" s="791"/>
      <c r="T64" s="792"/>
      <c r="U64" s="793"/>
      <c r="V64" s="791"/>
      <c r="W64" s="792"/>
      <c r="X64" s="793"/>
      <c r="Y64" s="776"/>
      <c r="Z64" s="777"/>
      <c r="AA64" s="778"/>
      <c r="AB64" s="127" t="s">
        <v>159</v>
      </c>
      <c r="AC64" s="126"/>
      <c r="AD64" s="27"/>
      <c r="AE64" s="27"/>
    </row>
    <row r="65" spans="1:35" ht="15.6">
      <c r="A65" s="38" t="s">
        <v>244</v>
      </c>
      <c r="B65" s="40"/>
      <c r="C65" s="41"/>
      <c r="D65" s="202" t="s">
        <v>9</v>
      </c>
      <c r="E65" s="202" t="s">
        <v>11</v>
      </c>
      <c r="F65" s="44" t="s">
        <v>10</v>
      </c>
      <c r="G65" s="203" t="s">
        <v>12</v>
      </c>
      <c r="H65" s="204" t="s">
        <v>13</v>
      </c>
      <c r="I65" s="45" t="s">
        <v>10</v>
      </c>
      <c r="J65" s="205" t="s">
        <v>14</v>
      </c>
      <c r="K65" s="202" t="s">
        <v>13</v>
      </c>
      <c r="L65" s="43" t="s">
        <v>10</v>
      </c>
      <c r="M65" s="205" t="s">
        <v>14</v>
      </c>
      <c r="N65" s="202" t="s">
        <v>13</v>
      </c>
      <c r="O65" s="43" t="s">
        <v>10</v>
      </c>
      <c r="P65" s="29" t="s">
        <v>12</v>
      </c>
      <c r="Q65" s="29" t="s">
        <v>13</v>
      </c>
      <c r="R65" s="185" t="s">
        <v>10</v>
      </c>
      <c r="S65" s="29" t="s">
        <v>15</v>
      </c>
      <c r="T65" s="29" t="s">
        <v>11</v>
      </c>
      <c r="U65" s="185" t="s">
        <v>10</v>
      </c>
      <c r="V65" s="29" t="s">
        <v>12</v>
      </c>
      <c r="W65" s="29" t="s">
        <v>16</v>
      </c>
      <c r="X65" s="185" t="s">
        <v>104</v>
      </c>
      <c r="Y65" s="207" t="s">
        <v>12</v>
      </c>
      <c r="Z65" s="207" t="s">
        <v>20</v>
      </c>
      <c r="AA65" s="189" t="s">
        <v>21</v>
      </c>
      <c r="AB65" s="127" t="s">
        <v>159</v>
      </c>
      <c r="AC65" s="126"/>
      <c r="AD65" s="27"/>
      <c r="AE65" s="27"/>
    </row>
    <row r="66" spans="1:35" ht="15.6">
      <c r="A66" s="794" t="s">
        <v>40</v>
      </c>
      <c r="B66" s="770"/>
      <c r="C66" s="771"/>
      <c r="D66" s="430">
        <v>14705</v>
      </c>
      <c r="E66" s="430">
        <v>12697</v>
      </c>
      <c r="F66" s="431">
        <v>2294174</v>
      </c>
      <c r="G66" s="432">
        <v>14705</v>
      </c>
      <c r="H66" s="432">
        <v>12697</v>
      </c>
      <c r="I66" s="433">
        <v>2294174</v>
      </c>
      <c r="J66" s="303">
        <v>15003</v>
      </c>
      <c r="K66" s="434">
        <v>13021</v>
      </c>
      <c r="L66" s="557">
        <v>2421272</v>
      </c>
      <c r="M66" s="303">
        <v>120</v>
      </c>
      <c r="N66" s="434">
        <v>338</v>
      </c>
      <c r="O66" s="435">
        <v>121860</v>
      </c>
      <c r="P66" s="432">
        <f>+J66+M66</f>
        <v>15123</v>
      </c>
      <c r="Q66" s="432">
        <f>+N66+K66</f>
        <v>13359</v>
      </c>
      <c r="R66" s="433">
        <f>+O66+L66</f>
        <v>2543132</v>
      </c>
      <c r="S66" s="432">
        <f>133+146</f>
        <v>279</v>
      </c>
      <c r="T66" s="432">
        <f>33+37</f>
        <v>70</v>
      </c>
      <c r="U66" s="433">
        <f>9389+9665</f>
        <v>19054</v>
      </c>
      <c r="V66" s="432">
        <v>0</v>
      </c>
      <c r="W66" s="432">
        <v>0</v>
      </c>
      <c r="X66" s="433">
        <f>-18545-1577</f>
        <v>-20122</v>
      </c>
      <c r="Y66" s="432">
        <f>+V66+S66+P66</f>
        <v>15402</v>
      </c>
      <c r="Z66" s="432">
        <f>+W66+T66+Q66</f>
        <v>13429</v>
      </c>
      <c r="AA66" s="433">
        <f>+X66+U66+R66</f>
        <v>2542064</v>
      </c>
      <c r="AB66" s="127" t="s">
        <v>159</v>
      </c>
      <c r="AC66" s="126"/>
      <c r="AD66" s="27"/>
      <c r="AE66" s="27"/>
    </row>
    <row r="67" spans="1:35" ht="15.6">
      <c r="A67" s="794" t="s">
        <v>41</v>
      </c>
      <c r="B67" s="795"/>
      <c r="C67" s="796"/>
      <c r="D67" s="430">
        <v>23868</v>
      </c>
      <c r="E67" s="430">
        <v>21705</v>
      </c>
      <c r="F67" s="430">
        <v>2783664</v>
      </c>
      <c r="G67" s="430">
        <v>23868</v>
      </c>
      <c r="H67" s="430">
        <v>21705</v>
      </c>
      <c r="I67" s="436">
        <v>2783664</v>
      </c>
      <c r="J67" s="303">
        <v>24326</v>
      </c>
      <c r="K67" s="434">
        <v>22220</v>
      </c>
      <c r="L67" s="434">
        <v>2880290</v>
      </c>
      <c r="M67" s="303">
        <v>0</v>
      </c>
      <c r="N67" s="434">
        <v>275</v>
      </c>
      <c r="O67" s="435">
        <v>94955</v>
      </c>
      <c r="P67" s="430">
        <f t="shared" ref="P67:P69" si="0">+J67+M67</f>
        <v>24326</v>
      </c>
      <c r="Q67" s="430">
        <f t="shared" ref="Q67:Q69" si="1">+N67+K67</f>
        <v>22495</v>
      </c>
      <c r="R67" s="436">
        <f t="shared" ref="R67:R69" si="2">+O67+L67</f>
        <v>2975245</v>
      </c>
      <c r="S67" s="430">
        <v>526</v>
      </c>
      <c r="T67" s="430">
        <f>71+60</f>
        <v>131</v>
      </c>
      <c r="U67" s="436">
        <f>19032+17419</f>
        <v>36451</v>
      </c>
      <c r="V67" s="430">
        <v>0</v>
      </c>
      <c r="W67" s="430">
        <v>0</v>
      </c>
      <c r="X67" s="436">
        <f>-2831-22455-1577</f>
        <v>-26863</v>
      </c>
      <c r="Y67" s="430">
        <f t="shared" ref="Y67:Y69" si="3">+V67+S67+P67</f>
        <v>24852</v>
      </c>
      <c r="Z67" s="430">
        <f t="shared" ref="Z67:Z69" si="4">+W67+T67+Q67</f>
        <v>22626</v>
      </c>
      <c r="AA67" s="436">
        <f t="shared" ref="AA67:AA69" si="5">+X67+U67+R67</f>
        <v>2984833</v>
      </c>
      <c r="AB67" s="127" t="s">
        <v>159</v>
      </c>
      <c r="AC67" s="126"/>
      <c r="AD67" s="27"/>
      <c r="AE67" s="30" t="s">
        <v>113</v>
      </c>
      <c r="AF67" s="30" t="s">
        <v>113</v>
      </c>
      <c r="AG67" s="30" t="s">
        <v>113</v>
      </c>
      <c r="AH67" s="27"/>
      <c r="AI67" s="27"/>
    </row>
    <row r="68" spans="1:35" ht="15.6">
      <c r="A68" s="794" t="s">
        <v>42</v>
      </c>
      <c r="B68" s="795"/>
      <c r="C68" s="796"/>
      <c r="D68" s="430">
        <v>413</v>
      </c>
      <c r="E68" s="430">
        <v>413</v>
      </c>
      <c r="F68" s="430">
        <v>996772</v>
      </c>
      <c r="G68" s="436">
        <v>413</v>
      </c>
      <c r="H68" s="430">
        <v>413</v>
      </c>
      <c r="I68" s="436">
        <v>996772</v>
      </c>
      <c r="J68" s="303">
        <v>413</v>
      </c>
      <c r="K68" s="434">
        <v>413</v>
      </c>
      <c r="L68" s="434">
        <v>1040213</v>
      </c>
      <c r="M68" s="303">
        <v>0</v>
      </c>
      <c r="N68" s="434">
        <v>0</v>
      </c>
      <c r="O68" s="435">
        <v>22670</v>
      </c>
      <c r="P68" s="430">
        <f t="shared" si="0"/>
        <v>413</v>
      </c>
      <c r="Q68" s="430">
        <f t="shared" si="1"/>
        <v>413</v>
      </c>
      <c r="R68" s="436">
        <f t="shared" si="2"/>
        <v>1062883</v>
      </c>
      <c r="S68" s="430">
        <v>4</v>
      </c>
      <c r="T68" s="430">
        <v>2</v>
      </c>
      <c r="U68" s="436">
        <v>25865</v>
      </c>
      <c r="V68" s="430">
        <v>0</v>
      </c>
      <c r="W68" s="430">
        <v>0</v>
      </c>
      <c r="X68" s="430">
        <v>0</v>
      </c>
      <c r="Y68" s="430">
        <f t="shared" si="3"/>
        <v>417</v>
      </c>
      <c r="Z68" s="430">
        <f t="shared" si="4"/>
        <v>415</v>
      </c>
      <c r="AA68" s="436">
        <f t="shared" si="5"/>
        <v>1088748</v>
      </c>
      <c r="AB68" s="127" t="s">
        <v>159</v>
      </c>
      <c r="AC68" s="126"/>
      <c r="AD68" s="27"/>
      <c r="AE68" s="27"/>
      <c r="AF68" s="27"/>
      <c r="AG68" s="27"/>
      <c r="AH68" s="27"/>
      <c r="AI68" s="27"/>
    </row>
    <row r="69" spans="1:35" ht="15.6">
      <c r="A69" s="785" t="s">
        <v>165</v>
      </c>
      <c r="B69" s="786"/>
      <c r="C69" s="787"/>
      <c r="D69" s="437">
        <v>1293</v>
      </c>
      <c r="E69" s="437">
        <v>1293</v>
      </c>
      <c r="F69" s="437">
        <v>207800</v>
      </c>
      <c r="G69" s="438">
        <v>1293</v>
      </c>
      <c r="H69" s="438">
        <v>1293</v>
      </c>
      <c r="I69" s="439">
        <v>207800</v>
      </c>
      <c r="J69" s="303">
        <v>1293</v>
      </c>
      <c r="K69" s="434">
        <v>1293</v>
      </c>
      <c r="L69" s="558">
        <v>209506</v>
      </c>
      <c r="M69" s="303">
        <v>0</v>
      </c>
      <c r="N69" s="434">
        <v>0</v>
      </c>
      <c r="O69" s="435">
        <v>6067</v>
      </c>
      <c r="P69" s="430">
        <f t="shared" si="0"/>
        <v>1293</v>
      </c>
      <c r="Q69" s="438">
        <f t="shared" si="1"/>
        <v>1293</v>
      </c>
      <c r="R69" s="439">
        <f t="shared" si="2"/>
        <v>215573</v>
      </c>
      <c r="S69" s="438">
        <v>0</v>
      </c>
      <c r="T69" s="438">
        <v>0</v>
      </c>
      <c r="U69" s="439">
        <v>0</v>
      </c>
      <c r="V69" s="438">
        <v>-60</v>
      </c>
      <c r="W69" s="438">
        <v>-60</v>
      </c>
      <c r="X69" s="439">
        <v>-11001</v>
      </c>
      <c r="Y69" s="438">
        <f t="shared" si="3"/>
        <v>1233</v>
      </c>
      <c r="Z69" s="438">
        <f t="shared" si="4"/>
        <v>1233</v>
      </c>
      <c r="AA69" s="439">
        <f t="shared" si="5"/>
        <v>204572</v>
      </c>
      <c r="AB69" s="127" t="s">
        <v>159</v>
      </c>
      <c r="AC69" s="126"/>
      <c r="AD69" s="27"/>
      <c r="AE69" s="27"/>
      <c r="AF69" s="27"/>
      <c r="AG69" s="27"/>
      <c r="AH69" s="27"/>
      <c r="AI69" s="27"/>
    </row>
    <row r="70" spans="1:35" ht="15.6">
      <c r="A70" s="805" t="s">
        <v>32</v>
      </c>
      <c r="B70" s="806"/>
      <c r="C70" s="807"/>
      <c r="D70" s="424">
        <f>SUM(D66:D69)</f>
        <v>40279</v>
      </c>
      <c r="E70" s="424">
        <f t="shared" ref="E70:AA70" si="6">SUM(E66:E69)</f>
        <v>36108</v>
      </c>
      <c r="F70" s="425">
        <f t="shared" si="6"/>
        <v>6282410</v>
      </c>
      <c r="G70" s="426">
        <f t="shared" si="6"/>
        <v>40279</v>
      </c>
      <c r="H70" s="426">
        <f t="shared" si="6"/>
        <v>36108</v>
      </c>
      <c r="I70" s="427">
        <f t="shared" si="6"/>
        <v>6282410</v>
      </c>
      <c r="J70" s="426">
        <f t="shared" si="6"/>
        <v>41035</v>
      </c>
      <c r="K70" s="426">
        <f t="shared" si="6"/>
        <v>36947</v>
      </c>
      <c r="L70" s="428">
        <f t="shared" si="6"/>
        <v>6551281</v>
      </c>
      <c r="M70" s="426">
        <f t="shared" ref="M70:O70" si="7">SUM(M66:M69)</f>
        <v>120</v>
      </c>
      <c r="N70" s="426">
        <f t="shared" si="7"/>
        <v>613</v>
      </c>
      <c r="O70" s="428">
        <f t="shared" si="7"/>
        <v>245552</v>
      </c>
      <c r="P70" s="426">
        <f t="shared" si="6"/>
        <v>41155</v>
      </c>
      <c r="Q70" s="426">
        <f t="shared" si="6"/>
        <v>37560</v>
      </c>
      <c r="R70" s="568">
        <f>SUM(R66:R69)</f>
        <v>6796833</v>
      </c>
      <c r="S70" s="426">
        <f>SUM(S66:S69)</f>
        <v>809</v>
      </c>
      <c r="T70" s="426">
        <f>SUM(T66:T69)</f>
        <v>203</v>
      </c>
      <c r="U70" s="428">
        <f>SUM(U66:U69)</f>
        <v>81370</v>
      </c>
      <c r="V70" s="565">
        <f t="shared" si="6"/>
        <v>-60</v>
      </c>
      <c r="W70" s="565">
        <f t="shared" si="6"/>
        <v>-60</v>
      </c>
      <c r="X70" s="562">
        <f t="shared" si="6"/>
        <v>-57986</v>
      </c>
      <c r="Y70" s="426">
        <f t="shared" si="6"/>
        <v>41904</v>
      </c>
      <c r="Z70" s="426">
        <f t="shared" si="6"/>
        <v>37703</v>
      </c>
      <c r="AA70" s="429">
        <f t="shared" si="6"/>
        <v>6820217</v>
      </c>
      <c r="AB70" s="127" t="s">
        <v>159</v>
      </c>
      <c r="AC70" s="126"/>
      <c r="AD70" s="27"/>
    </row>
    <row r="71" spans="1:35" ht="31.5" customHeight="1">
      <c r="A71" s="38" t="s">
        <v>8</v>
      </c>
      <c r="B71" s="39"/>
      <c r="C71" s="42"/>
      <c r="D71" s="33"/>
      <c r="E71" s="33">
        <v>136</v>
      </c>
      <c r="F71" s="421"/>
      <c r="G71" s="167"/>
      <c r="H71" s="167">
        <v>136</v>
      </c>
      <c r="I71" s="42"/>
      <c r="J71" s="206"/>
      <c r="K71" s="31">
        <v>136</v>
      </c>
      <c r="L71" s="421"/>
      <c r="M71" s="421"/>
      <c r="N71" s="561">
        <v>0</v>
      </c>
      <c r="O71" s="559"/>
      <c r="P71" s="167"/>
      <c r="Q71" s="167">
        <v>136</v>
      </c>
      <c r="R71" s="42"/>
      <c r="S71" s="167"/>
      <c r="T71" s="167">
        <v>0</v>
      </c>
      <c r="U71" s="421"/>
      <c r="V71" s="566"/>
      <c r="W71" s="566">
        <v>0</v>
      </c>
      <c r="X71" s="563"/>
      <c r="Y71" s="167"/>
      <c r="Z71" s="167">
        <v>136</v>
      </c>
      <c r="AA71" s="421"/>
      <c r="AB71" s="127" t="s">
        <v>159</v>
      </c>
      <c r="AC71" s="126"/>
      <c r="AD71" s="27"/>
      <c r="AF71" s="30" t="s">
        <v>113</v>
      </c>
      <c r="AG71" s="30" t="s">
        <v>113</v>
      </c>
    </row>
    <row r="72" spans="1:35" ht="15.6">
      <c r="A72" s="757" t="s">
        <v>338</v>
      </c>
      <c r="B72" s="748"/>
      <c r="C72" s="749"/>
      <c r="D72" s="190"/>
      <c r="E72" s="191">
        <f t="shared" ref="E72" si="8">SUM(E70:E71)</f>
        <v>36244</v>
      </c>
      <c r="F72" s="422"/>
      <c r="G72" s="190"/>
      <c r="H72" s="191"/>
      <c r="I72" s="191"/>
      <c r="J72" s="191"/>
      <c r="K72" s="191">
        <f t="shared" ref="K72:Z72" si="9">SUM(K70:K71)</f>
        <v>37083</v>
      </c>
      <c r="L72" s="422"/>
      <c r="M72" s="422"/>
      <c r="N72" s="560">
        <f>SUM(N70:N71)</f>
        <v>613</v>
      </c>
      <c r="O72" s="422"/>
      <c r="P72" s="191"/>
      <c r="Q72" s="191">
        <f t="shared" si="9"/>
        <v>37696</v>
      </c>
      <c r="R72" s="542"/>
      <c r="S72" s="191"/>
      <c r="T72" s="191">
        <f>SUM(T70:T71)</f>
        <v>203</v>
      </c>
      <c r="U72" s="422"/>
      <c r="V72" s="567"/>
      <c r="W72" s="567">
        <f t="shared" si="9"/>
        <v>-60</v>
      </c>
      <c r="X72" s="564"/>
      <c r="Y72" s="191"/>
      <c r="Z72" s="191">
        <f t="shared" si="9"/>
        <v>37839</v>
      </c>
      <c r="AA72" s="423"/>
      <c r="AB72" s="127" t="s">
        <v>161</v>
      </c>
      <c r="AC72" s="126"/>
      <c r="AD72" s="27"/>
      <c r="AF72" s="27"/>
    </row>
    <row r="73" spans="1:35" ht="15.6">
      <c r="A73" s="772" t="s">
        <v>113</v>
      </c>
      <c r="B73" s="772"/>
      <c r="C73" s="772"/>
      <c r="D73" s="772"/>
      <c r="E73" s="772"/>
      <c r="F73" s="772"/>
      <c r="G73" s="772"/>
      <c r="H73" s="772"/>
      <c r="I73" s="772"/>
      <c r="J73" s="772"/>
      <c r="K73" s="772"/>
      <c r="L73" s="772"/>
      <c r="M73" s="772"/>
      <c r="N73" s="772"/>
      <c r="O73" s="772"/>
      <c r="P73" s="772"/>
      <c r="Q73" s="772"/>
      <c r="R73" s="772"/>
      <c r="S73" s="772"/>
      <c r="T73" s="772"/>
      <c r="U73" s="772"/>
      <c r="V73" s="772"/>
      <c r="W73" s="772"/>
      <c r="X73" s="772"/>
      <c r="Y73" s="772"/>
      <c r="Z73" s="772"/>
      <c r="AA73" s="772"/>
      <c r="AC73" s="27"/>
      <c r="AD73" s="27"/>
    </row>
    <row r="74" spans="1:35" ht="15.6">
      <c r="A74" s="27" t="s">
        <v>440</v>
      </c>
      <c r="B74" s="27"/>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row>
    <row r="75" spans="1:35" ht="15.6">
      <c r="A75" s="27" t="s">
        <v>441</v>
      </c>
      <c r="B75" s="27"/>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row>
    <row r="76" spans="1:35" ht="15.6">
      <c r="A76" s="27"/>
      <c r="B76" s="27"/>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row>
    <row r="77" spans="1:35" ht="15.6">
      <c r="A77" s="27"/>
      <c r="B77" s="27"/>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row>
    <row r="78" spans="1:35" ht="15.6">
      <c r="A78" s="27"/>
      <c r="B78" s="27"/>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row>
    <row r="79" spans="1:35" ht="15.6">
      <c r="A79" s="27"/>
      <c r="B79" s="27"/>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row>
    <row r="80" spans="1:35" ht="15.6">
      <c r="A80" s="27"/>
      <c r="B80" s="27"/>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row>
    <row r="81" spans="1:31" ht="15.6">
      <c r="A81" s="27"/>
      <c r="B81" s="27"/>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row>
    <row r="82" spans="1:31" ht="15.6">
      <c r="A82" s="27"/>
      <c r="B82" s="27"/>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row>
    <row r="83" spans="1:31" ht="15.6">
      <c r="A83" s="27"/>
      <c r="B83" s="27"/>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row>
    <row r="84" spans="1:31" ht="15.6">
      <c r="A84" s="27"/>
      <c r="B84" s="27"/>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row>
    <row r="85" spans="1:31" ht="15.6">
      <c r="A85" s="27"/>
      <c r="B85" s="27"/>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row>
    <row r="86" spans="1:31" ht="15.6">
      <c r="A86" s="27"/>
      <c r="B86" s="27"/>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row>
    <row r="87" spans="1:31" ht="15.6">
      <c r="A87" s="27"/>
      <c r="B87" s="27"/>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row>
    <row r="88" spans="1:31" ht="15.6">
      <c r="A88" s="27"/>
      <c r="B88" s="27"/>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row>
    <row r="89" spans="1:31" ht="15.6">
      <c r="A89" s="27"/>
      <c r="B89" s="27"/>
      <c r="C89" s="27"/>
      <c r="D89" s="27"/>
      <c r="E89" s="27"/>
      <c r="F89" s="27"/>
      <c r="G89" s="27"/>
      <c r="H89" s="27"/>
      <c r="I89" s="27"/>
      <c r="J89" s="27"/>
      <c r="K89" s="27"/>
      <c r="L89" s="27"/>
      <c r="M89" s="27"/>
      <c r="N89" s="27"/>
      <c r="O89" s="27"/>
      <c r="P89" s="27"/>
      <c r="Q89" s="27"/>
      <c r="R89" s="27"/>
      <c r="S89" s="27"/>
      <c r="T89" s="27"/>
      <c r="U89" s="27"/>
      <c r="V89" s="27"/>
      <c r="W89" s="27"/>
      <c r="X89" s="27"/>
      <c r="Y89" s="27"/>
      <c r="Z89" s="27"/>
      <c r="AA89" s="27"/>
      <c r="AB89" s="27"/>
      <c r="AC89" s="27"/>
      <c r="AD89" s="27"/>
      <c r="AE89" s="27"/>
    </row>
    <row r="90" spans="1:31" ht="15.6">
      <c r="A90" s="27"/>
      <c r="B90" s="27"/>
      <c r="C90" s="27"/>
      <c r="D90" s="27"/>
      <c r="E90" s="27"/>
      <c r="F90" s="27"/>
      <c r="G90" s="27"/>
      <c r="H90" s="27"/>
      <c r="I90" s="27"/>
      <c r="J90" s="27"/>
      <c r="K90" s="27"/>
      <c r="L90" s="27"/>
      <c r="M90" s="27"/>
      <c r="N90" s="27"/>
      <c r="O90" s="27"/>
      <c r="P90" s="27"/>
      <c r="Q90" s="27"/>
      <c r="R90" s="27"/>
      <c r="S90" s="27"/>
      <c r="T90" s="27"/>
      <c r="U90" s="27"/>
      <c r="V90" s="27"/>
      <c r="W90" s="27"/>
      <c r="X90" s="27"/>
      <c r="Y90" s="27"/>
      <c r="Z90" s="27"/>
      <c r="AA90" s="27"/>
      <c r="AB90" s="27"/>
      <c r="AC90" s="27"/>
      <c r="AD90" s="27"/>
      <c r="AE90" s="27"/>
    </row>
    <row r="91" spans="1:31" ht="15.6">
      <c r="A91" s="27"/>
      <c r="B91" s="27"/>
      <c r="C91" s="27"/>
      <c r="D91" s="27"/>
      <c r="E91" s="27"/>
      <c r="F91" s="27"/>
      <c r="G91" s="27"/>
      <c r="H91" s="27"/>
      <c r="I91" s="27"/>
      <c r="J91" s="27"/>
      <c r="K91" s="27"/>
      <c r="L91" s="27"/>
      <c r="M91" s="27"/>
      <c r="N91" s="27"/>
      <c r="O91" s="27"/>
      <c r="P91" s="27"/>
      <c r="Q91" s="27"/>
      <c r="R91" s="27"/>
      <c r="S91" s="27"/>
      <c r="T91" s="27"/>
      <c r="U91" s="27"/>
      <c r="V91" s="27"/>
      <c r="W91" s="27"/>
      <c r="X91" s="27"/>
      <c r="Y91" s="27"/>
      <c r="Z91" s="27"/>
      <c r="AA91" s="27"/>
      <c r="AB91" s="27"/>
      <c r="AC91" s="27"/>
      <c r="AD91" s="27"/>
      <c r="AE91" s="27"/>
    </row>
    <row r="92" spans="1:31" ht="15.6">
      <c r="A92" s="27"/>
      <c r="B92" s="27"/>
      <c r="C92" s="27"/>
      <c r="D92" s="27"/>
      <c r="E92" s="27"/>
      <c r="F92" s="27"/>
      <c r="G92" s="27"/>
      <c r="H92" s="27"/>
      <c r="I92" s="27"/>
      <c r="J92" s="27"/>
      <c r="K92" s="27"/>
      <c r="L92" s="27"/>
      <c r="M92" s="27"/>
      <c r="N92" s="27"/>
      <c r="O92" s="27"/>
      <c r="P92" s="27"/>
      <c r="Q92" s="27"/>
      <c r="R92" s="27"/>
      <c r="S92" s="27"/>
      <c r="T92" s="27"/>
      <c r="U92" s="27"/>
      <c r="V92" s="27"/>
      <c r="W92" s="27"/>
      <c r="X92" s="27"/>
      <c r="Y92" s="27"/>
      <c r="Z92" s="27"/>
      <c r="AA92" s="27"/>
      <c r="AB92" s="27"/>
      <c r="AC92" s="27"/>
      <c r="AD92" s="27"/>
      <c r="AE92" s="27"/>
    </row>
    <row r="93" spans="1:31" ht="15.6">
      <c r="A93" s="27"/>
      <c r="B93" s="27"/>
      <c r="C93" s="27"/>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row>
    <row r="94" spans="1:31" ht="15.6">
      <c r="A94" s="27"/>
      <c r="B94" s="27"/>
      <c r="C94" s="27"/>
      <c r="D94" s="27"/>
      <c r="E94" s="27"/>
      <c r="F94" s="27"/>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row>
    <row r="95" spans="1:31" ht="15.6">
      <c r="A95" s="27"/>
      <c r="B95" s="27"/>
      <c r="C95" s="27"/>
      <c r="D95" s="27"/>
      <c r="E95" s="27"/>
      <c r="F95" s="27"/>
      <c r="G95" s="27"/>
      <c r="H95" s="27"/>
      <c r="I95" s="27"/>
      <c r="J95" s="27"/>
      <c r="K95" s="27"/>
      <c r="L95" s="27"/>
      <c r="M95" s="27"/>
      <c r="N95" s="27"/>
      <c r="O95" s="27"/>
      <c r="P95" s="27"/>
      <c r="Q95" s="27"/>
      <c r="R95" s="27"/>
      <c r="S95" s="27"/>
      <c r="T95" s="27"/>
      <c r="U95" s="27"/>
      <c r="V95" s="27"/>
      <c r="W95" s="27"/>
      <c r="X95" s="27"/>
      <c r="Y95" s="27"/>
      <c r="Z95" s="27"/>
      <c r="AA95" s="27"/>
      <c r="AB95" s="27"/>
      <c r="AC95" s="27"/>
      <c r="AD95" s="27"/>
      <c r="AE95" s="27"/>
    </row>
    <row r="96" spans="1:31" ht="15.6">
      <c r="A96" s="27"/>
      <c r="B96" s="27"/>
      <c r="C96" s="27"/>
      <c r="D96" s="27"/>
      <c r="E96" s="27"/>
      <c r="F96" s="27"/>
      <c r="G96" s="27"/>
      <c r="H96" s="27"/>
      <c r="I96" s="27"/>
      <c r="J96" s="27"/>
      <c r="K96" s="27"/>
      <c r="L96" s="27"/>
      <c r="M96" s="27"/>
      <c r="N96" s="27"/>
      <c r="O96" s="27"/>
      <c r="P96" s="27"/>
      <c r="Q96" s="27"/>
      <c r="R96" s="27"/>
      <c r="S96" s="27"/>
      <c r="T96" s="27"/>
      <c r="U96" s="27"/>
      <c r="V96" s="27"/>
      <c r="W96" s="27"/>
      <c r="X96" s="27"/>
      <c r="Y96" s="27"/>
      <c r="Z96" s="27"/>
      <c r="AA96" s="27"/>
      <c r="AB96" s="27"/>
      <c r="AC96" s="27"/>
      <c r="AD96" s="27"/>
      <c r="AE96" s="27"/>
    </row>
    <row r="97" spans="1:31" ht="15.6">
      <c r="A97" s="27"/>
      <c r="B97" s="27"/>
      <c r="C97" s="27"/>
      <c r="D97" s="27"/>
      <c r="E97" s="27"/>
      <c r="F97" s="27"/>
      <c r="G97" s="27"/>
      <c r="H97" s="27"/>
      <c r="I97" s="27"/>
      <c r="J97" s="27"/>
      <c r="K97" s="27"/>
      <c r="L97" s="27"/>
      <c r="M97" s="27"/>
      <c r="N97" s="27"/>
      <c r="O97" s="27"/>
      <c r="P97" s="27"/>
      <c r="Q97" s="27"/>
      <c r="R97" s="27"/>
      <c r="S97" s="27"/>
      <c r="T97" s="27"/>
      <c r="U97" s="27"/>
      <c r="V97" s="27"/>
      <c r="W97" s="27"/>
      <c r="X97" s="27"/>
      <c r="Y97" s="27"/>
      <c r="Z97" s="27"/>
      <c r="AA97" s="27"/>
      <c r="AB97" s="27"/>
      <c r="AC97" s="27"/>
      <c r="AD97" s="27"/>
      <c r="AE97" s="27"/>
    </row>
    <row r="98" spans="1:31" ht="15.6">
      <c r="A98" s="27"/>
      <c r="B98" s="27"/>
      <c r="C98" s="27"/>
      <c r="D98" s="27"/>
      <c r="E98" s="27"/>
      <c r="F98" s="27"/>
      <c r="G98" s="27"/>
      <c r="H98" s="27"/>
      <c r="I98" s="27"/>
      <c r="J98" s="27"/>
      <c r="K98" s="27"/>
      <c r="L98" s="27"/>
      <c r="M98" s="27"/>
      <c r="N98" s="27"/>
      <c r="O98" s="27"/>
      <c r="P98" s="27"/>
      <c r="Q98" s="27"/>
      <c r="R98" s="27"/>
      <c r="S98" s="27"/>
      <c r="T98" s="27"/>
      <c r="U98" s="27"/>
      <c r="V98" s="27"/>
      <c r="W98" s="27"/>
      <c r="X98" s="27"/>
      <c r="Y98" s="27"/>
      <c r="Z98" s="27"/>
      <c r="AA98" s="27"/>
      <c r="AB98" s="27"/>
      <c r="AC98" s="27"/>
      <c r="AD98" s="27"/>
      <c r="AE98" s="27"/>
    </row>
    <row r="99" spans="1:31" ht="15.6">
      <c r="A99" s="27"/>
      <c r="B99" s="27"/>
      <c r="C99" s="27"/>
      <c r="D99" s="27"/>
      <c r="E99" s="27"/>
      <c r="F99" s="27"/>
      <c r="G99" s="27"/>
      <c r="H99" s="27"/>
      <c r="I99" s="27"/>
      <c r="J99" s="27"/>
      <c r="K99" s="27"/>
      <c r="L99" s="27"/>
      <c r="M99" s="27"/>
      <c r="N99" s="27"/>
      <c r="O99" s="27"/>
      <c r="P99" s="27"/>
      <c r="Q99" s="27"/>
      <c r="R99" s="27"/>
      <c r="S99" s="27"/>
      <c r="T99" s="27"/>
      <c r="U99" s="27"/>
      <c r="V99" s="27"/>
      <c r="W99" s="27"/>
      <c r="X99" s="27"/>
      <c r="Y99" s="27"/>
      <c r="Z99" s="27"/>
      <c r="AA99" s="27"/>
      <c r="AB99" s="27"/>
      <c r="AC99" s="27"/>
      <c r="AD99" s="27"/>
      <c r="AE99" s="27"/>
    </row>
    <row r="100" spans="1:31" ht="15.6">
      <c r="A100" s="27"/>
      <c r="B100" s="27"/>
      <c r="C100" s="27"/>
      <c r="D100" s="27"/>
      <c r="E100" s="27"/>
      <c r="F100" s="27"/>
      <c r="G100" s="27"/>
      <c r="H100" s="27"/>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7"/>
    </row>
    <row r="101" spans="1:31" ht="15.6">
      <c r="A101" s="27"/>
      <c r="B101" s="27"/>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row>
    <row r="102" spans="1:31" ht="15.6">
      <c r="A102" s="27"/>
      <c r="B102" s="27"/>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row>
    <row r="103" spans="1:31" ht="15.6">
      <c r="A103" s="27"/>
      <c r="B103" s="27"/>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row>
    <row r="104" spans="1:31" ht="15.6">
      <c r="A104" s="27"/>
      <c r="B104" s="27"/>
      <c r="C104" s="27"/>
      <c r="D104" s="27"/>
      <c r="E104" s="27"/>
      <c r="F104" s="27"/>
      <c r="G104" s="27"/>
      <c r="H104" s="27"/>
      <c r="I104" s="27"/>
      <c r="J104" s="27"/>
      <c r="K104" s="27"/>
      <c r="L104" s="27"/>
      <c r="M104" s="27"/>
      <c r="N104" s="27"/>
      <c r="O104" s="27"/>
      <c r="P104" s="27"/>
      <c r="Q104" s="27"/>
      <c r="R104" s="27"/>
      <c r="S104" s="27"/>
      <c r="T104" s="27"/>
      <c r="U104" s="27"/>
      <c r="V104" s="27"/>
      <c r="W104" s="27"/>
      <c r="X104" s="27"/>
      <c r="Y104" s="27"/>
      <c r="Z104" s="27"/>
      <c r="AA104" s="27"/>
      <c r="AB104" s="27"/>
      <c r="AC104" s="27"/>
      <c r="AD104" s="27"/>
      <c r="AE104" s="27"/>
    </row>
    <row r="105" spans="1:31" ht="15.6">
      <c r="A105" s="27"/>
      <c r="B105" s="27"/>
      <c r="C105" s="27"/>
      <c r="D105" s="27"/>
      <c r="E105" s="27"/>
      <c r="F105" s="27"/>
      <c r="G105" s="27"/>
      <c r="H105" s="27"/>
      <c r="I105" s="27"/>
      <c r="J105" s="27"/>
      <c r="K105" s="27"/>
      <c r="L105" s="27"/>
      <c r="M105" s="27"/>
      <c r="N105" s="27"/>
      <c r="O105" s="27"/>
      <c r="P105" s="27"/>
      <c r="Q105" s="27"/>
      <c r="R105" s="27"/>
      <c r="S105" s="27"/>
      <c r="T105" s="27"/>
      <c r="U105" s="27"/>
      <c r="V105" s="27"/>
      <c r="W105" s="27"/>
      <c r="X105" s="27"/>
      <c r="Y105" s="27"/>
      <c r="Z105" s="27"/>
      <c r="AA105" s="27"/>
      <c r="AB105" s="27"/>
      <c r="AC105" s="27"/>
      <c r="AD105" s="27"/>
      <c r="AE105" s="27"/>
    </row>
    <row r="106" spans="1:31" ht="15.6">
      <c r="A106" s="27"/>
      <c r="B106" s="27"/>
      <c r="C106" s="27"/>
      <c r="D106" s="27"/>
      <c r="E106" s="27"/>
      <c r="F106" s="27"/>
      <c r="G106" s="27"/>
      <c r="H106" s="27"/>
      <c r="I106" s="27"/>
      <c r="J106" s="27"/>
      <c r="K106" s="27"/>
      <c r="L106" s="27"/>
      <c r="M106" s="27"/>
      <c r="N106" s="27"/>
      <c r="O106" s="27"/>
      <c r="P106" s="27"/>
      <c r="Q106" s="27"/>
      <c r="R106" s="27"/>
      <c r="S106" s="27"/>
      <c r="T106" s="27"/>
      <c r="U106" s="27"/>
      <c r="V106" s="27"/>
      <c r="W106" s="27"/>
      <c r="X106" s="27"/>
      <c r="Y106" s="27"/>
      <c r="Z106" s="27"/>
      <c r="AA106" s="27"/>
      <c r="AB106" s="27"/>
      <c r="AC106" s="27"/>
      <c r="AD106" s="27"/>
      <c r="AE106" s="27"/>
    </row>
    <row r="107" spans="1:31" ht="15.6">
      <c r="A107" s="27"/>
      <c r="B107" s="27"/>
      <c r="C107" s="27"/>
      <c r="D107" s="27"/>
      <c r="E107" s="27"/>
      <c r="F107" s="27"/>
      <c r="G107" s="27"/>
      <c r="H107" s="27"/>
      <c r="I107" s="27"/>
      <c r="J107" s="27"/>
      <c r="K107" s="27"/>
      <c r="L107" s="27"/>
      <c r="M107" s="27"/>
      <c r="N107" s="27"/>
      <c r="O107" s="27"/>
      <c r="P107" s="27"/>
      <c r="Q107" s="27"/>
      <c r="R107" s="27"/>
      <c r="S107" s="27"/>
      <c r="T107" s="27"/>
      <c r="U107" s="27"/>
      <c r="V107" s="27"/>
      <c r="W107" s="27"/>
      <c r="X107" s="27"/>
      <c r="Y107" s="27"/>
      <c r="Z107" s="27"/>
      <c r="AA107" s="27"/>
      <c r="AB107" s="27"/>
      <c r="AC107" s="27"/>
      <c r="AD107" s="27"/>
      <c r="AE107" s="27"/>
    </row>
    <row r="108" spans="1:31" ht="15.6">
      <c r="A108" s="27"/>
      <c r="B108" s="27"/>
      <c r="C108" s="27"/>
      <c r="D108" s="27"/>
      <c r="E108" s="27"/>
      <c r="F108" s="27"/>
      <c r="G108" s="27"/>
      <c r="H108" s="27"/>
      <c r="I108" s="27"/>
      <c r="J108" s="27"/>
      <c r="K108" s="27"/>
      <c r="L108" s="27"/>
      <c r="M108" s="27"/>
      <c r="N108" s="27"/>
      <c r="O108" s="27"/>
      <c r="P108" s="27"/>
      <c r="Q108" s="27"/>
      <c r="R108" s="27"/>
      <c r="S108" s="27"/>
      <c r="T108" s="27"/>
      <c r="U108" s="27"/>
      <c r="V108" s="27"/>
      <c r="W108" s="27"/>
      <c r="X108" s="27"/>
      <c r="Y108" s="27"/>
      <c r="Z108" s="27"/>
      <c r="AA108" s="27"/>
      <c r="AB108" s="27"/>
      <c r="AC108" s="27"/>
      <c r="AD108" s="27"/>
      <c r="AE108" s="27"/>
    </row>
    <row r="109" spans="1:31" ht="15.6">
      <c r="A109" s="27"/>
      <c r="B109" s="27"/>
      <c r="C109" s="27"/>
      <c r="D109" s="27"/>
      <c r="E109" s="27"/>
      <c r="F109" s="27"/>
      <c r="G109" s="27"/>
      <c r="H109" s="27"/>
      <c r="I109" s="27"/>
      <c r="J109" s="27"/>
      <c r="K109" s="27"/>
      <c r="L109" s="27"/>
      <c r="M109" s="27"/>
      <c r="N109" s="27"/>
      <c r="O109" s="27"/>
      <c r="P109" s="27"/>
      <c r="Q109" s="27"/>
      <c r="R109" s="27"/>
      <c r="S109" s="27"/>
      <c r="T109" s="27"/>
      <c r="U109" s="27"/>
      <c r="V109" s="27"/>
      <c r="W109" s="27"/>
      <c r="X109" s="27"/>
      <c r="Y109" s="27"/>
      <c r="Z109" s="27"/>
      <c r="AA109" s="27"/>
      <c r="AB109" s="27"/>
      <c r="AC109" s="27"/>
      <c r="AD109" s="27"/>
      <c r="AE109" s="27"/>
    </row>
    <row r="110" spans="1:31" ht="15.6">
      <c r="A110" s="27"/>
      <c r="B110" s="27"/>
      <c r="C110" s="27"/>
      <c r="D110" s="27"/>
      <c r="E110" s="27"/>
      <c r="F110" s="27"/>
      <c r="G110" s="27"/>
      <c r="H110" s="27"/>
      <c r="I110" s="27"/>
      <c r="J110" s="27"/>
      <c r="K110" s="27"/>
      <c r="L110" s="27"/>
      <c r="M110" s="27"/>
      <c r="N110" s="27"/>
      <c r="O110" s="27"/>
      <c r="P110" s="27"/>
      <c r="Q110" s="27"/>
      <c r="R110" s="27"/>
      <c r="S110" s="27"/>
      <c r="T110" s="27"/>
      <c r="U110" s="27"/>
      <c r="V110" s="27"/>
      <c r="W110" s="27"/>
      <c r="X110" s="27"/>
      <c r="Y110" s="27"/>
      <c r="Z110" s="27"/>
      <c r="AA110" s="27"/>
      <c r="AB110" s="27"/>
      <c r="AC110" s="27"/>
      <c r="AD110" s="27"/>
      <c r="AE110" s="27"/>
    </row>
    <row r="111" spans="1:31" ht="15.6">
      <c r="A111" s="27"/>
      <c r="B111" s="27"/>
      <c r="C111" s="27"/>
      <c r="D111" s="27"/>
      <c r="E111" s="27"/>
      <c r="F111" s="27"/>
      <c r="G111" s="27"/>
      <c r="H111" s="27"/>
      <c r="I111" s="27"/>
      <c r="J111" s="27"/>
      <c r="K111" s="27"/>
      <c r="L111" s="27"/>
      <c r="M111" s="27"/>
      <c r="N111" s="27"/>
      <c r="O111" s="27"/>
      <c r="P111" s="27"/>
      <c r="Q111" s="27"/>
      <c r="R111" s="27"/>
      <c r="S111" s="27"/>
      <c r="T111" s="27"/>
      <c r="U111" s="27"/>
      <c r="V111" s="27"/>
      <c r="W111" s="27"/>
      <c r="X111" s="27"/>
      <c r="Y111" s="27"/>
      <c r="Z111" s="27"/>
      <c r="AA111" s="27"/>
      <c r="AB111" s="27"/>
      <c r="AC111" s="27"/>
      <c r="AD111" s="27"/>
      <c r="AE111" s="27"/>
    </row>
    <row r="112" spans="1:31" ht="15.6">
      <c r="A112" s="27"/>
      <c r="B112" s="27"/>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c r="AA112" s="27"/>
      <c r="AB112" s="27"/>
      <c r="AC112" s="27"/>
      <c r="AD112" s="27"/>
      <c r="AE112" s="27"/>
    </row>
  </sheetData>
  <mergeCells count="58">
    <mergeCell ref="A73:AA73"/>
    <mergeCell ref="A72:C72"/>
    <mergeCell ref="Y63:AA64"/>
    <mergeCell ref="A63:C64"/>
    <mergeCell ref="A69:C69"/>
    <mergeCell ref="V63:X64"/>
    <mergeCell ref="S63:U64"/>
    <mergeCell ref="A68:C68"/>
    <mergeCell ref="D63:F64"/>
    <mergeCell ref="G63:I64"/>
    <mergeCell ref="J63:L64"/>
    <mergeCell ref="A67:C67"/>
    <mergeCell ref="A66:C66"/>
    <mergeCell ref="A70:C70"/>
    <mergeCell ref="M63:O64"/>
    <mergeCell ref="P63:R64"/>
    <mergeCell ref="A1:D1"/>
    <mergeCell ref="B30:X30"/>
    <mergeCell ref="C33:X33"/>
    <mergeCell ref="B22:X22"/>
    <mergeCell ref="A28:X28"/>
    <mergeCell ref="A29:X29"/>
    <mergeCell ref="B27:X27"/>
    <mergeCell ref="D26:X26"/>
    <mergeCell ref="C31:X31"/>
    <mergeCell ref="C32:X32"/>
    <mergeCell ref="C25:X25"/>
    <mergeCell ref="C23:X23"/>
    <mergeCell ref="A3:AA3"/>
    <mergeCell ref="A4:AA4"/>
    <mergeCell ref="A5:AA5"/>
    <mergeCell ref="A6:AA6"/>
    <mergeCell ref="A57:AA57"/>
    <mergeCell ref="C24:X24"/>
    <mergeCell ref="Y10:AA10"/>
    <mergeCell ref="A12:X12"/>
    <mergeCell ref="A16:X16"/>
    <mergeCell ref="C17:X17"/>
    <mergeCell ref="C18:X18"/>
    <mergeCell ref="C19:X19"/>
    <mergeCell ref="C20:X20"/>
    <mergeCell ref="A43:X43"/>
    <mergeCell ref="A42:X42"/>
    <mergeCell ref="A13:X13"/>
    <mergeCell ref="A14:X14"/>
    <mergeCell ref="B15:X15"/>
    <mergeCell ref="C36:X36"/>
    <mergeCell ref="D21:X21"/>
    <mergeCell ref="A55:AA55"/>
    <mergeCell ref="A56:AA56"/>
    <mergeCell ref="A54:AA54"/>
    <mergeCell ref="D34:X34"/>
    <mergeCell ref="B35:X35"/>
    <mergeCell ref="C37:X37"/>
    <mergeCell ref="C39:X39"/>
    <mergeCell ref="D40:X40"/>
    <mergeCell ref="B41:X41"/>
    <mergeCell ref="C38:X38"/>
  </mergeCells>
  <phoneticPr fontId="0" type="noConversion"/>
  <printOptions horizontalCentered="1"/>
  <pageMargins left="0.25" right="0.2" top="1" bottom="0.17" header="0.3" footer="0.18"/>
  <pageSetup scale="62" fitToHeight="0" orientation="landscape" r:id="rId1"/>
  <headerFooter scaleWithDoc="0" alignWithMargins="0">
    <oddFooter xml:space="preserve">&amp;C&amp;"Times New Roman,Regular"&amp;11Exhibit B: Summary of Requirements&amp;"Arial,Regular"&amp;12
</oddFooter>
  </headerFooter>
  <rowBreaks count="1" manualBreakCount="1">
    <brk id="45" max="27" man="1"/>
  </rowBreaks>
</worksheet>
</file>

<file path=xl/worksheets/sheet3.xml><?xml version="1.0" encoding="utf-8"?>
<worksheet xmlns="http://schemas.openxmlformats.org/spreadsheetml/2006/main" xmlns:r="http://schemas.openxmlformats.org/officeDocument/2006/relationships">
  <sheetPr>
    <pageSetUpPr fitToPage="1"/>
  </sheetPr>
  <dimension ref="A1:X28"/>
  <sheetViews>
    <sheetView view="pageBreakPreview" zoomScale="70" zoomScaleNormal="75" zoomScaleSheetLayoutView="70" workbookViewId="0">
      <selection activeCell="J1" sqref="J1"/>
    </sheetView>
  </sheetViews>
  <sheetFormatPr defaultColWidth="8.90625" defaultRowHeight="15.6"/>
  <cols>
    <col min="1" max="1" width="39" style="1" customWidth="1"/>
    <col min="2" max="2" width="28.1796875" style="1" customWidth="1"/>
    <col min="3" max="3" width="4.6328125" style="1" customWidth="1"/>
    <col min="4" max="4" width="4.453125" style="1" customWidth="1"/>
    <col min="5" max="5" width="4.90625" style="1" customWidth="1"/>
    <col min="6" max="6" width="8.81640625" style="175" customWidth="1"/>
    <col min="7" max="7" width="5.36328125" style="1" customWidth="1"/>
    <col min="8" max="8" width="5" style="1" customWidth="1"/>
    <col min="9" max="9" width="6" style="1" customWidth="1"/>
    <col min="10" max="10" width="9.08984375" style="1" customWidth="1"/>
    <col min="11" max="11" width="4.1796875" style="1" customWidth="1"/>
    <col min="12" max="12" width="4.81640625" style="1" customWidth="1"/>
    <col min="13" max="13" width="4" style="1" customWidth="1"/>
    <col min="14" max="14" width="7.81640625" style="1" customWidth="1"/>
    <col min="15" max="15" width="4.36328125" style="1" customWidth="1"/>
    <col min="16" max="16" width="4.6328125" style="1" customWidth="1"/>
    <col min="17" max="17" width="5" style="1" customWidth="1"/>
    <col min="18" max="18" width="7.6328125" style="1" customWidth="1"/>
    <col min="19" max="19" width="5.1796875" style="1" customWidth="1"/>
    <col min="20" max="20" width="4.6328125" style="1" customWidth="1"/>
    <col min="21" max="21" width="5.08984375" style="1" customWidth="1"/>
    <col min="22" max="22" width="7.81640625" style="1" customWidth="1"/>
    <col min="23" max="23" width="0.453125" style="1" customWidth="1"/>
    <col min="24" max="16384" width="8.90625" style="1"/>
  </cols>
  <sheetData>
    <row r="1" spans="1:24" ht="20.399999999999999">
      <c r="A1" s="742" t="s">
        <v>400</v>
      </c>
      <c r="B1" s="512"/>
      <c r="C1" s="512"/>
      <c r="D1" s="512"/>
      <c r="W1" s="127" t="s">
        <v>159</v>
      </c>
      <c r="X1" s="126"/>
    </row>
    <row r="2" spans="1:24">
      <c r="A2" s="2"/>
      <c r="W2" s="127"/>
      <c r="X2" s="126"/>
    </row>
    <row r="3" spans="1:24">
      <c r="A3" s="2"/>
      <c r="W3" s="127"/>
      <c r="X3" s="126"/>
    </row>
    <row r="4" spans="1:24">
      <c r="B4" s="820" t="s">
        <v>401</v>
      </c>
      <c r="C4" s="820"/>
      <c r="D4" s="820"/>
      <c r="E4" s="820"/>
      <c r="F4" s="820"/>
      <c r="G4" s="820"/>
      <c r="H4" s="820"/>
      <c r="W4" s="127" t="s">
        <v>159</v>
      </c>
      <c r="X4" s="126"/>
    </row>
    <row r="5" spans="1:24">
      <c r="B5" s="820" t="s">
        <v>30</v>
      </c>
      <c r="C5" s="820"/>
      <c r="D5" s="820"/>
      <c r="E5" s="820"/>
      <c r="F5" s="820"/>
      <c r="G5" s="820"/>
      <c r="H5" s="820"/>
      <c r="W5" s="127" t="s">
        <v>159</v>
      </c>
      <c r="X5" s="126"/>
    </row>
    <row r="6" spans="1:24">
      <c r="B6" s="820" t="s">
        <v>31</v>
      </c>
      <c r="C6" s="820"/>
      <c r="D6" s="820"/>
      <c r="E6" s="820"/>
      <c r="F6" s="820"/>
      <c r="G6" s="820"/>
      <c r="H6" s="820"/>
      <c r="W6" s="127" t="s">
        <v>159</v>
      </c>
      <c r="X6" s="126"/>
    </row>
    <row r="7" spans="1:24">
      <c r="B7" s="820" t="s">
        <v>44</v>
      </c>
      <c r="C7" s="820"/>
      <c r="D7" s="820"/>
      <c r="E7" s="820"/>
      <c r="F7" s="820"/>
      <c r="G7" s="820"/>
      <c r="H7" s="820"/>
      <c r="W7" s="127" t="s">
        <v>159</v>
      </c>
      <c r="X7" s="126"/>
    </row>
    <row r="8" spans="1:24" ht="16.2" thickBot="1">
      <c r="A8" s="6" t="s">
        <v>113</v>
      </c>
      <c r="B8" s="6"/>
      <c r="C8" s="6"/>
      <c r="D8" s="6"/>
      <c r="E8" s="6"/>
      <c r="F8" s="176"/>
      <c r="G8" s="6"/>
      <c r="H8" s="6"/>
      <c r="I8" s="6"/>
      <c r="J8" s="6"/>
      <c r="K8" s="6"/>
      <c r="L8" s="6"/>
      <c r="M8" s="6"/>
      <c r="N8" s="6"/>
      <c r="O8" s="6"/>
      <c r="P8" s="6"/>
      <c r="Q8" s="6"/>
      <c r="R8" s="6"/>
      <c r="S8" s="6"/>
      <c r="T8" s="6"/>
      <c r="U8" s="6"/>
      <c r="V8" s="6"/>
      <c r="W8" s="127" t="s">
        <v>159</v>
      </c>
      <c r="X8" s="126"/>
    </row>
    <row r="9" spans="1:24">
      <c r="A9" s="11" t="s">
        <v>113</v>
      </c>
      <c r="B9" s="144" t="s">
        <v>17</v>
      </c>
      <c r="C9" s="808" t="s">
        <v>113</v>
      </c>
      <c r="D9" s="809"/>
      <c r="E9" s="809"/>
      <c r="F9" s="810"/>
      <c r="G9" s="808" t="s">
        <v>166</v>
      </c>
      <c r="H9" s="809"/>
      <c r="I9" s="809"/>
      <c r="J9" s="810"/>
      <c r="K9" s="808" t="s">
        <v>113</v>
      </c>
      <c r="L9" s="809"/>
      <c r="M9" s="809"/>
      <c r="N9" s="810"/>
      <c r="O9" s="808" t="s">
        <v>167</v>
      </c>
      <c r="P9" s="809"/>
      <c r="Q9" s="809"/>
      <c r="R9" s="810"/>
      <c r="S9" s="808" t="s">
        <v>113</v>
      </c>
      <c r="T9" s="809"/>
      <c r="U9" s="809"/>
      <c r="V9" s="810"/>
      <c r="W9" s="127" t="s">
        <v>159</v>
      </c>
      <c r="X9" s="126"/>
    </row>
    <row r="10" spans="1:24" ht="16.2" thickBot="1">
      <c r="A10" s="224" t="s">
        <v>204</v>
      </c>
      <c r="B10" s="145" t="s">
        <v>18</v>
      </c>
      <c r="C10" s="811" t="s">
        <v>168</v>
      </c>
      <c r="D10" s="812"/>
      <c r="E10" s="812"/>
      <c r="F10" s="813"/>
      <c r="G10" s="811" t="s">
        <v>169</v>
      </c>
      <c r="H10" s="812"/>
      <c r="I10" s="812"/>
      <c r="J10" s="813"/>
      <c r="K10" s="811" t="s">
        <v>139</v>
      </c>
      <c r="L10" s="812"/>
      <c r="M10" s="812"/>
      <c r="N10" s="813"/>
      <c r="O10" s="811" t="s">
        <v>169</v>
      </c>
      <c r="P10" s="812"/>
      <c r="Q10" s="812"/>
      <c r="R10" s="813"/>
      <c r="S10" s="811" t="s">
        <v>373</v>
      </c>
      <c r="T10" s="812"/>
      <c r="U10" s="812"/>
      <c r="V10" s="813"/>
      <c r="W10" s="127" t="s">
        <v>159</v>
      </c>
      <c r="X10" s="126"/>
    </row>
    <row r="11" spans="1:24" ht="32.25" customHeight="1">
      <c r="A11" s="10" t="s">
        <v>113</v>
      </c>
      <c r="B11" s="10"/>
      <c r="C11" s="13" t="s">
        <v>15</v>
      </c>
      <c r="D11" s="146" t="s">
        <v>19</v>
      </c>
      <c r="E11" s="14" t="s">
        <v>20</v>
      </c>
      <c r="F11" s="177" t="s">
        <v>21</v>
      </c>
      <c r="G11" s="16" t="s">
        <v>15</v>
      </c>
      <c r="H11" s="146" t="s">
        <v>19</v>
      </c>
      <c r="I11" s="14" t="s">
        <v>20</v>
      </c>
      <c r="J11" s="15" t="s">
        <v>21</v>
      </c>
      <c r="K11" s="16" t="s">
        <v>15</v>
      </c>
      <c r="L11" s="146" t="s">
        <v>437</v>
      </c>
      <c r="M11" s="14" t="s">
        <v>20</v>
      </c>
      <c r="N11" s="15" t="s">
        <v>21</v>
      </c>
      <c r="O11" s="16" t="s">
        <v>15</v>
      </c>
      <c r="P11" s="146" t="s">
        <v>19</v>
      </c>
      <c r="Q11" s="14" t="s">
        <v>20</v>
      </c>
      <c r="R11" s="15" t="s">
        <v>21</v>
      </c>
      <c r="S11" s="16" t="s">
        <v>15</v>
      </c>
      <c r="T11" s="146" t="s">
        <v>19</v>
      </c>
      <c r="U11" s="14" t="s">
        <v>20</v>
      </c>
      <c r="V11" s="15" t="s">
        <v>21</v>
      </c>
      <c r="W11" s="127" t="s">
        <v>159</v>
      </c>
      <c r="X11" s="126"/>
    </row>
    <row r="12" spans="1:24">
      <c r="A12" s="10" t="s">
        <v>257</v>
      </c>
      <c r="B12" s="10" t="s">
        <v>170</v>
      </c>
      <c r="C12" s="41">
        <v>133</v>
      </c>
      <c r="D12" s="147">
        <v>17</v>
      </c>
      <c r="E12" s="147">
        <v>33</v>
      </c>
      <c r="F12" s="178">
        <v>9389</v>
      </c>
      <c r="G12" s="149">
        <v>283</v>
      </c>
      <c r="H12" s="147">
        <v>201</v>
      </c>
      <c r="I12" s="79">
        <v>71</v>
      </c>
      <c r="J12" s="18">
        <v>19032</v>
      </c>
      <c r="K12" s="112">
        <v>0</v>
      </c>
      <c r="L12" s="79">
        <v>0</v>
      </c>
      <c r="M12" s="79">
        <v>0</v>
      </c>
      <c r="N12" s="18">
        <v>0</v>
      </c>
      <c r="O12" s="112">
        <v>0</v>
      </c>
      <c r="P12" s="79">
        <v>0</v>
      </c>
      <c r="Q12" s="79">
        <v>0</v>
      </c>
      <c r="R12" s="18">
        <v>0</v>
      </c>
      <c r="S12" s="112">
        <f t="shared" ref="S12:U14" si="0">+K12+G12+C12</f>
        <v>416</v>
      </c>
      <c r="T12" s="79">
        <f t="shared" si="0"/>
        <v>218</v>
      </c>
      <c r="U12" s="79">
        <f t="shared" si="0"/>
        <v>104</v>
      </c>
      <c r="V12" s="150">
        <f t="shared" ref="V12:V14" si="1">+N12+J12+F12+R12</f>
        <v>28421</v>
      </c>
      <c r="W12" s="127" t="s">
        <v>159</v>
      </c>
      <c r="X12" s="126"/>
    </row>
    <row r="13" spans="1:24">
      <c r="A13" s="10" t="s">
        <v>258</v>
      </c>
      <c r="B13" s="10" t="s">
        <v>170</v>
      </c>
      <c r="C13" s="41">
        <v>146</v>
      </c>
      <c r="D13" s="147">
        <v>25</v>
      </c>
      <c r="E13" s="79">
        <v>37</v>
      </c>
      <c r="F13" s="179">
        <v>9665</v>
      </c>
      <c r="G13" s="112">
        <v>243</v>
      </c>
      <c r="H13" s="147">
        <v>163</v>
      </c>
      <c r="I13" s="79">
        <v>60</v>
      </c>
      <c r="J13" s="18">
        <v>17419</v>
      </c>
      <c r="K13" s="112">
        <v>0</v>
      </c>
      <c r="L13" s="79">
        <v>0</v>
      </c>
      <c r="M13" s="79">
        <v>0</v>
      </c>
      <c r="N13" s="18">
        <v>0</v>
      </c>
      <c r="O13" s="112">
        <v>0</v>
      </c>
      <c r="P13" s="79">
        <v>0</v>
      </c>
      <c r="Q13" s="79">
        <v>0</v>
      </c>
      <c r="R13" s="18">
        <v>0</v>
      </c>
      <c r="S13" s="112">
        <f t="shared" ref="S13" si="2">+K13+G13+C13</f>
        <v>389</v>
      </c>
      <c r="T13" s="79">
        <f t="shared" ref="T13" si="3">+L13+H13+D13</f>
        <v>188</v>
      </c>
      <c r="U13" s="79">
        <f t="shared" ref="U13" si="4">+M13+I13+E13</f>
        <v>97</v>
      </c>
      <c r="V13" s="150">
        <f t="shared" si="1"/>
        <v>27084</v>
      </c>
      <c r="W13" s="127" t="s">
        <v>159</v>
      </c>
      <c r="X13" s="126"/>
    </row>
    <row r="14" spans="1:24">
      <c r="A14" s="10" t="s">
        <v>256</v>
      </c>
      <c r="B14" s="10" t="s">
        <v>139</v>
      </c>
      <c r="C14" s="166">
        <v>0</v>
      </c>
      <c r="D14" s="167">
        <v>0</v>
      </c>
      <c r="E14" s="167">
        <v>0</v>
      </c>
      <c r="F14" s="723">
        <v>0</v>
      </c>
      <c r="G14" s="166">
        <v>0</v>
      </c>
      <c r="H14" s="167">
        <v>0</v>
      </c>
      <c r="I14" s="167">
        <v>0</v>
      </c>
      <c r="J14" s="168">
        <v>0</v>
      </c>
      <c r="K14" s="166">
        <v>4</v>
      </c>
      <c r="L14" s="167">
        <v>0</v>
      </c>
      <c r="M14" s="167">
        <v>2</v>
      </c>
      <c r="N14" s="168">
        <v>25865</v>
      </c>
      <c r="O14" s="166">
        <v>0</v>
      </c>
      <c r="P14" s="167">
        <v>0</v>
      </c>
      <c r="Q14" s="167">
        <v>0</v>
      </c>
      <c r="R14" s="168">
        <v>0</v>
      </c>
      <c r="S14" s="166">
        <f t="shared" si="0"/>
        <v>4</v>
      </c>
      <c r="T14" s="167">
        <f t="shared" si="0"/>
        <v>0</v>
      </c>
      <c r="U14" s="167">
        <f t="shared" si="0"/>
        <v>2</v>
      </c>
      <c r="V14" s="709">
        <f t="shared" si="1"/>
        <v>25865</v>
      </c>
      <c r="W14" s="127" t="s">
        <v>159</v>
      </c>
      <c r="X14" s="126"/>
    </row>
    <row r="15" spans="1:24" ht="16.2" thickBot="1">
      <c r="A15" s="7" t="s">
        <v>22</v>
      </c>
      <c r="B15" s="7"/>
      <c r="C15" s="20">
        <f t="shared" ref="C15:V15" si="5">SUM(C12:C14)</f>
        <v>279</v>
      </c>
      <c r="D15" s="20">
        <f t="shared" si="5"/>
        <v>42</v>
      </c>
      <c r="E15" s="20">
        <f t="shared" si="5"/>
        <v>70</v>
      </c>
      <c r="F15" s="174">
        <f t="shared" si="5"/>
        <v>19054</v>
      </c>
      <c r="G15" s="20">
        <f t="shared" si="5"/>
        <v>526</v>
      </c>
      <c r="H15" s="20">
        <f t="shared" si="5"/>
        <v>364</v>
      </c>
      <c r="I15" s="20">
        <f t="shared" si="5"/>
        <v>131</v>
      </c>
      <c r="J15" s="148">
        <f t="shared" si="5"/>
        <v>36451</v>
      </c>
      <c r="K15" s="20">
        <f t="shared" si="5"/>
        <v>4</v>
      </c>
      <c r="L15" s="20">
        <f t="shared" si="5"/>
        <v>0</v>
      </c>
      <c r="M15" s="20">
        <f t="shared" si="5"/>
        <v>2</v>
      </c>
      <c r="N15" s="148">
        <f t="shared" si="5"/>
        <v>25865</v>
      </c>
      <c r="O15" s="20">
        <f t="shared" si="5"/>
        <v>0</v>
      </c>
      <c r="P15" s="20">
        <f t="shared" si="5"/>
        <v>0</v>
      </c>
      <c r="Q15" s="20">
        <f t="shared" si="5"/>
        <v>0</v>
      </c>
      <c r="R15" s="148">
        <f t="shared" si="5"/>
        <v>0</v>
      </c>
      <c r="S15" s="20">
        <f t="shared" si="5"/>
        <v>809</v>
      </c>
      <c r="T15" s="20">
        <f t="shared" si="5"/>
        <v>406</v>
      </c>
      <c r="U15" s="20">
        <f t="shared" si="5"/>
        <v>203</v>
      </c>
      <c r="V15" s="148">
        <f t="shared" si="5"/>
        <v>81370</v>
      </c>
      <c r="W15" s="127" t="s">
        <v>159</v>
      </c>
      <c r="X15" s="227"/>
    </row>
    <row r="16" spans="1:24" ht="6" customHeight="1" thickBot="1">
      <c r="A16" s="6"/>
      <c r="B16" s="6"/>
      <c r="C16" s="40"/>
      <c r="D16" s="40"/>
      <c r="E16" s="40"/>
      <c r="F16" s="176"/>
      <c r="G16" s="40"/>
      <c r="H16" s="40"/>
      <c r="I16" s="40"/>
      <c r="J16" s="40"/>
      <c r="K16" s="40"/>
      <c r="L16" s="40"/>
      <c r="M16" s="40"/>
      <c r="N16" s="40"/>
      <c r="O16" s="40"/>
      <c r="P16" s="40"/>
      <c r="Q16" s="40"/>
      <c r="R16" s="40"/>
      <c r="S16" s="40"/>
      <c r="T16" s="40"/>
      <c r="U16" s="40"/>
      <c r="V16" s="40"/>
      <c r="W16" s="127" t="s">
        <v>159</v>
      </c>
      <c r="X16" s="126"/>
    </row>
    <row r="17" spans="1:24">
      <c r="A17" s="11"/>
      <c r="B17" s="144" t="s">
        <v>17</v>
      </c>
      <c r="C17" s="817" t="s">
        <v>113</v>
      </c>
      <c r="D17" s="818"/>
      <c r="E17" s="818"/>
      <c r="F17" s="819"/>
      <c r="G17" s="817" t="s">
        <v>166</v>
      </c>
      <c r="H17" s="818"/>
      <c r="I17" s="818"/>
      <c r="J17" s="819"/>
      <c r="K17" s="817" t="s">
        <v>113</v>
      </c>
      <c r="L17" s="818"/>
      <c r="M17" s="818"/>
      <c r="N17" s="819"/>
      <c r="O17" s="817" t="s">
        <v>167</v>
      </c>
      <c r="P17" s="818"/>
      <c r="Q17" s="818"/>
      <c r="R17" s="819"/>
      <c r="S17" s="817"/>
      <c r="T17" s="818"/>
      <c r="U17" s="818"/>
      <c r="V17" s="819"/>
      <c r="W17" s="127" t="s">
        <v>159</v>
      </c>
      <c r="X17" s="126"/>
    </row>
    <row r="18" spans="1:24" ht="16.2" thickBot="1">
      <c r="A18" s="224" t="s">
        <v>119</v>
      </c>
      <c r="B18" s="145" t="s">
        <v>18</v>
      </c>
      <c r="C18" s="814" t="s">
        <v>168</v>
      </c>
      <c r="D18" s="815"/>
      <c r="E18" s="815"/>
      <c r="F18" s="816"/>
      <c r="G18" s="814" t="s">
        <v>169</v>
      </c>
      <c r="H18" s="815"/>
      <c r="I18" s="815"/>
      <c r="J18" s="816"/>
      <c r="K18" s="814" t="s">
        <v>139</v>
      </c>
      <c r="L18" s="815"/>
      <c r="M18" s="815"/>
      <c r="N18" s="816"/>
      <c r="O18" s="814" t="s">
        <v>169</v>
      </c>
      <c r="P18" s="815"/>
      <c r="Q18" s="815"/>
      <c r="R18" s="816"/>
      <c r="S18" s="814" t="s">
        <v>24</v>
      </c>
      <c r="T18" s="815"/>
      <c r="U18" s="815"/>
      <c r="V18" s="816"/>
      <c r="W18" s="127" t="s">
        <v>159</v>
      </c>
      <c r="X18" s="126"/>
    </row>
    <row r="19" spans="1:24" ht="31.2">
      <c r="A19" s="11"/>
      <c r="B19" s="11"/>
      <c r="C19" s="151" t="s">
        <v>15</v>
      </c>
      <c r="D19" s="152" t="s">
        <v>19</v>
      </c>
      <c r="E19" s="153" t="s">
        <v>20</v>
      </c>
      <c r="F19" s="177" t="s">
        <v>21</v>
      </c>
      <c r="G19" s="151" t="s">
        <v>15</v>
      </c>
      <c r="H19" s="152" t="s">
        <v>19</v>
      </c>
      <c r="I19" s="153" t="s">
        <v>20</v>
      </c>
      <c r="J19" s="154" t="s">
        <v>21</v>
      </c>
      <c r="K19" s="151" t="s">
        <v>15</v>
      </c>
      <c r="L19" s="152" t="s">
        <v>19</v>
      </c>
      <c r="M19" s="153" t="s">
        <v>20</v>
      </c>
      <c r="N19" s="154" t="s">
        <v>21</v>
      </c>
      <c r="O19" s="151" t="s">
        <v>15</v>
      </c>
      <c r="P19" s="152" t="s">
        <v>19</v>
      </c>
      <c r="Q19" s="153" t="s">
        <v>20</v>
      </c>
      <c r="R19" s="154" t="s">
        <v>21</v>
      </c>
      <c r="S19" s="151" t="s">
        <v>15</v>
      </c>
      <c r="T19" s="152" t="s">
        <v>19</v>
      </c>
      <c r="U19" s="153" t="s">
        <v>20</v>
      </c>
      <c r="V19" s="154" t="s">
        <v>21</v>
      </c>
      <c r="W19" s="127" t="s">
        <v>159</v>
      </c>
      <c r="X19" s="126"/>
    </row>
    <row r="20" spans="1:24">
      <c r="A20" s="10" t="s">
        <v>422</v>
      </c>
      <c r="B20" s="10" t="s">
        <v>170</v>
      </c>
      <c r="C20" s="41">
        <v>0</v>
      </c>
      <c r="D20" s="79">
        <v>0</v>
      </c>
      <c r="E20" s="79">
        <v>0</v>
      </c>
      <c r="F20" s="724">
        <v>-18545</v>
      </c>
      <c r="G20" s="725">
        <v>0</v>
      </c>
      <c r="H20" s="56">
        <v>0</v>
      </c>
      <c r="I20" s="56">
        <v>0</v>
      </c>
      <c r="J20" s="726">
        <v>-22455</v>
      </c>
      <c r="K20" s="725">
        <v>0</v>
      </c>
      <c r="L20" s="56">
        <v>0</v>
      </c>
      <c r="M20" s="56">
        <v>0</v>
      </c>
      <c r="N20" s="22">
        <v>0</v>
      </c>
      <c r="O20" s="725">
        <v>0</v>
      </c>
      <c r="P20" s="56">
        <v>0</v>
      </c>
      <c r="Q20" s="56">
        <v>0</v>
      </c>
      <c r="R20" s="22">
        <v>0</v>
      </c>
      <c r="S20" s="725">
        <f t="shared" ref="S20:S23" si="6">+K20+G20+C20+O20</f>
        <v>0</v>
      </c>
      <c r="T20" s="56">
        <f t="shared" ref="T20:T23" si="7">+P20+L20+H20+D20</f>
        <v>0</v>
      </c>
      <c r="U20" s="56">
        <f t="shared" ref="U20:U23" si="8">+Q20+M20+I20+E20</f>
        <v>0</v>
      </c>
      <c r="V20" s="727">
        <f>+R20+N20+J20+F20</f>
        <v>-41000</v>
      </c>
      <c r="W20" s="127" t="s">
        <v>159</v>
      </c>
      <c r="X20" s="126"/>
    </row>
    <row r="21" spans="1:24">
      <c r="A21" s="10" t="s">
        <v>333</v>
      </c>
      <c r="B21" s="10" t="s">
        <v>170</v>
      </c>
      <c r="C21" s="41">
        <v>0</v>
      </c>
      <c r="D21" s="79">
        <v>0</v>
      </c>
      <c r="E21" s="41">
        <v>0</v>
      </c>
      <c r="F21" s="724">
        <v>-1577</v>
      </c>
      <c r="G21" s="725">
        <v>0</v>
      </c>
      <c r="H21" s="22">
        <v>0</v>
      </c>
      <c r="I21" s="22">
        <v>0</v>
      </c>
      <c r="J21" s="726">
        <v>-1577</v>
      </c>
      <c r="K21" s="725">
        <v>0</v>
      </c>
      <c r="L21" s="22">
        <v>0</v>
      </c>
      <c r="M21" s="22">
        <v>0</v>
      </c>
      <c r="N21" s="24">
        <v>0</v>
      </c>
      <c r="O21" s="725">
        <v>0</v>
      </c>
      <c r="P21" s="22">
        <v>0</v>
      </c>
      <c r="Q21" s="22">
        <v>0</v>
      </c>
      <c r="R21" s="24">
        <v>0</v>
      </c>
      <c r="S21" s="725">
        <f t="shared" si="6"/>
        <v>0</v>
      </c>
      <c r="T21" s="22">
        <f t="shared" si="7"/>
        <v>0</v>
      </c>
      <c r="U21" s="22">
        <f t="shared" si="8"/>
        <v>0</v>
      </c>
      <c r="V21" s="727">
        <v>-3154</v>
      </c>
      <c r="W21" s="127" t="s">
        <v>159</v>
      </c>
      <c r="X21" s="126"/>
    </row>
    <row r="22" spans="1:24">
      <c r="A22" s="10" t="s">
        <v>218</v>
      </c>
      <c r="B22" s="10" t="s">
        <v>402</v>
      </c>
      <c r="C22" s="41">
        <v>0</v>
      </c>
      <c r="D22" s="79">
        <v>0</v>
      </c>
      <c r="E22" s="41">
        <v>0</v>
      </c>
      <c r="F22" s="724">
        <v>0</v>
      </c>
      <c r="G22" s="725">
        <v>0</v>
      </c>
      <c r="H22" s="22">
        <v>0</v>
      </c>
      <c r="I22" s="22">
        <v>0</v>
      </c>
      <c r="J22" s="726">
        <v>-2831</v>
      </c>
      <c r="K22" s="725">
        <v>0</v>
      </c>
      <c r="L22" s="22">
        <v>0</v>
      </c>
      <c r="M22" s="22">
        <v>0</v>
      </c>
      <c r="N22" s="24">
        <v>0</v>
      </c>
      <c r="O22" s="725">
        <v>0</v>
      </c>
      <c r="P22" s="22">
        <v>0</v>
      </c>
      <c r="Q22" s="22">
        <v>0</v>
      </c>
      <c r="R22" s="24">
        <v>0</v>
      </c>
      <c r="S22" s="725">
        <f>+K22+G22+C22+O22</f>
        <v>0</v>
      </c>
      <c r="T22" s="22">
        <f>+P22+L22+H22+D22</f>
        <v>0</v>
      </c>
      <c r="U22" s="22">
        <f>+Q22+M22+I22+E22</f>
        <v>0</v>
      </c>
      <c r="V22" s="727">
        <f>+R22+N22+J22+F22</f>
        <v>-2831</v>
      </c>
      <c r="W22" s="127" t="s">
        <v>159</v>
      </c>
      <c r="X22" s="126"/>
    </row>
    <row r="23" spans="1:24">
      <c r="A23" s="10" t="s">
        <v>423</v>
      </c>
      <c r="B23" s="10" t="s">
        <v>403</v>
      </c>
      <c r="C23" s="166">
        <v>0</v>
      </c>
      <c r="D23" s="167">
        <v>0</v>
      </c>
      <c r="E23" s="42">
        <v>0</v>
      </c>
      <c r="F23" s="723">
        <v>0</v>
      </c>
      <c r="G23" s="728">
        <v>0</v>
      </c>
      <c r="H23" s="608">
        <v>0</v>
      </c>
      <c r="I23" s="608">
        <v>0</v>
      </c>
      <c r="J23" s="729">
        <v>0</v>
      </c>
      <c r="K23" s="728">
        <v>0</v>
      </c>
      <c r="L23" s="608">
        <v>0</v>
      </c>
      <c r="M23" s="608">
        <v>0</v>
      </c>
      <c r="N23" s="729">
        <v>0</v>
      </c>
      <c r="O23" s="728">
        <v>-60</v>
      </c>
      <c r="P23" s="608">
        <v>0</v>
      </c>
      <c r="Q23" s="608">
        <v>-60</v>
      </c>
      <c r="R23" s="729">
        <v>-11001</v>
      </c>
      <c r="S23" s="728">
        <f t="shared" si="6"/>
        <v>-60</v>
      </c>
      <c r="T23" s="608">
        <f t="shared" si="7"/>
        <v>0</v>
      </c>
      <c r="U23" s="608">
        <f t="shared" si="8"/>
        <v>-60</v>
      </c>
      <c r="V23" s="730">
        <f>+R23+N23+J23+F23</f>
        <v>-11001</v>
      </c>
      <c r="W23" s="127" t="s">
        <v>159</v>
      </c>
      <c r="X23" s="126"/>
    </row>
    <row r="24" spans="1:24" ht="16.2" thickBot="1">
      <c r="A24" s="7" t="s">
        <v>24</v>
      </c>
      <c r="B24" s="7"/>
      <c r="C24" s="113">
        <v>0</v>
      </c>
      <c r="D24" s="115">
        <v>0</v>
      </c>
      <c r="E24" s="114">
        <v>0</v>
      </c>
      <c r="F24" s="731">
        <f>SUM(F20:F23)</f>
        <v>-20122</v>
      </c>
      <c r="G24" s="732">
        <v>0</v>
      </c>
      <c r="H24" s="733">
        <v>0</v>
      </c>
      <c r="I24" s="733">
        <v>0</v>
      </c>
      <c r="J24" s="734">
        <f>SUM(J20:J23)</f>
        <v>-26863</v>
      </c>
      <c r="K24" s="732">
        <v>0</v>
      </c>
      <c r="L24" s="733">
        <v>0</v>
      </c>
      <c r="M24" s="733">
        <f>SUM(M17)</f>
        <v>0</v>
      </c>
      <c r="N24" s="734">
        <f>SUM(N20:N23)</f>
        <v>0</v>
      </c>
      <c r="O24" s="732">
        <f>SUM(O20:O23)</f>
        <v>-60</v>
      </c>
      <c r="P24" s="733">
        <v>0</v>
      </c>
      <c r="Q24" s="732">
        <f t="shared" ref="Q24:V24" si="9">SUM(Q20:Q23)</f>
        <v>-60</v>
      </c>
      <c r="R24" s="732">
        <f t="shared" si="9"/>
        <v>-11001</v>
      </c>
      <c r="S24" s="732">
        <f t="shared" si="9"/>
        <v>-60</v>
      </c>
      <c r="T24" s="733">
        <f t="shared" si="9"/>
        <v>0</v>
      </c>
      <c r="U24" s="733">
        <f t="shared" si="9"/>
        <v>-60</v>
      </c>
      <c r="V24" s="734">
        <f t="shared" si="9"/>
        <v>-57986</v>
      </c>
      <c r="W24" s="127" t="s">
        <v>161</v>
      </c>
      <c r="X24" s="126"/>
    </row>
    <row r="25" spans="1:24">
      <c r="A25" s="6"/>
      <c r="B25" s="6"/>
      <c r="C25" s="6"/>
      <c r="D25" s="6"/>
      <c r="E25" s="6"/>
      <c r="F25" s="176"/>
      <c r="G25" s="6"/>
      <c r="H25" s="6"/>
      <c r="I25" s="6"/>
      <c r="J25" s="6"/>
      <c r="K25" s="6"/>
      <c r="L25" s="6"/>
      <c r="M25" s="23"/>
      <c r="N25" s="117"/>
      <c r="O25" s="6"/>
      <c r="P25" s="6"/>
      <c r="Q25" s="23"/>
      <c r="R25" s="24"/>
      <c r="S25" s="24"/>
      <c r="T25" s="24"/>
      <c r="U25" s="24"/>
      <c r="V25" s="24"/>
      <c r="W25" s="6"/>
    </row>
    <row r="26" spans="1:24">
      <c r="N26" s="6" t="s">
        <v>113</v>
      </c>
      <c r="V26" s="125"/>
    </row>
    <row r="27" spans="1:24">
      <c r="N27" s="40"/>
    </row>
    <row r="28" spans="1:24">
      <c r="N28" s="6"/>
    </row>
  </sheetData>
  <mergeCells count="24">
    <mergeCell ref="B4:H4"/>
    <mergeCell ref="B5:H5"/>
    <mergeCell ref="B6:H6"/>
    <mergeCell ref="B7:H7"/>
    <mergeCell ref="G18:J18"/>
    <mergeCell ref="C9:F9"/>
    <mergeCell ref="G9:J9"/>
    <mergeCell ref="K18:N18"/>
    <mergeCell ref="S18:V18"/>
    <mergeCell ref="O18:R18"/>
    <mergeCell ref="C10:F10"/>
    <mergeCell ref="C18:F18"/>
    <mergeCell ref="S17:V17"/>
    <mergeCell ref="O17:R17"/>
    <mergeCell ref="K17:N17"/>
    <mergeCell ref="G17:J17"/>
    <mergeCell ref="G10:J10"/>
    <mergeCell ref="C17:F17"/>
    <mergeCell ref="S9:V9"/>
    <mergeCell ref="O9:R9"/>
    <mergeCell ref="K9:N9"/>
    <mergeCell ref="K10:N10"/>
    <mergeCell ref="O10:R10"/>
    <mergeCell ref="S10:V10"/>
  </mergeCells>
  <phoneticPr fontId="0" type="noConversion"/>
  <printOptions horizontalCentered="1"/>
  <pageMargins left="0.2" right="0.2" top="1" bottom="1" header="0.28999999999999998" footer="0.5"/>
  <pageSetup scale="62" orientation="landscape" r:id="rId1"/>
  <headerFooter scaleWithDoc="0" alignWithMargins="0">
    <oddFooter>&amp;C&amp;"Times New Roman,Regular"&amp;11Exhibit C:  Program Changes by Decision Unit</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EA21"/>
  <sheetViews>
    <sheetView view="pageBreakPreview" zoomScale="60" zoomScaleNormal="100" workbookViewId="0">
      <selection activeCell="J1" sqref="J1"/>
    </sheetView>
  </sheetViews>
  <sheetFormatPr defaultColWidth="8.90625" defaultRowHeight="15.6"/>
  <cols>
    <col min="1" max="1" width="30.81640625" style="1" customWidth="1"/>
    <col min="2" max="2" width="0.90625" style="1" customWidth="1"/>
    <col min="3" max="3" width="9" style="1" customWidth="1"/>
    <col min="4" max="4" width="10.6328125" style="1" customWidth="1"/>
    <col min="5" max="5" width="0.90625" style="1" customWidth="1"/>
    <col min="6" max="6" width="8.90625" style="1" customWidth="1"/>
    <col min="7" max="7" width="9.90625" style="1" customWidth="1"/>
    <col min="8" max="8" width="0.90625" style="1" customWidth="1"/>
    <col min="9" max="9" width="9.36328125" style="1" customWidth="1"/>
    <col min="10" max="10" width="11" style="1" customWidth="1"/>
    <col min="11" max="11" width="9.6328125" style="1" customWidth="1"/>
    <col min="12" max="12" width="10.54296875" style="1" customWidth="1"/>
    <col min="13" max="13" width="9.90625" style="1" customWidth="1"/>
    <col min="14" max="14" width="9.54296875" style="1" customWidth="1"/>
    <col min="15" max="15" width="9.08984375" style="1" customWidth="1"/>
    <col min="16" max="16" width="9.6328125" style="1" customWidth="1"/>
    <col min="17" max="17" width="0.90625" style="1" customWidth="1"/>
    <col min="18" max="16384" width="8.90625" style="1"/>
  </cols>
  <sheetData>
    <row r="1" spans="1:131" ht="20.399999999999999">
      <c r="A1" s="825" t="s">
        <v>339</v>
      </c>
      <c r="B1" s="825"/>
      <c r="C1" s="825"/>
      <c r="D1" s="825"/>
      <c r="E1" s="825"/>
      <c r="F1" s="825"/>
      <c r="G1" s="825"/>
      <c r="H1" s="569"/>
      <c r="I1" s="569"/>
      <c r="J1" s="569"/>
      <c r="K1" s="569"/>
      <c r="L1" s="569"/>
      <c r="M1" s="569"/>
      <c r="N1" s="569"/>
      <c r="O1" s="569"/>
      <c r="P1" s="569"/>
      <c r="Q1" s="127" t="s">
        <v>159</v>
      </c>
      <c r="R1" s="126"/>
      <c r="S1" s="569"/>
      <c r="T1" s="569"/>
      <c r="U1" s="569"/>
      <c r="V1" s="569"/>
      <c r="W1" s="569"/>
      <c r="X1" s="569"/>
      <c r="Y1" s="569"/>
      <c r="Z1" s="569"/>
      <c r="AA1" s="569"/>
      <c r="AB1" s="569"/>
      <c r="AC1" s="569"/>
      <c r="AD1" s="569"/>
      <c r="AE1" s="569"/>
      <c r="AF1" s="569"/>
      <c r="AG1" s="569"/>
      <c r="AH1" s="569"/>
      <c r="AI1" s="569"/>
      <c r="AJ1" s="569"/>
      <c r="AK1" s="569"/>
      <c r="AL1" s="569"/>
      <c r="AM1" s="569"/>
      <c r="AN1" s="569"/>
      <c r="AO1" s="569"/>
      <c r="AP1" s="569"/>
      <c r="AQ1" s="569"/>
      <c r="AR1" s="569"/>
      <c r="AS1" s="569"/>
      <c r="AT1" s="569"/>
      <c r="AU1" s="569"/>
      <c r="AV1" s="569"/>
      <c r="AW1" s="569"/>
      <c r="AX1" s="569"/>
      <c r="AY1" s="569"/>
      <c r="AZ1" s="569"/>
      <c r="BA1" s="569"/>
      <c r="BB1" s="569"/>
      <c r="BC1" s="569"/>
      <c r="BD1" s="569"/>
      <c r="BE1" s="569"/>
      <c r="BF1" s="569"/>
      <c r="BG1" s="569"/>
      <c r="BH1" s="569"/>
      <c r="BI1" s="569"/>
      <c r="BJ1" s="569"/>
      <c r="BK1" s="569"/>
      <c r="BL1" s="569"/>
      <c r="BM1" s="569"/>
      <c r="BN1" s="569"/>
      <c r="BO1" s="569"/>
      <c r="BP1" s="569"/>
      <c r="BQ1" s="569"/>
      <c r="BR1" s="569"/>
      <c r="BS1" s="569"/>
      <c r="BT1" s="569"/>
      <c r="BU1" s="569"/>
      <c r="BV1" s="569"/>
      <c r="BW1" s="569"/>
      <c r="BX1" s="569"/>
      <c r="BY1" s="569"/>
      <c r="BZ1" s="569"/>
      <c r="CA1" s="569"/>
      <c r="CB1" s="569"/>
      <c r="CC1" s="569"/>
      <c r="CD1" s="569"/>
      <c r="CE1" s="569"/>
      <c r="CF1" s="569"/>
      <c r="CG1" s="569"/>
      <c r="CH1" s="569"/>
      <c r="CI1" s="569"/>
      <c r="CJ1" s="569"/>
      <c r="CK1" s="569"/>
      <c r="CL1" s="569"/>
      <c r="CM1" s="569"/>
      <c r="CN1" s="569"/>
      <c r="CO1" s="569"/>
      <c r="CP1" s="569"/>
      <c r="CQ1" s="569"/>
      <c r="CR1" s="569"/>
      <c r="CS1" s="569"/>
      <c r="CT1" s="569"/>
      <c r="CU1" s="569"/>
      <c r="CV1" s="569"/>
      <c r="CW1" s="569"/>
      <c r="CX1" s="569"/>
      <c r="CY1" s="569"/>
      <c r="CZ1" s="569"/>
      <c r="DA1" s="569"/>
      <c r="DB1" s="569"/>
      <c r="DC1" s="569"/>
      <c r="DD1" s="569"/>
      <c r="DE1" s="569"/>
      <c r="DF1" s="569"/>
      <c r="DG1" s="569"/>
      <c r="DH1" s="569"/>
      <c r="DI1" s="569"/>
      <c r="DJ1" s="569"/>
      <c r="DK1" s="569"/>
      <c r="DL1" s="569"/>
      <c r="DM1" s="569"/>
      <c r="DN1" s="569"/>
      <c r="DO1" s="569"/>
      <c r="DP1" s="569"/>
      <c r="DQ1" s="569"/>
      <c r="DR1" s="569"/>
      <c r="DS1" s="569"/>
      <c r="DT1" s="569"/>
      <c r="DU1" s="569"/>
      <c r="DV1" s="569"/>
      <c r="DW1" s="569"/>
      <c r="DX1" s="569"/>
      <c r="DY1" s="569"/>
      <c r="DZ1" s="569"/>
      <c r="EA1" s="569"/>
    </row>
    <row r="2" spans="1:131" ht="33.6" customHeight="1">
      <c r="A2" s="820" t="s">
        <v>340</v>
      </c>
      <c r="B2" s="820"/>
      <c r="C2" s="820"/>
      <c r="D2" s="820"/>
      <c r="E2" s="820"/>
      <c r="F2" s="820"/>
      <c r="G2" s="820"/>
      <c r="H2" s="820"/>
      <c r="I2" s="820"/>
      <c r="J2" s="820"/>
      <c r="K2" s="820"/>
      <c r="L2" s="820"/>
      <c r="M2" s="820"/>
      <c r="N2" s="820"/>
      <c r="O2" s="820"/>
      <c r="P2" s="820"/>
      <c r="Q2" s="127" t="s">
        <v>159</v>
      </c>
      <c r="R2" s="126"/>
      <c r="S2" s="569"/>
      <c r="T2" s="569"/>
      <c r="U2" s="569"/>
      <c r="V2" s="569"/>
      <c r="W2" s="569"/>
      <c r="X2" s="569"/>
      <c r="Y2" s="569"/>
      <c r="Z2" s="569"/>
      <c r="AA2" s="569"/>
      <c r="AB2" s="569"/>
      <c r="AC2" s="569"/>
      <c r="AD2" s="569"/>
      <c r="AE2" s="569"/>
      <c r="AF2" s="569"/>
      <c r="AG2" s="569"/>
      <c r="AH2" s="569"/>
      <c r="AI2" s="569"/>
      <c r="AJ2" s="569"/>
      <c r="AK2" s="569"/>
      <c r="AL2" s="569"/>
      <c r="AM2" s="569"/>
      <c r="AN2" s="569"/>
      <c r="AO2" s="569"/>
      <c r="AP2" s="569"/>
      <c r="AQ2" s="569"/>
      <c r="AR2" s="569"/>
      <c r="AS2" s="569"/>
      <c r="AT2" s="569"/>
      <c r="AU2" s="569"/>
      <c r="AV2" s="569"/>
      <c r="AW2" s="569"/>
      <c r="AX2" s="569"/>
      <c r="AY2" s="569"/>
      <c r="AZ2" s="569"/>
      <c r="BA2" s="569"/>
      <c r="BB2" s="569"/>
      <c r="BC2" s="569"/>
      <c r="BD2" s="569"/>
      <c r="BE2" s="569"/>
      <c r="BF2" s="569"/>
      <c r="BG2" s="569"/>
      <c r="BH2" s="569"/>
      <c r="BI2" s="569"/>
      <c r="BJ2" s="569"/>
      <c r="BK2" s="569"/>
      <c r="BL2" s="569"/>
      <c r="BM2" s="569"/>
      <c r="BN2" s="569"/>
      <c r="BO2" s="569"/>
      <c r="BP2" s="569"/>
      <c r="BQ2" s="569"/>
      <c r="BR2" s="569"/>
      <c r="BS2" s="569"/>
      <c r="BT2" s="569"/>
      <c r="BU2" s="569"/>
      <c r="BV2" s="569"/>
      <c r="BW2" s="569"/>
      <c r="BX2" s="569"/>
      <c r="BY2" s="569"/>
      <c r="BZ2" s="569"/>
      <c r="CA2" s="569"/>
      <c r="CB2" s="569"/>
      <c r="CC2" s="569"/>
      <c r="CD2" s="569"/>
      <c r="CE2" s="569"/>
      <c r="CF2" s="569"/>
      <c r="CG2" s="569"/>
      <c r="CH2" s="569"/>
      <c r="CI2" s="569"/>
      <c r="CJ2" s="569"/>
      <c r="CK2" s="569"/>
      <c r="CL2" s="569"/>
      <c r="CM2" s="569"/>
      <c r="CN2" s="569"/>
      <c r="CO2" s="569"/>
      <c r="CP2" s="569"/>
      <c r="CQ2" s="569"/>
      <c r="CR2" s="569"/>
      <c r="CS2" s="569"/>
      <c r="CT2" s="569"/>
      <c r="CU2" s="569"/>
      <c r="CV2" s="569"/>
      <c r="CW2" s="569"/>
      <c r="CX2" s="569"/>
      <c r="CY2" s="569"/>
      <c r="CZ2" s="569"/>
      <c r="DA2" s="569"/>
      <c r="DB2" s="569"/>
      <c r="DC2" s="569"/>
      <c r="DD2" s="569"/>
      <c r="DE2" s="569"/>
      <c r="DF2" s="569"/>
      <c r="DG2" s="569"/>
      <c r="DH2" s="569"/>
      <c r="DI2" s="569"/>
      <c r="DJ2" s="569"/>
      <c r="DK2" s="569"/>
      <c r="DL2" s="569"/>
      <c r="DM2" s="569"/>
      <c r="DN2" s="569"/>
      <c r="DO2" s="569"/>
      <c r="DP2" s="569"/>
      <c r="DQ2" s="569"/>
      <c r="DR2" s="569"/>
      <c r="DS2" s="569"/>
      <c r="DT2" s="569"/>
      <c r="DU2" s="569"/>
      <c r="DV2" s="569"/>
      <c r="DW2" s="569"/>
      <c r="DX2" s="569"/>
      <c r="DY2" s="569"/>
      <c r="DZ2" s="569"/>
      <c r="EA2" s="569"/>
    </row>
    <row r="3" spans="1:131">
      <c r="A3" s="820" t="s">
        <v>30</v>
      </c>
      <c r="B3" s="820"/>
      <c r="C3" s="820"/>
      <c r="D3" s="820"/>
      <c r="E3" s="820"/>
      <c r="F3" s="820"/>
      <c r="G3" s="820"/>
      <c r="H3" s="820"/>
      <c r="I3" s="820"/>
      <c r="J3" s="820"/>
      <c r="K3" s="820"/>
      <c r="L3" s="820"/>
      <c r="M3" s="820"/>
      <c r="N3" s="820"/>
      <c r="O3" s="820"/>
      <c r="P3" s="820"/>
      <c r="Q3" s="127" t="s">
        <v>159</v>
      </c>
      <c r="R3" s="126"/>
      <c r="S3" s="569"/>
      <c r="T3" s="569"/>
      <c r="U3" s="569"/>
      <c r="V3" s="569"/>
      <c r="W3" s="569"/>
      <c r="X3" s="569"/>
      <c r="Y3" s="569"/>
      <c r="Z3" s="569"/>
      <c r="AA3" s="569"/>
      <c r="AB3" s="569"/>
      <c r="AC3" s="569"/>
      <c r="AD3" s="569"/>
      <c r="AE3" s="569"/>
      <c r="AF3" s="569"/>
      <c r="AG3" s="569"/>
      <c r="AH3" s="569"/>
      <c r="AI3" s="569"/>
      <c r="AJ3" s="569"/>
      <c r="AK3" s="569"/>
      <c r="AL3" s="569"/>
      <c r="AM3" s="569"/>
      <c r="AN3" s="569"/>
      <c r="AO3" s="569"/>
      <c r="AP3" s="569"/>
      <c r="AQ3" s="569"/>
      <c r="AR3" s="569"/>
      <c r="AS3" s="569"/>
      <c r="AT3" s="569"/>
      <c r="AU3" s="569"/>
      <c r="AV3" s="569"/>
      <c r="AW3" s="569"/>
      <c r="AX3" s="569"/>
      <c r="AY3" s="569"/>
      <c r="AZ3" s="569"/>
      <c r="BA3" s="569"/>
      <c r="BB3" s="569"/>
      <c r="BC3" s="569"/>
      <c r="BD3" s="569"/>
      <c r="BE3" s="569"/>
      <c r="BF3" s="569"/>
      <c r="BG3" s="569"/>
      <c r="BH3" s="569"/>
      <c r="BI3" s="569"/>
      <c r="BJ3" s="569"/>
      <c r="BK3" s="569"/>
      <c r="BL3" s="569"/>
      <c r="BM3" s="569"/>
      <c r="BN3" s="569"/>
      <c r="BO3" s="569"/>
      <c r="BP3" s="569"/>
      <c r="BQ3" s="569"/>
      <c r="BR3" s="569"/>
      <c r="BS3" s="569"/>
      <c r="BT3" s="569"/>
      <c r="BU3" s="569"/>
      <c r="BV3" s="569"/>
      <c r="BW3" s="569"/>
      <c r="BX3" s="569"/>
      <c r="BY3" s="569"/>
      <c r="BZ3" s="569"/>
      <c r="CA3" s="569"/>
      <c r="CB3" s="569"/>
      <c r="CC3" s="569"/>
      <c r="CD3" s="569"/>
      <c r="CE3" s="569"/>
      <c r="CF3" s="569"/>
      <c r="CG3" s="569"/>
      <c r="CH3" s="569"/>
      <c r="CI3" s="569"/>
      <c r="CJ3" s="569"/>
      <c r="CK3" s="569"/>
      <c r="CL3" s="569"/>
      <c r="CM3" s="569"/>
      <c r="CN3" s="569"/>
      <c r="CO3" s="569"/>
      <c r="CP3" s="569"/>
      <c r="CQ3" s="569"/>
      <c r="CR3" s="569"/>
      <c r="CS3" s="569"/>
      <c r="CT3" s="569"/>
      <c r="CU3" s="569"/>
      <c r="CV3" s="569"/>
      <c r="CW3" s="569"/>
      <c r="CX3" s="569"/>
      <c r="CY3" s="569"/>
      <c r="CZ3" s="569"/>
      <c r="DA3" s="569"/>
      <c r="DB3" s="569"/>
      <c r="DC3" s="569"/>
      <c r="DD3" s="569"/>
      <c r="DE3" s="569"/>
      <c r="DF3" s="569"/>
      <c r="DG3" s="569"/>
      <c r="DH3" s="569"/>
      <c r="DI3" s="569"/>
      <c r="DJ3" s="569"/>
      <c r="DK3" s="569"/>
      <c r="DL3" s="569"/>
      <c r="DM3" s="569"/>
      <c r="DN3" s="569"/>
      <c r="DO3" s="569"/>
      <c r="DP3" s="569"/>
      <c r="DQ3" s="569"/>
      <c r="DR3" s="569"/>
      <c r="DS3" s="569"/>
      <c r="DT3" s="569"/>
      <c r="DU3" s="569"/>
      <c r="DV3" s="569"/>
      <c r="DW3" s="569"/>
      <c r="DX3" s="569"/>
      <c r="DY3" s="569"/>
      <c r="DZ3" s="569"/>
      <c r="EA3" s="569"/>
    </row>
    <row r="4" spans="1:131">
      <c r="A4" s="820" t="s">
        <v>31</v>
      </c>
      <c r="B4" s="820"/>
      <c r="C4" s="820"/>
      <c r="D4" s="820"/>
      <c r="E4" s="820"/>
      <c r="F4" s="820"/>
      <c r="G4" s="820"/>
      <c r="H4" s="820"/>
      <c r="I4" s="820"/>
      <c r="J4" s="820"/>
      <c r="K4" s="820"/>
      <c r="L4" s="820"/>
      <c r="M4" s="820"/>
      <c r="N4" s="820"/>
      <c r="O4" s="820"/>
      <c r="P4" s="820"/>
      <c r="Q4" s="127" t="s">
        <v>159</v>
      </c>
      <c r="R4" s="126"/>
      <c r="S4" s="569"/>
      <c r="T4" s="569"/>
      <c r="U4" s="569"/>
      <c r="V4" s="569"/>
      <c r="W4" s="569"/>
      <c r="X4" s="569"/>
      <c r="Y4" s="569"/>
      <c r="Z4" s="569"/>
      <c r="AA4" s="569"/>
      <c r="AB4" s="569"/>
      <c r="AC4" s="569"/>
      <c r="AD4" s="569"/>
      <c r="AE4" s="569"/>
      <c r="AF4" s="569"/>
      <c r="AG4" s="569"/>
      <c r="AH4" s="569"/>
      <c r="AI4" s="569"/>
      <c r="AJ4" s="569"/>
      <c r="AK4" s="569"/>
      <c r="AL4" s="569"/>
      <c r="AM4" s="569"/>
      <c r="AN4" s="569"/>
      <c r="AO4" s="569"/>
      <c r="AP4" s="569"/>
      <c r="AQ4" s="569"/>
      <c r="AR4" s="569"/>
      <c r="AS4" s="569"/>
      <c r="AT4" s="569"/>
      <c r="AU4" s="569"/>
      <c r="AV4" s="569"/>
      <c r="AW4" s="569"/>
      <c r="AX4" s="569"/>
      <c r="AY4" s="569"/>
      <c r="AZ4" s="569"/>
      <c r="BA4" s="569"/>
      <c r="BB4" s="569"/>
      <c r="BC4" s="569"/>
      <c r="BD4" s="569"/>
      <c r="BE4" s="569"/>
      <c r="BF4" s="569"/>
      <c r="BG4" s="569"/>
      <c r="BH4" s="569"/>
      <c r="BI4" s="569"/>
      <c r="BJ4" s="569"/>
      <c r="BK4" s="569"/>
      <c r="BL4" s="569"/>
      <c r="BM4" s="569"/>
      <c r="BN4" s="569"/>
      <c r="BO4" s="569"/>
      <c r="BP4" s="569"/>
      <c r="BQ4" s="569"/>
      <c r="BR4" s="569"/>
      <c r="BS4" s="569"/>
      <c r="BT4" s="569"/>
      <c r="BU4" s="569"/>
      <c r="BV4" s="569"/>
      <c r="BW4" s="569"/>
      <c r="BX4" s="569"/>
      <c r="BY4" s="569"/>
      <c r="BZ4" s="569"/>
      <c r="CA4" s="569"/>
      <c r="CB4" s="569"/>
      <c r="CC4" s="569"/>
      <c r="CD4" s="569"/>
      <c r="CE4" s="569"/>
      <c r="CF4" s="569"/>
      <c r="CG4" s="569"/>
      <c r="CH4" s="569"/>
      <c r="CI4" s="569"/>
      <c r="CJ4" s="569"/>
      <c r="CK4" s="569"/>
      <c r="CL4" s="569"/>
      <c r="CM4" s="569"/>
      <c r="CN4" s="569"/>
      <c r="CO4" s="569"/>
      <c r="CP4" s="569"/>
      <c r="CQ4" s="569"/>
      <c r="CR4" s="569"/>
      <c r="CS4" s="569"/>
      <c r="CT4" s="569"/>
      <c r="CU4" s="569"/>
      <c r="CV4" s="569"/>
      <c r="CW4" s="569"/>
      <c r="CX4" s="569"/>
      <c r="CY4" s="569"/>
      <c r="CZ4" s="569"/>
      <c r="DA4" s="569"/>
      <c r="DB4" s="569"/>
      <c r="DC4" s="569"/>
      <c r="DD4" s="569"/>
      <c r="DE4" s="569"/>
      <c r="DF4" s="569"/>
      <c r="DG4" s="569"/>
      <c r="DH4" s="569"/>
      <c r="DI4" s="569"/>
      <c r="DJ4" s="569"/>
      <c r="DK4" s="569"/>
      <c r="DL4" s="569"/>
      <c r="DM4" s="569"/>
      <c r="DN4" s="569"/>
      <c r="DO4" s="569"/>
      <c r="DP4" s="569"/>
      <c r="DQ4" s="569"/>
      <c r="DR4" s="569"/>
      <c r="DS4" s="569"/>
      <c r="DT4" s="569"/>
      <c r="DU4" s="569"/>
      <c r="DV4" s="569"/>
      <c r="DW4" s="569"/>
      <c r="DX4" s="569"/>
      <c r="DY4" s="569"/>
      <c r="DZ4" s="569"/>
      <c r="EA4" s="569"/>
    </row>
    <row r="5" spans="1:131">
      <c r="A5" s="820" t="s">
        <v>44</v>
      </c>
      <c r="B5" s="820"/>
      <c r="C5" s="820"/>
      <c r="D5" s="820"/>
      <c r="E5" s="820"/>
      <c r="F5" s="820"/>
      <c r="G5" s="820"/>
      <c r="H5" s="820"/>
      <c r="I5" s="820"/>
      <c r="J5" s="820"/>
      <c r="K5" s="820"/>
      <c r="L5" s="820"/>
      <c r="M5" s="820"/>
      <c r="N5" s="820"/>
      <c r="O5" s="820"/>
      <c r="P5" s="820"/>
      <c r="Q5" s="127" t="s">
        <v>159</v>
      </c>
      <c r="R5" s="126"/>
      <c r="S5" s="569"/>
      <c r="T5" s="569"/>
      <c r="U5" s="569"/>
      <c r="V5" s="569"/>
      <c r="W5" s="569"/>
      <c r="X5" s="569"/>
      <c r="Y5" s="569"/>
      <c r="Z5" s="569"/>
      <c r="AA5" s="569"/>
      <c r="AB5" s="569"/>
      <c r="AC5" s="569"/>
      <c r="AD5" s="569"/>
      <c r="AE5" s="569"/>
      <c r="AF5" s="569"/>
      <c r="AG5" s="569"/>
      <c r="AH5" s="569"/>
      <c r="AI5" s="569"/>
      <c r="AJ5" s="569"/>
      <c r="AK5" s="569"/>
      <c r="AL5" s="569"/>
      <c r="AM5" s="569"/>
      <c r="AN5" s="569"/>
      <c r="AO5" s="569"/>
      <c r="AP5" s="569"/>
      <c r="AQ5" s="569"/>
      <c r="AR5" s="569"/>
      <c r="AS5" s="569"/>
      <c r="AT5" s="569"/>
      <c r="AU5" s="569"/>
      <c r="AV5" s="569"/>
      <c r="AW5" s="569"/>
      <c r="AX5" s="569"/>
      <c r="AY5" s="569"/>
      <c r="AZ5" s="569"/>
      <c r="BA5" s="569"/>
      <c r="BB5" s="569"/>
      <c r="BC5" s="569"/>
      <c r="BD5" s="569"/>
      <c r="BE5" s="569"/>
      <c r="BF5" s="569"/>
      <c r="BG5" s="569"/>
      <c r="BH5" s="569"/>
      <c r="BI5" s="569"/>
      <c r="BJ5" s="569"/>
      <c r="BK5" s="569"/>
      <c r="BL5" s="569"/>
      <c r="BM5" s="569"/>
      <c r="BN5" s="569"/>
      <c r="BO5" s="569"/>
      <c r="BP5" s="569"/>
      <c r="BQ5" s="569"/>
      <c r="BR5" s="569"/>
      <c r="BS5" s="569"/>
      <c r="BT5" s="569"/>
      <c r="BU5" s="569"/>
      <c r="BV5" s="569"/>
      <c r="BW5" s="569"/>
      <c r="BX5" s="569"/>
      <c r="BY5" s="569"/>
      <c r="BZ5" s="569"/>
      <c r="CA5" s="569"/>
      <c r="CB5" s="569"/>
      <c r="CC5" s="569"/>
      <c r="CD5" s="569"/>
      <c r="CE5" s="569"/>
      <c r="CF5" s="569"/>
      <c r="CG5" s="569"/>
      <c r="CH5" s="569"/>
      <c r="CI5" s="569"/>
      <c r="CJ5" s="569"/>
      <c r="CK5" s="569"/>
      <c r="CL5" s="569"/>
      <c r="CM5" s="569"/>
      <c r="CN5" s="569"/>
      <c r="CO5" s="569"/>
      <c r="CP5" s="569"/>
      <c r="CQ5" s="569"/>
      <c r="CR5" s="569"/>
      <c r="CS5" s="569"/>
      <c r="CT5" s="569"/>
      <c r="CU5" s="569"/>
      <c r="CV5" s="569"/>
      <c r="CW5" s="569"/>
      <c r="CX5" s="569"/>
      <c r="CY5" s="569"/>
      <c r="CZ5" s="569"/>
      <c r="DA5" s="569"/>
      <c r="DB5" s="569"/>
      <c r="DC5" s="569"/>
      <c r="DD5" s="569"/>
      <c r="DE5" s="569"/>
      <c r="DF5" s="569"/>
      <c r="DG5" s="569"/>
      <c r="DH5" s="569"/>
      <c r="DI5" s="569"/>
      <c r="DJ5" s="569"/>
      <c r="DK5" s="569"/>
      <c r="DL5" s="569"/>
      <c r="DM5" s="569"/>
      <c r="DN5" s="569"/>
      <c r="DO5" s="569"/>
      <c r="DP5" s="569"/>
      <c r="DQ5" s="569"/>
      <c r="DR5" s="569"/>
      <c r="DS5" s="569"/>
      <c r="DT5" s="569"/>
      <c r="DU5" s="569"/>
      <c r="DV5" s="569"/>
      <c r="DW5" s="569"/>
      <c r="DX5" s="569"/>
      <c r="DY5" s="569"/>
      <c r="DZ5" s="569"/>
      <c r="EA5" s="569"/>
    </row>
    <row r="6" spans="1:131" ht="16.2" thickBot="1">
      <c r="A6" s="570" t="s">
        <v>113</v>
      </c>
      <c r="B6" s="570"/>
      <c r="C6" s="570"/>
      <c r="D6" s="570"/>
      <c r="E6" s="570"/>
      <c r="F6" s="570"/>
      <c r="G6" s="570"/>
      <c r="H6" s="570"/>
      <c r="I6" s="570"/>
      <c r="J6" s="570"/>
      <c r="K6" s="570"/>
      <c r="L6" s="570"/>
      <c r="M6" s="570"/>
      <c r="N6" s="570"/>
      <c r="O6" s="570"/>
      <c r="P6" s="570"/>
      <c r="Q6" s="127" t="s">
        <v>159</v>
      </c>
      <c r="R6" s="126"/>
      <c r="S6" s="569"/>
      <c r="T6" s="569"/>
      <c r="U6" s="569"/>
      <c r="V6" s="569"/>
      <c r="W6" s="569"/>
      <c r="X6" s="569"/>
      <c r="Y6" s="569"/>
      <c r="Z6" s="569"/>
      <c r="AA6" s="569"/>
      <c r="AB6" s="569"/>
      <c r="AC6" s="569"/>
      <c r="AD6" s="569"/>
      <c r="AE6" s="569"/>
      <c r="AF6" s="569"/>
      <c r="AG6" s="569"/>
      <c r="AH6" s="569"/>
      <c r="AI6" s="569"/>
      <c r="AJ6" s="569"/>
      <c r="AK6" s="569"/>
      <c r="AL6" s="569"/>
      <c r="AM6" s="569"/>
      <c r="AN6" s="569"/>
      <c r="AO6" s="569"/>
      <c r="AP6" s="569"/>
      <c r="AQ6" s="569"/>
      <c r="AR6" s="569"/>
      <c r="AS6" s="569"/>
      <c r="AT6" s="569"/>
      <c r="AU6" s="569"/>
      <c r="AV6" s="569"/>
      <c r="AW6" s="569"/>
      <c r="AX6" s="569"/>
      <c r="AY6" s="569"/>
      <c r="AZ6" s="569"/>
      <c r="BA6" s="569"/>
      <c r="BB6" s="569"/>
      <c r="BC6" s="569"/>
      <c r="BD6" s="569"/>
      <c r="BE6" s="569"/>
      <c r="BF6" s="569"/>
      <c r="BG6" s="569"/>
      <c r="BH6" s="569"/>
      <c r="BI6" s="569"/>
      <c r="BJ6" s="569"/>
      <c r="BK6" s="569"/>
      <c r="BL6" s="569"/>
      <c r="BM6" s="569"/>
      <c r="BN6" s="569"/>
      <c r="BO6" s="569"/>
      <c r="BP6" s="569"/>
      <c r="BQ6" s="569"/>
      <c r="BR6" s="569"/>
      <c r="BS6" s="569"/>
      <c r="BT6" s="569"/>
      <c r="BU6" s="569"/>
      <c r="BV6" s="569"/>
      <c r="BW6" s="569"/>
      <c r="BX6" s="569"/>
      <c r="BY6" s="569"/>
      <c r="BZ6" s="569"/>
      <c r="CA6" s="569"/>
      <c r="CB6" s="569"/>
      <c r="CC6" s="569"/>
      <c r="CD6" s="569"/>
      <c r="CE6" s="569"/>
      <c r="CF6" s="569"/>
      <c r="CG6" s="569"/>
      <c r="CH6" s="569"/>
      <c r="CI6" s="569"/>
      <c r="CJ6" s="569"/>
      <c r="CK6" s="569"/>
      <c r="CL6" s="569"/>
      <c r="CM6" s="569"/>
      <c r="CN6" s="569"/>
      <c r="CO6" s="569"/>
      <c r="CP6" s="569"/>
      <c r="CQ6" s="569"/>
      <c r="CR6" s="569"/>
      <c r="CS6" s="569"/>
      <c r="CT6" s="569"/>
      <c r="CU6" s="569"/>
      <c r="CV6" s="569"/>
      <c r="CW6" s="569"/>
      <c r="CX6" s="569"/>
      <c r="CY6" s="569"/>
      <c r="CZ6" s="569"/>
      <c r="DA6" s="569"/>
      <c r="DB6" s="569"/>
      <c r="DC6" s="569"/>
      <c r="DD6" s="569"/>
      <c r="DE6" s="569"/>
      <c r="DF6" s="569"/>
      <c r="DG6" s="569"/>
      <c r="DH6" s="569"/>
      <c r="DI6" s="569"/>
      <c r="DJ6" s="569"/>
      <c r="DK6" s="569"/>
      <c r="DL6" s="569"/>
      <c r="DM6" s="569"/>
      <c r="DN6" s="569"/>
      <c r="DO6" s="569"/>
      <c r="DP6" s="569"/>
      <c r="DQ6" s="569"/>
      <c r="DR6" s="569"/>
      <c r="DS6" s="569"/>
      <c r="DT6" s="569"/>
      <c r="DU6" s="569"/>
      <c r="DV6" s="569"/>
      <c r="DW6" s="569"/>
      <c r="DX6" s="569"/>
      <c r="DY6" s="569"/>
      <c r="DZ6" s="569"/>
      <c r="EA6" s="569"/>
    </row>
    <row r="7" spans="1:131">
      <c r="A7" s="570"/>
      <c r="B7" s="570"/>
      <c r="C7" s="833" t="s">
        <v>385</v>
      </c>
      <c r="D7" s="834"/>
      <c r="E7" s="571"/>
      <c r="F7" s="826" t="s">
        <v>384</v>
      </c>
      <c r="G7" s="827"/>
      <c r="H7" s="571"/>
      <c r="I7" s="833" t="s">
        <v>197</v>
      </c>
      <c r="J7" s="834"/>
      <c r="K7" s="830">
        <v>2013</v>
      </c>
      <c r="L7" s="831"/>
      <c r="M7" s="831"/>
      <c r="N7" s="832"/>
      <c r="O7" s="833">
        <v>2013</v>
      </c>
      <c r="P7" s="834"/>
      <c r="Q7" s="127" t="s">
        <v>159</v>
      </c>
      <c r="R7" s="126"/>
      <c r="S7" s="569"/>
      <c r="T7" s="569"/>
      <c r="U7" s="569"/>
      <c r="V7" s="569"/>
      <c r="W7" s="569"/>
      <c r="X7" s="569"/>
      <c r="Y7" s="569"/>
      <c r="Z7" s="569"/>
      <c r="AA7" s="569"/>
      <c r="AB7" s="569"/>
      <c r="AC7" s="569"/>
      <c r="AD7" s="569"/>
      <c r="AE7" s="569"/>
      <c r="AF7" s="569"/>
      <c r="AG7" s="569"/>
      <c r="AH7" s="569"/>
      <c r="AI7" s="569"/>
      <c r="AJ7" s="569"/>
      <c r="AK7" s="569"/>
      <c r="AL7" s="569"/>
      <c r="AM7" s="569"/>
      <c r="AN7" s="569"/>
      <c r="AO7" s="569"/>
      <c r="AP7" s="569"/>
      <c r="AQ7" s="569"/>
      <c r="AR7" s="569"/>
      <c r="AS7" s="569"/>
      <c r="AT7" s="569"/>
      <c r="AU7" s="569"/>
      <c r="AV7" s="569"/>
      <c r="AW7" s="569"/>
      <c r="AX7" s="569"/>
      <c r="AY7" s="569"/>
      <c r="AZ7" s="569"/>
      <c r="BA7" s="569"/>
      <c r="BB7" s="569"/>
      <c r="BC7" s="569"/>
      <c r="BD7" s="569"/>
      <c r="BE7" s="569"/>
      <c r="BF7" s="569"/>
      <c r="BG7" s="569"/>
      <c r="BH7" s="569"/>
      <c r="BI7" s="569"/>
      <c r="BJ7" s="569"/>
      <c r="BK7" s="569"/>
      <c r="BL7" s="569"/>
      <c r="BM7" s="569"/>
      <c r="BN7" s="569"/>
      <c r="BO7" s="569"/>
      <c r="BP7" s="569"/>
      <c r="BQ7" s="569"/>
      <c r="BR7" s="569"/>
      <c r="BS7" s="569"/>
      <c r="BT7" s="569"/>
      <c r="BU7" s="569"/>
      <c r="BV7" s="569"/>
      <c r="BW7" s="569"/>
      <c r="BX7" s="569"/>
      <c r="BY7" s="569"/>
      <c r="BZ7" s="569"/>
      <c r="CA7" s="569"/>
      <c r="CB7" s="569"/>
      <c r="CC7" s="569"/>
      <c r="CD7" s="569"/>
      <c r="CE7" s="569"/>
      <c r="CF7" s="569"/>
      <c r="CG7" s="569"/>
      <c r="CH7" s="569"/>
      <c r="CI7" s="569"/>
      <c r="CJ7" s="569"/>
      <c r="CK7" s="569"/>
      <c r="CL7" s="569"/>
      <c r="CM7" s="569"/>
      <c r="CN7" s="569"/>
      <c r="CO7" s="569"/>
      <c r="CP7" s="569"/>
      <c r="CQ7" s="569"/>
      <c r="CR7" s="569"/>
      <c r="CS7" s="569"/>
      <c r="CT7" s="569"/>
      <c r="CU7" s="569"/>
      <c r="CV7" s="569"/>
      <c r="CW7" s="569"/>
      <c r="CX7" s="569"/>
      <c r="CY7" s="569"/>
      <c r="CZ7" s="569"/>
      <c r="DA7" s="569"/>
      <c r="DB7" s="569"/>
      <c r="DC7" s="569"/>
      <c r="DD7" s="569"/>
      <c r="DE7" s="569"/>
      <c r="DF7" s="569"/>
      <c r="DG7" s="569"/>
      <c r="DH7" s="569"/>
      <c r="DI7" s="569"/>
      <c r="DJ7" s="569"/>
      <c r="DK7" s="569"/>
      <c r="DL7" s="569"/>
      <c r="DM7" s="569"/>
      <c r="DN7" s="569"/>
      <c r="DO7" s="569"/>
      <c r="DP7" s="569"/>
      <c r="DQ7" s="569"/>
      <c r="DR7" s="569"/>
      <c r="DS7" s="569"/>
      <c r="DT7" s="569"/>
      <c r="DU7" s="569"/>
      <c r="DV7" s="569"/>
      <c r="DW7" s="569"/>
      <c r="DX7" s="569"/>
      <c r="DY7" s="569"/>
      <c r="DZ7" s="569"/>
      <c r="EA7" s="569"/>
    </row>
    <row r="8" spans="1:131" ht="16.2" thickBot="1">
      <c r="A8" s="570"/>
      <c r="B8" s="570"/>
      <c r="C8" s="823"/>
      <c r="D8" s="824"/>
      <c r="E8" s="571"/>
      <c r="F8" s="828"/>
      <c r="G8" s="829"/>
      <c r="H8" s="571"/>
      <c r="I8" s="823"/>
      <c r="J8" s="824"/>
      <c r="K8" s="821" t="s">
        <v>341</v>
      </c>
      <c r="L8" s="822"/>
      <c r="M8" s="821" t="s">
        <v>342</v>
      </c>
      <c r="N8" s="822"/>
      <c r="O8" s="823" t="s">
        <v>343</v>
      </c>
      <c r="P8" s="824"/>
      <c r="Q8" s="127" t="s">
        <v>159</v>
      </c>
      <c r="R8" s="126"/>
      <c r="S8" s="569"/>
      <c r="T8" s="569"/>
      <c r="U8" s="569"/>
      <c r="V8" s="569"/>
      <c r="W8" s="569"/>
      <c r="X8" s="569"/>
      <c r="Y8" s="569"/>
      <c r="Z8" s="569"/>
      <c r="AA8" s="569"/>
      <c r="AB8" s="569"/>
      <c r="AC8" s="569"/>
      <c r="AD8" s="569"/>
      <c r="AE8" s="569"/>
      <c r="AF8" s="569"/>
      <c r="AG8" s="569"/>
      <c r="AH8" s="569"/>
      <c r="AI8" s="569"/>
      <c r="AJ8" s="569"/>
      <c r="AK8" s="569"/>
      <c r="AL8" s="569"/>
      <c r="AM8" s="569"/>
      <c r="AN8" s="569"/>
      <c r="AO8" s="569"/>
      <c r="AP8" s="569"/>
      <c r="AQ8" s="569"/>
      <c r="AR8" s="569"/>
      <c r="AS8" s="569"/>
      <c r="AT8" s="569"/>
      <c r="AU8" s="569"/>
      <c r="AV8" s="569"/>
      <c r="AW8" s="569"/>
      <c r="AX8" s="569"/>
      <c r="AY8" s="569"/>
      <c r="AZ8" s="569"/>
      <c r="BA8" s="569"/>
      <c r="BB8" s="569"/>
      <c r="BC8" s="569"/>
      <c r="BD8" s="569"/>
      <c r="BE8" s="569"/>
      <c r="BF8" s="569"/>
      <c r="BG8" s="569"/>
      <c r="BH8" s="569"/>
      <c r="BI8" s="569"/>
      <c r="BJ8" s="569"/>
      <c r="BK8" s="569"/>
      <c r="BL8" s="569"/>
      <c r="BM8" s="569"/>
      <c r="BN8" s="569"/>
      <c r="BO8" s="569"/>
      <c r="BP8" s="569"/>
      <c r="BQ8" s="569"/>
      <c r="BR8" s="569"/>
      <c r="BS8" s="569"/>
      <c r="BT8" s="569"/>
      <c r="BU8" s="569"/>
      <c r="BV8" s="569"/>
      <c r="BW8" s="569"/>
      <c r="BX8" s="569"/>
      <c r="BY8" s="569"/>
      <c r="BZ8" s="569"/>
      <c r="CA8" s="569"/>
      <c r="CB8" s="569"/>
      <c r="CC8" s="569"/>
      <c r="CD8" s="569"/>
      <c r="CE8" s="569"/>
      <c r="CF8" s="569"/>
      <c r="CG8" s="569"/>
      <c r="CH8" s="569"/>
      <c r="CI8" s="569"/>
      <c r="CJ8" s="569"/>
      <c r="CK8" s="569"/>
      <c r="CL8" s="569"/>
      <c r="CM8" s="569"/>
      <c r="CN8" s="569"/>
      <c r="CO8" s="569"/>
      <c r="CP8" s="569"/>
      <c r="CQ8" s="569"/>
      <c r="CR8" s="569"/>
      <c r="CS8" s="569"/>
      <c r="CT8" s="569"/>
      <c r="CU8" s="569"/>
      <c r="CV8" s="569"/>
      <c r="CW8" s="569"/>
      <c r="CX8" s="569"/>
      <c r="CY8" s="569"/>
      <c r="CZ8" s="569"/>
      <c r="DA8" s="569"/>
      <c r="DB8" s="569"/>
      <c r="DC8" s="569"/>
      <c r="DD8" s="569"/>
      <c r="DE8" s="569"/>
      <c r="DF8" s="569"/>
      <c r="DG8" s="569"/>
      <c r="DH8" s="569"/>
      <c r="DI8" s="569"/>
      <c r="DJ8" s="569"/>
      <c r="DK8" s="569"/>
      <c r="DL8" s="569"/>
      <c r="DM8" s="569"/>
      <c r="DN8" s="569"/>
      <c r="DO8" s="569"/>
      <c r="DP8" s="569"/>
      <c r="DQ8" s="569"/>
      <c r="DR8" s="569"/>
      <c r="DS8" s="569"/>
      <c r="DT8" s="569"/>
      <c r="DU8" s="569"/>
      <c r="DV8" s="569"/>
      <c r="DW8" s="569"/>
      <c r="DX8" s="569"/>
      <c r="DY8" s="569"/>
      <c r="DZ8" s="569"/>
      <c r="EA8" s="569"/>
    </row>
    <row r="9" spans="1:131">
      <c r="A9" s="570"/>
      <c r="B9" s="570"/>
      <c r="C9" s="679" t="s">
        <v>388</v>
      </c>
      <c r="D9" s="673" t="s">
        <v>386</v>
      </c>
      <c r="E9" s="674"/>
      <c r="F9" s="679" t="s">
        <v>388</v>
      </c>
      <c r="G9" s="673" t="s">
        <v>386</v>
      </c>
      <c r="H9" s="674"/>
      <c r="I9" s="679" t="s">
        <v>388</v>
      </c>
      <c r="J9" s="673" t="s">
        <v>386</v>
      </c>
      <c r="K9" s="679" t="s">
        <v>388</v>
      </c>
      <c r="L9" s="673" t="s">
        <v>386</v>
      </c>
      <c r="M9" s="679" t="s">
        <v>388</v>
      </c>
      <c r="N9" s="673" t="s">
        <v>386</v>
      </c>
      <c r="O9" s="679" t="s">
        <v>388</v>
      </c>
      <c r="P9" s="673" t="s">
        <v>386</v>
      </c>
      <c r="Q9" s="127" t="s">
        <v>159</v>
      </c>
      <c r="R9" s="126"/>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69"/>
      <c r="AY9" s="569"/>
      <c r="AZ9" s="569"/>
      <c r="BA9" s="569"/>
      <c r="BB9" s="569"/>
      <c r="BC9" s="569"/>
      <c r="BD9" s="569"/>
      <c r="BE9" s="569"/>
      <c r="BF9" s="569"/>
      <c r="BG9" s="569"/>
      <c r="BH9" s="569"/>
      <c r="BI9" s="569"/>
      <c r="BJ9" s="569"/>
      <c r="BK9" s="569"/>
      <c r="BL9" s="569"/>
      <c r="BM9" s="569"/>
      <c r="BN9" s="569"/>
      <c r="BO9" s="569"/>
      <c r="BP9" s="569"/>
      <c r="BQ9" s="569"/>
      <c r="BR9" s="569"/>
      <c r="BS9" s="569"/>
      <c r="BT9" s="569"/>
      <c r="BU9" s="569"/>
      <c r="BV9" s="569"/>
      <c r="BW9" s="569"/>
      <c r="BX9" s="569"/>
      <c r="BY9" s="569"/>
      <c r="BZ9" s="569"/>
      <c r="CA9" s="569"/>
      <c r="CB9" s="569"/>
      <c r="CC9" s="569"/>
      <c r="CD9" s="569"/>
      <c r="CE9" s="569"/>
      <c r="CF9" s="569"/>
      <c r="CG9" s="569"/>
      <c r="CH9" s="569"/>
      <c r="CI9" s="569"/>
      <c r="CJ9" s="569"/>
      <c r="CK9" s="569"/>
      <c r="CL9" s="569"/>
      <c r="CM9" s="569"/>
      <c r="CN9" s="569"/>
      <c r="CO9" s="569"/>
      <c r="CP9" s="569"/>
      <c r="CQ9" s="569"/>
      <c r="CR9" s="569"/>
      <c r="CS9" s="569"/>
      <c r="CT9" s="569"/>
      <c r="CU9" s="569"/>
      <c r="CV9" s="569"/>
      <c r="CW9" s="569"/>
      <c r="CX9" s="569"/>
      <c r="CY9" s="569"/>
      <c r="CZ9" s="569"/>
      <c r="DA9" s="569"/>
      <c r="DB9" s="569"/>
      <c r="DC9" s="569"/>
      <c r="DD9" s="569"/>
      <c r="DE9" s="569"/>
      <c r="DF9" s="569"/>
      <c r="DG9" s="569"/>
      <c r="DH9" s="569"/>
      <c r="DI9" s="569"/>
      <c r="DJ9" s="569"/>
      <c r="DK9" s="569"/>
      <c r="DL9" s="569"/>
      <c r="DM9" s="569"/>
      <c r="DN9" s="569"/>
      <c r="DO9" s="569"/>
      <c r="DP9" s="569"/>
      <c r="DQ9" s="569"/>
      <c r="DR9" s="569"/>
      <c r="DS9" s="569"/>
      <c r="DT9" s="569"/>
      <c r="DU9" s="569"/>
      <c r="DV9" s="569"/>
      <c r="DW9" s="569"/>
      <c r="DX9" s="569"/>
      <c r="DY9" s="569"/>
      <c r="DZ9" s="569"/>
      <c r="EA9" s="569"/>
    </row>
    <row r="10" spans="1:131" ht="16.2" thickBot="1">
      <c r="A10" s="571" t="s">
        <v>344</v>
      </c>
      <c r="B10" s="571"/>
      <c r="C10" s="680" t="s">
        <v>387</v>
      </c>
      <c r="D10" s="675" t="s">
        <v>345</v>
      </c>
      <c r="E10" s="674"/>
      <c r="F10" s="680" t="s">
        <v>387</v>
      </c>
      <c r="G10" s="675" t="s">
        <v>345</v>
      </c>
      <c r="H10" s="674"/>
      <c r="I10" s="680" t="s">
        <v>387</v>
      </c>
      <c r="J10" s="675" t="s">
        <v>345</v>
      </c>
      <c r="K10" s="680" t="s">
        <v>387</v>
      </c>
      <c r="L10" s="675" t="s">
        <v>345</v>
      </c>
      <c r="M10" s="680" t="s">
        <v>387</v>
      </c>
      <c r="N10" s="675" t="s">
        <v>345</v>
      </c>
      <c r="O10" s="680" t="s">
        <v>387</v>
      </c>
      <c r="P10" s="675" t="s">
        <v>345</v>
      </c>
      <c r="Q10" s="127" t="s">
        <v>159</v>
      </c>
      <c r="R10" s="126"/>
      <c r="S10" s="569"/>
      <c r="T10" s="569"/>
      <c r="U10" s="569"/>
      <c r="V10" s="569"/>
      <c r="W10" s="569"/>
      <c r="X10" s="569"/>
      <c r="Y10" s="569"/>
      <c r="Z10" s="569"/>
      <c r="AA10" s="569"/>
      <c r="AB10" s="569"/>
      <c r="AC10" s="569"/>
      <c r="AD10" s="569"/>
      <c r="AE10" s="569"/>
      <c r="AF10" s="569"/>
      <c r="AG10" s="569"/>
      <c r="AH10" s="569"/>
      <c r="AI10" s="569"/>
      <c r="AJ10" s="569"/>
      <c r="AK10" s="569"/>
      <c r="AL10" s="569"/>
      <c r="AM10" s="569"/>
      <c r="AN10" s="569"/>
      <c r="AO10" s="569"/>
      <c r="AP10" s="569"/>
      <c r="AQ10" s="569"/>
      <c r="AR10" s="569"/>
      <c r="AS10" s="569"/>
      <c r="AT10" s="569"/>
      <c r="AU10" s="569"/>
      <c r="AV10" s="569"/>
      <c r="AW10" s="569"/>
      <c r="AX10" s="569"/>
      <c r="AY10" s="569"/>
      <c r="AZ10" s="569"/>
      <c r="BA10" s="569"/>
      <c r="BB10" s="569"/>
      <c r="BC10" s="569"/>
      <c r="BD10" s="569"/>
      <c r="BE10" s="569"/>
      <c r="BF10" s="569"/>
      <c r="BG10" s="569"/>
      <c r="BH10" s="569"/>
      <c r="BI10" s="569"/>
      <c r="BJ10" s="569"/>
      <c r="BK10" s="569"/>
      <c r="BL10" s="569"/>
      <c r="BM10" s="569"/>
      <c r="BN10" s="569"/>
      <c r="BO10" s="569"/>
      <c r="BP10" s="569"/>
      <c r="BQ10" s="569"/>
      <c r="BR10" s="569"/>
      <c r="BS10" s="569"/>
      <c r="BT10" s="569"/>
      <c r="BU10" s="569"/>
      <c r="BV10" s="569"/>
      <c r="BW10" s="569"/>
      <c r="BX10" s="569"/>
      <c r="BY10" s="569"/>
      <c r="BZ10" s="569"/>
      <c r="CA10" s="569"/>
      <c r="CB10" s="569"/>
      <c r="CC10" s="569"/>
      <c r="CD10" s="569"/>
      <c r="CE10" s="569"/>
      <c r="CF10" s="569"/>
      <c r="CG10" s="569"/>
      <c r="CH10" s="569"/>
      <c r="CI10" s="569"/>
      <c r="CJ10" s="569"/>
      <c r="CK10" s="569"/>
      <c r="CL10" s="569"/>
      <c r="CM10" s="569"/>
      <c r="CN10" s="569"/>
      <c r="CO10" s="569"/>
      <c r="CP10" s="569"/>
      <c r="CQ10" s="569"/>
      <c r="CR10" s="569"/>
      <c r="CS10" s="569"/>
      <c r="CT10" s="569"/>
      <c r="CU10" s="569"/>
      <c r="CV10" s="569"/>
      <c r="CW10" s="569"/>
      <c r="CX10" s="569"/>
      <c r="CY10" s="569"/>
      <c r="CZ10" s="569"/>
      <c r="DA10" s="569"/>
      <c r="DB10" s="569"/>
      <c r="DC10" s="569"/>
      <c r="DD10" s="569"/>
      <c r="DE10" s="569"/>
      <c r="DF10" s="569"/>
      <c r="DG10" s="569"/>
      <c r="DH10" s="569"/>
      <c r="DI10" s="569"/>
      <c r="DJ10" s="569"/>
      <c r="DK10" s="569"/>
      <c r="DL10" s="569"/>
      <c r="DM10" s="569"/>
      <c r="DN10" s="569"/>
      <c r="DO10" s="569"/>
      <c r="DP10" s="569"/>
      <c r="DQ10" s="569"/>
      <c r="DR10" s="569"/>
      <c r="DS10" s="569"/>
      <c r="DT10" s="569"/>
      <c r="DU10" s="569"/>
      <c r="DV10" s="569"/>
      <c r="DW10" s="569"/>
      <c r="DX10" s="569"/>
      <c r="DY10" s="569"/>
      <c r="DZ10" s="569"/>
      <c r="EA10" s="569"/>
    </row>
    <row r="11" spans="1:131" ht="42">
      <c r="A11" s="574" t="s">
        <v>397</v>
      </c>
      <c r="B11" s="575"/>
      <c r="C11" s="681"/>
      <c r="D11" s="572"/>
      <c r="E11" s="573"/>
      <c r="F11" s="686"/>
      <c r="G11" s="572"/>
      <c r="H11" s="573"/>
      <c r="I11" s="686"/>
      <c r="J11" s="572"/>
      <c r="K11" s="686"/>
      <c r="L11" s="572"/>
      <c r="M11" s="686"/>
      <c r="N11" s="572"/>
      <c r="O11" s="694"/>
      <c r="P11" s="572"/>
      <c r="Q11" s="127" t="s">
        <v>159</v>
      </c>
      <c r="R11" s="126"/>
      <c r="S11" s="569"/>
      <c r="T11" s="569"/>
      <c r="U11" s="569"/>
      <c r="V11" s="569"/>
      <c r="W11" s="569"/>
      <c r="X11" s="569"/>
      <c r="Y11" s="569"/>
      <c r="Z11" s="569"/>
      <c r="AA11" s="569"/>
      <c r="AB11" s="569"/>
      <c r="AC11" s="569"/>
      <c r="AD11" s="569"/>
      <c r="AE11" s="569"/>
      <c r="AF11" s="569"/>
      <c r="AG11" s="569"/>
      <c r="AH11" s="569"/>
      <c r="AI11" s="569"/>
      <c r="AJ11" s="569"/>
      <c r="AK11" s="569"/>
      <c r="AL11" s="569"/>
      <c r="AM11" s="569"/>
      <c r="AN11" s="569"/>
      <c r="AO11" s="569"/>
      <c r="AP11" s="569"/>
      <c r="AQ11" s="569"/>
      <c r="AR11" s="569"/>
      <c r="AS11" s="569"/>
      <c r="AT11" s="569"/>
      <c r="AU11" s="569"/>
      <c r="AV11" s="569"/>
      <c r="AW11" s="569"/>
      <c r="AX11" s="569"/>
      <c r="AY11" s="569"/>
      <c r="AZ11" s="569"/>
      <c r="BA11" s="569"/>
      <c r="BB11" s="569"/>
      <c r="BC11" s="569"/>
      <c r="BD11" s="569"/>
      <c r="BE11" s="569"/>
      <c r="BF11" s="569"/>
      <c r="BG11" s="569"/>
      <c r="BH11" s="569"/>
      <c r="BI11" s="569"/>
      <c r="BJ11" s="569"/>
      <c r="BK11" s="569"/>
      <c r="BL11" s="569"/>
      <c r="BM11" s="569"/>
      <c r="BN11" s="569"/>
      <c r="BO11" s="569"/>
      <c r="BP11" s="569"/>
      <c r="BQ11" s="569"/>
      <c r="BR11" s="569"/>
      <c r="BS11" s="569"/>
      <c r="BT11" s="569"/>
      <c r="BU11" s="569"/>
      <c r="BV11" s="569"/>
      <c r="BW11" s="569"/>
      <c r="BX11" s="569"/>
      <c r="BY11" s="569"/>
      <c r="BZ11" s="569"/>
      <c r="CA11" s="569"/>
      <c r="CB11" s="569"/>
      <c r="CC11" s="569"/>
      <c r="CD11" s="569"/>
      <c r="CE11" s="569"/>
      <c r="CF11" s="569"/>
      <c r="CG11" s="569"/>
      <c r="CH11" s="569"/>
      <c r="CI11" s="569"/>
      <c r="CJ11" s="569"/>
      <c r="CK11" s="569"/>
      <c r="CL11" s="569"/>
      <c r="CM11" s="569"/>
      <c r="CN11" s="569"/>
      <c r="CO11" s="569"/>
      <c r="CP11" s="569"/>
      <c r="CQ11" s="569"/>
      <c r="CR11" s="569"/>
      <c r="CS11" s="569"/>
      <c r="CT11" s="569"/>
      <c r="CU11" s="569"/>
      <c r="CV11" s="569"/>
      <c r="CW11" s="569"/>
      <c r="CX11" s="569"/>
      <c r="CY11" s="569"/>
      <c r="CZ11" s="569"/>
      <c r="DA11" s="569"/>
      <c r="DB11" s="569"/>
      <c r="DC11" s="569"/>
      <c r="DD11" s="569"/>
      <c r="DE11" s="569"/>
      <c r="DF11" s="569"/>
      <c r="DG11" s="569"/>
      <c r="DH11" s="569"/>
      <c r="DI11" s="569"/>
      <c r="DJ11" s="569"/>
      <c r="DK11" s="569"/>
      <c r="DL11" s="569"/>
      <c r="DM11" s="569"/>
      <c r="DN11" s="569"/>
      <c r="DO11" s="569"/>
      <c r="DP11" s="569"/>
      <c r="DQ11" s="569"/>
      <c r="DR11" s="569"/>
      <c r="DS11" s="569"/>
      <c r="DT11" s="569"/>
      <c r="DU11" s="569"/>
      <c r="DV11" s="569"/>
      <c r="DW11" s="569"/>
      <c r="DX11" s="569"/>
      <c r="DY11" s="569"/>
      <c r="DZ11" s="569"/>
      <c r="EA11" s="569"/>
    </row>
    <row r="12" spans="1:131" ht="56.4" thickBot="1">
      <c r="A12" s="576" t="s">
        <v>398</v>
      </c>
      <c r="B12" s="576"/>
      <c r="C12" s="682">
        <v>71</v>
      </c>
      <c r="D12" s="577">
        <v>9400</v>
      </c>
      <c r="E12" s="578"/>
      <c r="F12" s="685">
        <v>71</v>
      </c>
      <c r="G12" s="579">
        <v>9682</v>
      </c>
      <c r="H12" s="580"/>
      <c r="I12" s="685">
        <v>71</v>
      </c>
      <c r="J12" s="579">
        <v>9972</v>
      </c>
      <c r="K12" s="591">
        <v>0</v>
      </c>
      <c r="L12" s="581">
        <v>0</v>
      </c>
      <c r="M12" s="591">
        <v>0</v>
      </c>
      <c r="N12" s="582">
        <v>0</v>
      </c>
      <c r="O12" s="598">
        <f>+I12+K12+M12</f>
        <v>71</v>
      </c>
      <c r="P12" s="579">
        <f>+J12+L12+N12</f>
        <v>9972</v>
      </c>
      <c r="Q12" s="127" t="s">
        <v>159</v>
      </c>
      <c r="R12" s="126"/>
      <c r="S12" s="569"/>
      <c r="T12" s="569"/>
      <c r="U12" s="569"/>
      <c r="V12" s="569"/>
      <c r="W12" s="569"/>
      <c r="X12" s="569"/>
      <c r="Y12" s="569"/>
      <c r="Z12" s="569"/>
      <c r="AA12" s="569"/>
      <c r="AB12" s="569"/>
      <c r="AC12" s="569"/>
      <c r="AD12" s="569"/>
      <c r="AE12" s="569"/>
      <c r="AF12" s="569"/>
      <c r="AG12" s="569"/>
      <c r="AH12" s="569"/>
      <c r="AI12" s="569"/>
      <c r="AJ12" s="569"/>
      <c r="AK12" s="569"/>
      <c r="AL12" s="569"/>
      <c r="AM12" s="569"/>
      <c r="AN12" s="569"/>
      <c r="AO12" s="569"/>
      <c r="AP12" s="569"/>
      <c r="AQ12" s="569"/>
      <c r="AR12" s="569"/>
      <c r="AS12" s="569"/>
      <c r="AT12" s="569"/>
      <c r="AU12" s="569"/>
      <c r="AV12" s="569"/>
      <c r="AW12" s="569"/>
      <c r="AX12" s="569"/>
      <c r="AY12" s="569"/>
      <c r="AZ12" s="569"/>
      <c r="BA12" s="569"/>
      <c r="BB12" s="569"/>
      <c r="BC12" s="569"/>
      <c r="BD12" s="569"/>
      <c r="BE12" s="569"/>
      <c r="BF12" s="569"/>
      <c r="BG12" s="569"/>
      <c r="BH12" s="569"/>
      <c r="BI12" s="569"/>
      <c r="BJ12" s="569"/>
      <c r="BK12" s="569"/>
      <c r="BL12" s="569"/>
      <c r="BM12" s="569"/>
      <c r="BN12" s="569"/>
      <c r="BO12" s="569"/>
      <c r="BP12" s="569"/>
      <c r="BQ12" s="569"/>
      <c r="BR12" s="569"/>
      <c r="BS12" s="569"/>
      <c r="BT12" s="569"/>
      <c r="BU12" s="569"/>
      <c r="BV12" s="569"/>
      <c r="BW12" s="569"/>
      <c r="BX12" s="569"/>
      <c r="BY12" s="569"/>
      <c r="BZ12" s="569"/>
      <c r="CA12" s="569"/>
      <c r="CB12" s="569"/>
      <c r="CC12" s="569"/>
      <c r="CD12" s="569"/>
      <c r="CE12" s="569"/>
      <c r="CF12" s="569"/>
      <c r="CG12" s="569"/>
      <c r="CH12" s="569"/>
      <c r="CI12" s="569"/>
      <c r="CJ12" s="569"/>
      <c r="CK12" s="569"/>
      <c r="CL12" s="569"/>
      <c r="CM12" s="569"/>
      <c r="CN12" s="569"/>
      <c r="CO12" s="569"/>
      <c r="CP12" s="569"/>
      <c r="CQ12" s="569"/>
      <c r="CR12" s="569"/>
      <c r="CS12" s="569"/>
      <c r="CT12" s="569"/>
      <c r="CU12" s="569"/>
      <c r="CV12" s="569"/>
      <c r="CW12" s="569"/>
      <c r="CX12" s="569"/>
      <c r="CY12" s="569"/>
      <c r="CZ12" s="569"/>
      <c r="DA12" s="569"/>
      <c r="DB12" s="569"/>
      <c r="DC12" s="569"/>
      <c r="DD12" s="569"/>
      <c r="DE12" s="569"/>
      <c r="DF12" s="569"/>
      <c r="DG12" s="569"/>
      <c r="DH12" s="569"/>
      <c r="DI12" s="569"/>
      <c r="DJ12" s="569"/>
      <c r="DK12" s="569"/>
      <c r="DL12" s="569"/>
      <c r="DM12" s="569"/>
      <c r="DN12" s="569"/>
      <c r="DO12" s="569"/>
      <c r="DP12" s="569"/>
      <c r="DQ12" s="569"/>
      <c r="DR12" s="569"/>
      <c r="DS12" s="569"/>
      <c r="DT12" s="569"/>
      <c r="DU12" s="569"/>
      <c r="DV12" s="569"/>
      <c r="DW12" s="569"/>
      <c r="DX12" s="569"/>
      <c r="DY12" s="569"/>
      <c r="DZ12" s="569"/>
      <c r="EA12" s="569"/>
    </row>
    <row r="13" spans="1:131" ht="16.2" thickBot="1">
      <c r="A13" s="584" t="s">
        <v>346</v>
      </c>
      <c r="B13" s="585"/>
      <c r="C13" s="586">
        <f>SUM(C12)</f>
        <v>71</v>
      </c>
      <c r="D13" s="678">
        <f t="shared" ref="D13:P13" si="0">SUM(D12)</f>
        <v>9400</v>
      </c>
      <c r="E13" s="578"/>
      <c r="F13" s="587">
        <f t="shared" si="0"/>
        <v>71</v>
      </c>
      <c r="G13" s="592">
        <f t="shared" si="0"/>
        <v>9682</v>
      </c>
      <c r="H13" s="588"/>
      <c r="I13" s="589">
        <f t="shared" si="0"/>
        <v>71</v>
      </c>
      <c r="J13" s="592">
        <f t="shared" si="0"/>
        <v>9972</v>
      </c>
      <c r="K13" s="590">
        <f t="shared" si="0"/>
        <v>0</v>
      </c>
      <c r="L13" s="582">
        <f t="shared" si="0"/>
        <v>0</v>
      </c>
      <c r="M13" s="591">
        <f t="shared" si="0"/>
        <v>0</v>
      </c>
      <c r="N13" s="582">
        <f t="shared" si="0"/>
        <v>0</v>
      </c>
      <c r="O13" s="695">
        <f t="shared" si="0"/>
        <v>71</v>
      </c>
      <c r="P13" s="592">
        <f t="shared" si="0"/>
        <v>9972</v>
      </c>
      <c r="Q13" s="127" t="s">
        <v>159</v>
      </c>
      <c r="R13" s="126"/>
      <c r="S13" s="569"/>
      <c r="T13" s="569"/>
      <c r="U13" s="569"/>
      <c r="V13" s="569"/>
      <c r="W13" s="569"/>
      <c r="X13" s="569"/>
      <c r="Y13" s="569"/>
      <c r="Z13" s="569"/>
      <c r="AA13" s="569"/>
      <c r="AB13" s="569"/>
      <c r="AC13" s="569"/>
      <c r="AD13" s="569"/>
      <c r="AE13" s="569"/>
      <c r="AF13" s="569"/>
      <c r="AG13" s="569"/>
      <c r="AH13" s="569"/>
      <c r="AI13" s="569"/>
      <c r="AJ13" s="569"/>
      <c r="AK13" s="569"/>
      <c r="AL13" s="569"/>
      <c r="AM13" s="569"/>
      <c r="AN13" s="569"/>
      <c r="AO13" s="569"/>
      <c r="AP13" s="569"/>
      <c r="AQ13" s="569"/>
      <c r="AR13" s="569"/>
      <c r="AS13" s="569"/>
      <c r="AT13" s="569"/>
      <c r="AU13" s="569"/>
      <c r="AV13" s="569"/>
      <c r="AW13" s="569"/>
      <c r="AX13" s="569"/>
      <c r="AY13" s="569"/>
      <c r="AZ13" s="569"/>
      <c r="BA13" s="569"/>
      <c r="BB13" s="569"/>
      <c r="BC13" s="569"/>
      <c r="BD13" s="569"/>
      <c r="BE13" s="569"/>
      <c r="BF13" s="569"/>
      <c r="BG13" s="569"/>
      <c r="BH13" s="569"/>
      <c r="BI13" s="569"/>
      <c r="BJ13" s="569"/>
      <c r="BK13" s="569"/>
      <c r="BL13" s="569"/>
      <c r="BM13" s="569"/>
      <c r="BN13" s="569"/>
      <c r="BO13" s="569"/>
      <c r="BP13" s="569"/>
      <c r="BQ13" s="569"/>
      <c r="BR13" s="569"/>
      <c r="BS13" s="569"/>
      <c r="BT13" s="569"/>
      <c r="BU13" s="569"/>
      <c r="BV13" s="569"/>
      <c r="BW13" s="569"/>
      <c r="BX13" s="569"/>
      <c r="BY13" s="569"/>
      <c r="BZ13" s="569"/>
      <c r="CA13" s="569"/>
      <c r="CB13" s="569"/>
      <c r="CC13" s="569"/>
      <c r="CD13" s="569"/>
      <c r="CE13" s="569"/>
      <c r="CF13" s="569"/>
      <c r="CG13" s="569"/>
      <c r="CH13" s="569"/>
      <c r="CI13" s="569"/>
      <c r="CJ13" s="569"/>
      <c r="CK13" s="569"/>
      <c r="CL13" s="569"/>
      <c r="CM13" s="569"/>
      <c r="CN13" s="569"/>
      <c r="CO13" s="569"/>
      <c r="CP13" s="569"/>
      <c r="CQ13" s="569"/>
      <c r="CR13" s="569"/>
      <c r="CS13" s="569"/>
      <c r="CT13" s="569"/>
      <c r="CU13" s="569"/>
      <c r="CV13" s="569"/>
      <c r="CW13" s="569"/>
      <c r="CX13" s="569"/>
      <c r="CY13" s="569"/>
      <c r="CZ13" s="569"/>
      <c r="DA13" s="569"/>
      <c r="DB13" s="569"/>
      <c r="DC13" s="569"/>
      <c r="DD13" s="569"/>
      <c r="DE13" s="569"/>
      <c r="DF13" s="569"/>
      <c r="DG13" s="569"/>
      <c r="DH13" s="569"/>
      <c r="DI13" s="569"/>
      <c r="DJ13" s="569"/>
      <c r="DK13" s="569"/>
      <c r="DL13" s="569"/>
      <c r="DM13" s="569"/>
      <c r="DN13" s="569"/>
      <c r="DO13" s="569"/>
      <c r="DP13" s="569"/>
      <c r="DQ13" s="569"/>
      <c r="DR13" s="569"/>
      <c r="DS13" s="569"/>
      <c r="DT13" s="569"/>
      <c r="DU13" s="569"/>
      <c r="DV13" s="569"/>
      <c r="DW13" s="569"/>
      <c r="DX13" s="569"/>
      <c r="DY13" s="569"/>
      <c r="DZ13" s="569"/>
      <c r="EA13" s="569"/>
    </row>
    <row r="14" spans="1:131" ht="69.599999999999994">
      <c r="A14" s="575" t="s">
        <v>404</v>
      </c>
      <c r="B14" s="593"/>
      <c r="C14" s="683"/>
      <c r="D14" s="577"/>
      <c r="E14" s="578"/>
      <c r="F14" s="687"/>
      <c r="G14" s="594"/>
      <c r="H14" s="588"/>
      <c r="I14" s="689"/>
      <c r="J14" s="594"/>
      <c r="K14" s="692"/>
      <c r="L14" s="577"/>
      <c r="M14" s="683"/>
      <c r="N14" s="577"/>
      <c r="O14" s="588"/>
      <c r="P14" s="594"/>
      <c r="Q14" s="127" t="s">
        <v>159</v>
      </c>
      <c r="R14" s="126"/>
      <c r="S14" s="569"/>
      <c r="T14" s="569"/>
      <c r="U14" s="569"/>
      <c r="V14" s="569"/>
      <c r="W14" s="569"/>
      <c r="X14" s="569"/>
      <c r="Y14" s="569"/>
      <c r="Z14" s="569"/>
      <c r="AA14" s="569"/>
      <c r="AB14" s="569"/>
      <c r="AC14" s="569"/>
      <c r="AD14" s="569"/>
      <c r="AE14" s="569"/>
      <c r="AF14" s="569"/>
      <c r="AG14" s="569"/>
      <c r="AH14" s="569"/>
      <c r="AI14" s="569"/>
      <c r="AJ14" s="569"/>
      <c r="AK14" s="569"/>
      <c r="AL14" s="569"/>
      <c r="AM14" s="569"/>
      <c r="AN14" s="569"/>
      <c r="AO14" s="569"/>
      <c r="AP14" s="569"/>
      <c r="AQ14" s="569"/>
      <c r="AR14" s="569"/>
      <c r="AS14" s="569"/>
      <c r="AT14" s="569"/>
      <c r="AU14" s="569"/>
      <c r="AV14" s="569"/>
      <c r="AW14" s="569"/>
      <c r="AX14" s="569"/>
      <c r="AY14" s="569"/>
      <c r="AZ14" s="569"/>
      <c r="BA14" s="569"/>
      <c r="BB14" s="569"/>
      <c r="BC14" s="569"/>
      <c r="BD14" s="569"/>
      <c r="BE14" s="569"/>
      <c r="BF14" s="569"/>
      <c r="BG14" s="569"/>
      <c r="BH14" s="569"/>
      <c r="BI14" s="569"/>
      <c r="BJ14" s="569"/>
      <c r="BK14" s="569"/>
      <c r="BL14" s="569"/>
      <c r="BM14" s="569"/>
      <c r="BN14" s="569"/>
      <c r="BO14" s="569"/>
      <c r="BP14" s="569"/>
      <c r="BQ14" s="569"/>
      <c r="BR14" s="569"/>
      <c r="BS14" s="569"/>
      <c r="BT14" s="569"/>
      <c r="BU14" s="569"/>
      <c r="BV14" s="569"/>
      <c r="BW14" s="569"/>
      <c r="BX14" s="569"/>
      <c r="BY14" s="569"/>
      <c r="BZ14" s="569"/>
      <c r="CA14" s="569"/>
      <c r="CB14" s="569"/>
      <c r="CC14" s="569"/>
      <c r="CD14" s="569"/>
      <c r="CE14" s="569"/>
      <c r="CF14" s="569"/>
      <c r="CG14" s="569"/>
      <c r="CH14" s="569"/>
      <c r="CI14" s="569"/>
      <c r="CJ14" s="569"/>
      <c r="CK14" s="569"/>
      <c r="CL14" s="569"/>
      <c r="CM14" s="569"/>
      <c r="CN14" s="569"/>
      <c r="CO14" s="569"/>
      <c r="CP14" s="569"/>
      <c r="CQ14" s="569"/>
      <c r="CR14" s="569"/>
      <c r="CS14" s="569"/>
      <c r="CT14" s="569"/>
      <c r="CU14" s="569"/>
      <c r="CV14" s="569"/>
      <c r="CW14" s="569"/>
      <c r="CX14" s="569"/>
      <c r="CY14" s="569"/>
      <c r="CZ14" s="569"/>
      <c r="DA14" s="569"/>
      <c r="DB14" s="569"/>
      <c r="DC14" s="569"/>
      <c r="DD14" s="569"/>
      <c r="DE14" s="569"/>
      <c r="DF14" s="569"/>
      <c r="DG14" s="569"/>
      <c r="DH14" s="569"/>
      <c r="DI14" s="569"/>
      <c r="DJ14" s="569"/>
      <c r="DK14" s="569"/>
      <c r="DL14" s="569"/>
      <c r="DM14" s="569"/>
      <c r="DN14" s="569"/>
      <c r="DO14" s="569"/>
      <c r="DP14" s="569"/>
      <c r="DQ14" s="569"/>
      <c r="DR14" s="569"/>
      <c r="DS14" s="569"/>
      <c r="DT14" s="569"/>
      <c r="DU14" s="569"/>
      <c r="DV14" s="569"/>
      <c r="DW14" s="569"/>
      <c r="DX14" s="569"/>
      <c r="DY14" s="569"/>
      <c r="DZ14" s="569"/>
      <c r="EA14" s="569"/>
    </row>
    <row r="15" spans="1:131" ht="55.8">
      <c r="A15" s="576" t="s">
        <v>424</v>
      </c>
      <c r="B15" s="576"/>
      <c r="C15" s="684">
        <f>36037+136</f>
        <v>36173</v>
      </c>
      <c r="D15" s="595">
        <v>6273010</v>
      </c>
      <c r="E15" s="580"/>
      <c r="F15" s="712">
        <f>36876+136</f>
        <v>37012</v>
      </c>
      <c r="G15" s="713">
        <v>6541599</v>
      </c>
      <c r="H15" s="580"/>
      <c r="I15" s="712">
        <f>37489+136</f>
        <v>37625</v>
      </c>
      <c r="J15" s="713">
        <v>6786861</v>
      </c>
      <c r="K15" s="712">
        <v>203</v>
      </c>
      <c r="L15" s="713">
        <v>81370</v>
      </c>
      <c r="M15" s="715">
        <v>-60</v>
      </c>
      <c r="N15" s="716">
        <v>-57986</v>
      </c>
      <c r="O15" s="712">
        <f>+I15+K15+M15</f>
        <v>37768</v>
      </c>
      <c r="P15" s="713">
        <f>+J15+L15+N15</f>
        <v>6810245</v>
      </c>
      <c r="Q15" s="127" t="s">
        <v>159</v>
      </c>
      <c r="R15" s="126"/>
      <c r="S15" s="569"/>
      <c r="T15" s="569"/>
      <c r="U15" s="569"/>
      <c r="V15" s="569"/>
      <c r="W15" s="569"/>
      <c r="X15" s="569"/>
      <c r="Y15" s="569"/>
      <c r="Z15" s="569"/>
      <c r="AA15" s="569"/>
      <c r="AB15" s="569"/>
      <c r="AC15" s="569"/>
      <c r="AD15" s="569"/>
      <c r="AE15" s="569"/>
      <c r="AF15" s="569"/>
      <c r="AG15" s="569"/>
      <c r="AH15" s="569"/>
      <c r="AI15" s="569"/>
      <c r="AJ15" s="569"/>
      <c r="AK15" s="569"/>
      <c r="AL15" s="569"/>
      <c r="AM15" s="569"/>
      <c r="AN15" s="569"/>
      <c r="AO15" s="569"/>
      <c r="AP15" s="569"/>
      <c r="AQ15" s="569"/>
      <c r="AR15" s="569"/>
      <c r="AS15" s="569"/>
      <c r="AT15" s="569"/>
      <c r="AU15" s="569"/>
      <c r="AV15" s="569"/>
      <c r="AW15" s="569"/>
      <c r="AX15" s="569"/>
      <c r="AY15" s="569"/>
      <c r="AZ15" s="569"/>
      <c r="BA15" s="569"/>
      <c r="BB15" s="569"/>
      <c r="BC15" s="569"/>
      <c r="BD15" s="569"/>
      <c r="BE15" s="569"/>
      <c r="BF15" s="569"/>
      <c r="BG15" s="569"/>
      <c r="BH15" s="569"/>
      <c r="BI15" s="569"/>
      <c r="BJ15" s="569"/>
      <c r="BK15" s="569"/>
      <c r="BL15" s="569"/>
      <c r="BM15" s="569"/>
      <c r="BN15" s="569"/>
      <c r="BO15" s="569"/>
      <c r="BP15" s="569"/>
      <c r="BQ15" s="569"/>
      <c r="BR15" s="569"/>
      <c r="BS15" s="569"/>
      <c r="BT15" s="569"/>
      <c r="BU15" s="569"/>
      <c r="BV15" s="569"/>
      <c r="BW15" s="569"/>
      <c r="BX15" s="569"/>
      <c r="BY15" s="569"/>
      <c r="BZ15" s="569"/>
      <c r="CA15" s="569"/>
      <c r="CB15" s="569"/>
      <c r="CC15" s="569"/>
      <c r="CD15" s="569"/>
      <c r="CE15" s="569"/>
      <c r="CF15" s="569"/>
      <c r="CG15" s="569"/>
      <c r="CH15" s="569"/>
      <c r="CI15" s="569"/>
      <c r="CJ15" s="569"/>
      <c r="CK15" s="569"/>
      <c r="CL15" s="569"/>
      <c r="CM15" s="569"/>
      <c r="CN15" s="569"/>
      <c r="CO15" s="569"/>
      <c r="CP15" s="569"/>
      <c r="CQ15" s="569"/>
      <c r="CR15" s="569"/>
      <c r="CS15" s="569"/>
      <c r="CT15" s="569"/>
      <c r="CU15" s="569"/>
      <c r="CV15" s="569"/>
      <c r="CW15" s="569"/>
      <c r="CX15" s="569"/>
      <c r="CY15" s="569"/>
      <c r="CZ15" s="569"/>
      <c r="DA15" s="569"/>
      <c r="DB15" s="569"/>
      <c r="DC15" s="569"/>
      <c r="DD15" s="569"/>
      <c r="DE15" s="569"/>
      <c r="DF15" s="569"/>
      <c r="DG15" s="569"/>
      <c r="DH15" s="569"/>
      <c r="DI15" s="569"/>
      <c r="DJ15" s="569"/>
      <c r="DK15" s="569"/>
      <c r="DL15" s="569"/>
      <c r="DM15" s="569"/>
      <c r="DN15" s="569"/>
      <c r="DO15" s="569"/>
      <c r="DP15" s="569"/>
      <c r="DQ15" s="569"/>
      <c r="DR15" s="569"/>
      <c r="DS15" s="569"/>
      <c r="DT15" s="569"/>
      <c r="DU15" s="569"/>
      <c r="DV15" s="569"/>
      <c r="DW15" s="569"/>
      <c r="DX15" s="569"/>
      <c r="DY15" s="569"/>
      <c r="DZ15" s="569"/>
      <c r="EA15" s="569"/>
    </row>
    <row r="16" spans="1:131" ht="16.2" thickBot="1">
      <c r="A16" s="584" t="s">
        <v>347</v>
      </c>
      <c r="B16" s="593"/>
      <c r="C16" s="710">
        <f>SUM(C15:C15)</f>
        <v>36173</v>
      </c>
      <c r="D16" s="711">
        <f>SUM(D15:D15)</f>
        <v>6273010</v>
      </c>
      <c r="E16" s="596"/>
      <c r="F16" s="685">
        <f>SUM(F15:F15)</f>
        <v>37012</v>
      </c>
      <c r="G16" s="583">
        <f>SUM(G15:G15)</f>
        <v>6541599</v>
      </c>
      <c r="H16" s="596"/>
      <c r="I16" s="685">
        <f t="shared" ref="I16:P16" si="1">SUM(I15:I15)</f>
        <v>37625</v>
      </c>
      <c r="J16" s="583">
        <f t="shared" si="1"/>
        <v>6786861</v>
      </c>
      <c r="K16" s="693">
        <f t="shared" si="1"/>
        <v>203</v>
      </c>
      <c r="L16" s="714">
        <f t="shared" si="1"/>
        <v>81370</v>
      </c>
      <c r="M16" s="703">
        <f t="shared" si="1"/>
        <v>-60</v>
      </c>
      <c r="N16" s="581">
        <f t="shared" si="1"/>
        <v>-57986</v>
      </c>
      <c r="O16" s="685">
        <f t="shared" si="1"/>
        <v>37768</v>
      </c>
      <c r="P16" s="579">
        <f t="shared" si="1"/>
        <v>6810245</v>
      </c>
      <c r="Q16" s="127" t="s">
        <v>159</v>
      </c>
      <c r="R16" s="126"/>
      <c r="S16" s="569"/>
      <c r="T16" s="569"/>
      <c r="U16" s="569"/>
      <c r="V16" s="569"/>
      <c r="W16" s="569"/>
      <c r="X16" s="569"/>
      <c r="Y16" s="569"/>
      <c r="Z16" s="569"/>
      <c r="AA16" s="569"/>
      <c r="AB16" s="569"/>
      <c r="AC16" s="569"/>
      <c r="AD16" s="569"/>
      <c r="AE16" s="569"/>
      <c r="AF16" s="569"/>
      <c r="AG16" s="569"/>
      <c r="AH16" s="569"/>
      <c r="AI16" s="569"/>
      <c r="AJ16" s="569"/>
      <c r="AK16" s="569"/>
      <c r="AL16" s="569"/>
      <c r="AM16" s="569"/>
      <c r="AN16" s="569"/>
      <c r="AO16" s="569"/>
      <c r="AP16" s="569"/>
      <c r="AQ16" s="569"/>
      <c r="AR16" s="569"/>
      <c r="AS16" s="569"/>
      <c r="AT16" s="569"/>
      <c r="AU16" s="569"/>
      <c r="AV16" s="569"/>
      <c r="AW16" s="569"/>
      <c r="AX16" s="569"/>
      <c r="AY16" s="569"/>
      <c r="AZ16" s="569"/>
      <c r="BA16" s="569"/>
      <c r="BB16" s="569"/>
      <c r="BC16" s="569"/>
      <c r="BD16" s="569"/>
      <c r="BE16" s="569"/>
      <c r="BF16" s="569"/>
      <c r="BG16" s="569"/>
      <c r="BH16" s="569"/>
      <c r="BI16" s="569"/>
      <c r="BJ16" s="569"/>
      <c r="BK16" s="569"/>
      <c r="BL16" s="569"/>
      <c r="BM16" s="569"/>
      <c r="BN16" s="569"/>
      <c r="BO16" s="569"/>
      <c r="BP16" s="569"/>
      <c r="BQ16" s="569"/>
      <c r="BR16" s="569"/>
      <c r="BS16" s="569"/>
      <c r="BT16" s="569"/>
      <c r="BU16" s="569"/>
      <c r="BV16" s="569"/>
      <c r="BW16" s="569"/>
      <c r="BX16" s="569"/>
      <c r="BY16" s="569"/>
      <c r="BZ16" s="569"/>
      <c r="CA16" s="569"/>
      <c r="CB16" s="569"/>
      <c r="CC16" s="569"/>
      <c r="CD16" s="569"/>
      <c r="CE16" s="569"/>
      <c r="CF16" s="569"/>
      <c r="CG16" s="569"/>
      <c r="CH16" s="569"/>
      <c r="CI16" s="569"/>
      <c r="CJ16" s="569"/>
      <c r="CK16" s="569"/>
      <c r="CL16" s="569"/>
      <c r="CM16" s="569"/>
      <c r="CN16" s="569"/>
      <c r="CO16" s="569"/>
      <c r="CP16" s="569"/>
      <c r="CQ16" s="569"/>
      <c r="CR16" s="569"/>
      <c r="CS16" s="569"/>
      <c r="CT16" s="569"/>
      <c r="CU16" s="569"/>
      <c r="CV16" s="569"/>
      <c r="CW16" s="569"/>
      <c r="CX16" s="569"/>
      <c r="CY16" s="569"/>
      <c r="CZ16" s="569"/>
      <c r="DA16" s="569"/>
      <c r="DB16" s="569"/>
      <c r="DC16" s="569"/>
      <c r="DD16" s="569"/>
      <c r="DE16" s="569"/>
      <c r="DF16" s="569"/>
      <c r="DG16" s="569"/>
      <c r="DH16" s="569"/>
      <c r="DI16" s="569"/>
      <c r="DJ16" s="569"/>
      <c r="DK16" s="569"/>
      <c r="DL16" s="569"/>
      <c r="DM16" s="569"/>
      <c r="DN16" s="569"/>
      <c r="DO16" s="569"/>
      <c r="DP16" s="569"/>
      <c r="DQ16" s="569"/>
      <c r="DR16" s="569"/>
      <c r="DS16" s="569"/>
      <c r="DT16" s="569"/>
      <c r="DU16" s="569"/>
      <c r="DV16" s="569"/>
      <c r="DW16" s="569"/>
      <c r="DX16" s="569"/>
      <c r="DY16" s="569"/>
      <c r="DZ16" s="569"/>
      <c r="EA16" s="569"/>
    </row>
    <row r="17" spans="1:131" ht="16.2" thickBot="1">
      <c r="A17" s="597" t="s">
        <v>113</v>
      </c>
      <c r="B17" s="570"/>
      <c r="C17" s="598" t="s">
        <v>113</v>
      </c>
      <c r="D17" s="599" t="s">
        <v>113</v>
      </c>
      <c r="E17" s="600"/>
      <c r="F17" s="601" t="s">
        <v>113</v>
      </c>
      <c r="G17" s="599" t="s">
        <v>113</v>
      </c>
      <c r="H17" s="600"/>
      <c r="I17" s="601" t="s">
        <v>113</v>
      </c>
      <c r="J17" s="597" t="s">
        <v>113</v>
      </c>
      <c r="K17" s="599" t="s">
        <v>113</v>
      </c>
      <c r="L17" s="597" t="s">
        <v>113</v>
      </c>
      <c r="M17" s="704" t="s">
        <v>113</v>
      </c>
      <c r="N17" s="597" t="s">
        <v>113</v>
      </c>
      <c r="O17" s="601" t="s">
        <v>113</v>
      </c>
      <c r="P17" s="601" t="s">
        <v>113</v>
      </c>
      <c r="Q17" s="570" t="s">
        <v>113</v>
      </c>
      <c r="R17" s="569"/>
      <c r="S17" s="569"/>
      <c r="T17" s="569"/>
      <c r="U17" s="569"/>
      <c r="V17" s="569"/>
      <c r="W17" s="569"/>
      <c r="X17" s="569"/>
      <c r="Y17" s="569"/>
      <c r="Z17" s="569"/>
      <c r="AA17" s="569"/>
      <c r="AB17" s="569"/>
      <c r="AC17" s="569"/>
      <c r="AD17" s="569"/>
      <c r="AE17" s="569"/>
      <c r="AF17" s="569"/>
      <c r="AG17" s="569"/>
      <c r="AH17" s="569"/>
      <c r="AI17" s="569"/>
      <c r="AJ17" s="569"/>
      <c r="AK17" s="569"/>
      <c r="AL17" s="569"/>
      <c r="AM17" s="569"/>
      <c r="AN17" s="569"/>
      <c r="AO17" s="569"/>
      <c r="AP17" s="569"/>
      <c r="AQ17" s="569"/>
      <c r="AR17" s="569"/>
      <c r="AS17" s="569"/>
      <c r="AT17" s="569"/>
      <c r="AU17" s="569"/>
      <c r="AV17" s="569"/>
      <c r="AW17" s="569"/>
      <c r="AX17" s="569"/>
      <c r="AY17" s="569"/>
      <c r="AZ17" s="569"/>
      <c r="BA17" s="569"/>
      <c r="BB17" s="569"/>
      <c r="BC17" s="569"/>
      <c r="BD17" s="569"/>
      <c r="BE17" s="569"/>
      <c r="BF17" s="569"/>
      <c r="BG17" s="569"/>
      <c r="BH17" s="569"/>
      <c r="BI17" s="569"/>
      <c r="BJ17" s="569"/>
      <c r="BK17" s="569"/>
      <c r="BL17" s="569"/>
      <c r="BM17" s="569"/>
      <c r="BN17" s="569"/>
      <c r="BO17" s="569"/>
      <c r="BP17" s="569"/>
      <c r="BQ17" s="569"/>
      <c r="BR17" s="569"/>
      <c r="BS17" s="569"/>
      <c r="BT17" s="569"/>
      <c r="BU17" s="569"/>
      <c r="BV17" s="569"/>
      <c r="BW17" s="569"/>
      <c r="BX17" s="569"/>
      <c r="BY17" s="569"/>
      <c r="BZ17" s="569"/>
      <c r="CA17" s="569"/>
      <c r="CB17" s="569"/>
      <c r="CC17" s="569"/>
      <c r="CD17" s="569"/>
      <c r="CE17" s="569"/>
      <c r="CF17" s="569"/>
      <c r="CG17" s="569"/>
      <c r="CH17" s="569"/>
      <c r="CI17" s="569"/>
      <c r="CJ17" s="569"/>
      <c r="CK17" s="569"/>
      <c r="CL17" s="569"/>
      <c r="CM17" s="569"/>
      <c r="CN17" s="569"/>
      <c r="CO17" s="569"/>
      <c r="CP17" s="569"/>
      <c r="CQ17" s="569"/>
      <c r="CR17" s="569"/>
      <c r="CS17" s="569"/>
      <c r="CT17" s="569"/>
      <c r="CU17" s="569"/>
      <c r="CV17" s="569"/>
      <c r="CW17" s="569"/>
      <c r="CX17" s="569"/>
      <c r="CY17" s="569"/>
      <c r="CZ17" s="569"/>
      <c r="DA17" s="569"/>
      <c r="DB17" s="569"/>
      <c r="DC17" s="569"/>
      <c r="DD17" s="569"/>
      <c r="DE17" s="569"/>
      <c r="DF17" s="569"/>
      <c r="DG17" s="569"/>
      <c r="DH17" s="569"/>
      <c r="DI17" s="569"/>
      <c r="DJ17" s="569"/>
      <c r="DK17" s="569"/>
      <c r="DL17" s="569"/>
      <c r="DM17" s="569"/>
      <c r="DN17" s="569"/>
      <c r="DO17" s="569"/>
      <c r="DP17" s="569"/>
      <c r="DQ17" s="569"/>
      <c r="DR17" s="569"/>
      <c r="DS17" s="569"/>
      <c r="DT17" s="569"/>
      <c r="DU17" s="569"/>
      <c r="DV17" s="569"/>
      <c r="DW17" s="569"/>
      <c r="DX17" s="569"/>
      <c r="DY17" s="569"/>
      <c r="DZ17" s="569"/>
      <c r="EA17" s="569"/>
    </row>
    <row r="18" spans="1:131" s="2" customFormat="1" ht="16.2" thickBot="1">
      <c r="A18" s="584" t="s">
        <v>348</v>
      </c>
      <c r="B18" s="593"/>
      <c r="C18" s="677">
        <f>+C13+C16</f>
        <v>36244</v>
      </c>
      <c r="D18" s="676">
        <f>+D13+D16</f>
        <v>6282410</v>
      </c>
      <c r="E18" s="602"/>
      <c r="F18" s="688">
        <f>+F13+F16</f>
        <v>37083</v>
      </c>
      <c r="G18" s="676">
        <f>+G13+G16</f>
        <v>6551281</v>
      </c>
      <c r="H18" s="602"/>
      <c r="I18" s="688">
        <f t="shared" ref="I18:P18" si="2">+I13+I16</f>
        <v>37696</v>
      </c>
      <c r="J18" s="676">
        <f t="shared" si="2"/>
        <v>6796833</v>
      </c>
      <c r="K18" s="688">
        <f t="shared" si="2"/>
        <v>203</v>
      </c>
      <c r="L18" s="676">
        <f t="shared" si="2"/>
        <v>81370</v>
      </c>
      <c r="M18" s="705">
        <f t="shared" si="2"/>
        <v>-60</v>
      </c>
      <c r="N18" s="690">
        <f t="shared" si="2"/>
        <v>-57986</v>
      </c>
      <c r="O18" s="688">
        <f t="shared" si="2"/>
        <v>37839</v>
      </c>
      <c r="P18" s="691">
        <f t="shared" si="2"/>
        <v>6820217</v>
      </c>
      <c r="Q18" s="127" t="s">
        <v>161</v>
      </c>
      <c r="R18" s="126"/>
      <c r="S18" s="603"/>
      <c r="T18" s="603"/>
      <c r="U18" s="603"/>
      <c r="V18" s="603"/>
      <c r="W18" s="603"/>
      <c r="X18" s="603"/>
      <c r="Y18" s="603"/>
      <c r="Z18" s="603"/>
      <c r="AA18" s="603"/>
      <c r="AB18" s="603"/>
      <c r="AC18" s="603"/>
      <c r="AD18" s="603"/>
      <c r="AE18" s="603"/>
      <c r="AF18" s="603"/>
      <c r="AG18" s="603"/>
      <c r="AH18" s="603"/>
      <c r="AI18" s="603"/>
      <c r="AJ18" s="603"/>
      <c r="AK18" s="603"/>
      <c r="AL18" s="603"/>
      <c r="AM18" s="603"/>
      <c r="AN18" s="603"/>
      <c r="AO18" s="603"/>
      <c r="AP18" s="603"/>
      <c r="AQ18" s="603"/>
      <c r="AR18" s="603"/>
      <c r="AS18" s="603"/>
      <c r="AT18" s="603"/>
      <c r="AU18" s="603"/>
      <c r="AV18" s="603"/>
      <c r="AW18" s="603"/>
      <c r="AX18" s="603"/>
      <c r="AY18" s="603"/>
      <c r="AZ18" s="603"/>
      <c r="BA18" s="603"/>
      <c r="BB18" s="603"/>
      <c r="BC18" s="603"/>
      <c r="BD18" s="603"/>
      <c r="BE18" s="603"/>
      <c r="BF18" s="603"/>
      <c r="BG18" s="603"/>
      <c r="BH18" s="603"/>
      <c r="BI18" s="603"/>
      <c r="BJ18" s="603"/>
      <c r="BK18" s="603"/>
      <c r="BL18" s="603"/>
      <c r="BM18" s="603"/>
      <c r="BN18" s="603"/>
      <c r="BO18" s="603"/>
      <c r="BP18" s="603"/>
      <c r="BQ18" s="603"/>
      <c r="BR18" s="603"/>
      <c r="BS18" s="603"/>
      <c r="BT18" s="603"/>
      <c r="BU18" s="603"/>
      <c r="BV18" s="603"/>
      <c r="BW18" s="603"/>
      <c r="BX18" s="603"/>
      <c r="BY18" s="603"/>
      <c r="BZ18" s="603"/>
      <c r="CA18" s="603"/>
      <c r="CB18" s="603"/>
      <c r="CC18" s="603"/>
      <c r="CD18" s="603"/>
      <c r="CE18" s="603"/>
      <c r="CF18" s="603"/>
      <c r="CG18" s="603"/>
      <c r="CH18" s="603"/>
      <c r="CI18" s="603"/>
      <c r="CJ18" s="603"/>
      <c r="CK18" s="603"/>
      <c r="CL18" s="603"/>
      <c r="CM18" s="603"/>
      <c r="CN18" s="603"/>
      <c r="CO18" s="603"/>
      <c r="CP18" s="603"/>
      <c r="CQ18" s="603"/>
      <c r="CR18" s="603"/>
      <c r="CS18" s="603"/>
      <c r="CT18" s="603"/>
      <c r="CU18" s="603"/>
      <c r="CV18" s="603"/>
      <c r="CW18" s="603"/>
      <c r="CX18" s="603"/>
      <c r="CY18" s="603"/>
      <c r="CZ18" s="603"/>
      <c r="DA18" s="603"/>
      <c r="DB18" s="603"/>
      <c r="DC18" s="603"/>
      <c r="DD18" s="603"/>
      <c r="DE18" s="603"/>
      <c r="DF18" s="603"/>
      <c r="DG18" s="603"/>
      <c r="DH18" s="603"/>
      <c r="DI18" s="603"/>
      <c r="DJ18" s="603"/>
      <c r="DK18" s="603"/>
      <c r="DL18" s="603"/>
      <c r="DM18" s="603"/>
      <c r="DN18" s="603"/>
      <c r="DO18" s="603"/>
      <c r="DP18" s="603"/>
      <c r="DQ18" s="603"/>
      <c r="DR18" s="603"/>
      <c r="DS18" s="603"/>
      <c r="DT18" s="603"/>
      <c r="DU18" s="603"/>
      <c r="DV18" s="603"/>
      <c r="DW18" s="603"/>
      <c r="DX18" s="603"/>
      <c r="DY18" s="603"/>
      <c r="DZ18" s="603"/>
      <c r="EA18" s="603"/>
    </row>
    <row r="19" spans="1:131">
      <c r="A19" s="570"/>
      <c r="B19" s="570"/>
      <c r="C19" s="570"/>
      <c r="D19" s="570"/>
      <c r="E19" s="570"/>
      <c r="F19" s="570"/>
      <c r="G19" s="570"/>
      <c r="H19" s="570"/>
      <c r="I19" s="570"/>
      <c r="J19" s="570"/>
      <c r="K19" s="570"/>
      <c r="L19" s="570"/>
      <c r="M19" s="570"/>
      <c r="N19" s="570"/>
      <c r="O19" s="570"/>
      <c r="P19" s="570"/>
      <c r="Q19" s="569"/>
      <c r="R19" s="569"/>
      <c r="S19" s="569"/>
      <c r="T19" s="569"/>
      <c r="U19" s="569"/>
      <c r="V19" s="569"/>
      <c r="W19" s="569"/>
      <c r="X19" s="569"/>
      <c r="Y19" s="569"/>
      <c r="Z19" s="569"/>
      <c r="AA19" s="569"/>
      <c r="AB19" s="569"/>
      <c r="AC19" s="569"/>
      <c r="AD19" s="569"/>
      <c r="AE19" s="569"/>
      <c r="AF19" s="569"/>
      <c r="AG19" s="569"/>
      <c r="AH19" s="569"/>
      <c r="AI19" s="569"/>
      <c r="AJ19" s="569"/>
      <c r="AK19" s="569"/>
      <c r="AL19" s="569"/>
      <c r="AM19" s="569"/>
      <c r="AN19" s="569"/>
      <c r="AO19" s="569"/>
      <c r="AP19" s="569"/>
      <c r="AQ19" s="569"/>
      <c r="AR19" s="569"/>
      <c r="AS19" s="569"/>
      <c r="AT19" s="569"/>
      <c r="AU19" s="569"/>
      <c r="AV19" s="569"/>
      <c r="AW19" s="569"/>
      <c r="AX19" s="569"/>
      <c r="AY19" s="569"/>
      <c r="AZ19" s="569"/>
      <c r="BA19" s="569"/>
      <c r="BB19" s="569"/>
      <c r="BC19" s="569"/>
      <c r="BD19" s="569"/>
      <c r="BE19" s="569"/>
      <c r="BF19" s="569"/>
      <c r="BG19" s="569"/>
      <c r="BH19" s="569"/>
      <c r="BI19" s="569"/>
      <c r="BJ19" s="569"/>
      <c r="BK19" s="569"/>
      <c r="BL19" s="569"/>
      <c r="BM19" s="569"/>
      <c r="BN19" s="569"/>
      <c r="BO19" s="569"/>
      <c r="BP19" s="569"/>
      <c r="BQ19" s="569"/>
      <c r="BR19" s="569"/>
      <c r="BS19" s="569"/>
      <c r="BT19" s="569"/>
      <c r="BU19" s="569"/>
      <c r="BV19" s="569"/>
      <c r="BW19" s="569"/>
      <c r="BX19" s="569"/>
      <c r="BY19" s="569"/>
      <c r="BZ19" s="569"/>
      <c r="CA19" s="569"/>
      <c r="CB19" s="569"/>
      <c r="CC19" s="569"/>
      <c r="CD19" s="569"/>
      <c r="CE19" s="569"/>
      <c r="CF19" s="569"/>
      <c r="CG19" s="569"/>
      <c r="CH19" s="569"/>
      <c r="CI19" s="569"/>
      <c r="CJ19" s="569"/>
      <c r="CK19" s="569"/>
      <c r="CL19" s="569"/>
      <c r="CM19" s="569"/>
      <c r="CN19" s="569"/>
      <c r="CO19" s="569"/>
      <c r="CP19" s="569"/>
      <c r="CQ19" s="569"/>
      <c r="CR19" s="569"/>
      <c r="CS19" s="569"/>
      <c r="CT19" s="569"/>
      <c r="CU19" s="569"/>
      <c r="CV19" s="569"/>
      <c r="CW19" s="569"/>
      <c r="CX19" s="569"/>
      <c r="CY19" s="569"/>
      <c r="CZ19" s="569"/>
      <c r="DA19" s="569"/>
      <c r="DB19" s="569"/>
      <c r="DC19" s="569"/>
      <c r="DD19" s="569"/>
      <c r="DE19" s="569"/>
      <c r="DF19" s="569"/>
      <c r="DG19" s="569"/>
      <c r="DH19" s="569"/>
      <c r="DI19" s="569"/>
      <c r="DJ19" s="569"/>
      <c r="DK19" s="569"/>
      <c r="DL19" s="569"/>
      <c r="DM19" s="569"/>
      <c r="DN19" s="569"/>
      <c r="DO19" s="569"/>
      <c r="DP19" s="569"/>
      <c r="DQ19" s="569"/>
      <c r="DR19" s="569"/>
      <c r="DS19" s="569"/>
      <c r="DT19" s="569"/>
      <c r="DU19" s="569"/>
      <c r="DV19" s="569"/>
      <c r="DW19" s="569"/>
      <c r="DX19" s="569"/>
      <c r="DY19" s="569"/>
      <c r="DZ19" s="569"/>
      <c r="EA19" s="569"/>
    </row>
    <row r="20" spans="1:131">
      <c r="E20" s="268"/>
      <c r="F20" s="1" t="s">
        <v>113</v>
      </c>
    </row>
    <row r="21" spans="1:131">
      <c r="D21" s="1" t="s">
        <v>113</v>
      </c>
      <c r="G21" s="1" t="s">
        <v>113</v>
      </c>
    </row>
  </sheetData>
  <mergeCells count="13">
    <mergeCell ref="K8:L8"/>
    <mergeCell ref="M8:N8"/>
    <mergeCell ref="O8:P8"/>
    <mergeCell ref="A1:G1"/>
    <mergeCell ref="A2:P2"/>
    <mergeCell ref="A3:P3"/>
    <mergeCell ref="A4:P4"/>
    <mergeCell ref="A5:P5"/>
    <mergeCell ref="F7:G8"/>
    <mergeCell ref="K7:N7"/>
    <mergeCell ref="O7:P7"/>
    <mergeCell ref="I7:J8"/>
    <mergeCell ref="C7:D8"/>
  </mergeCells>
  <pageMargins left="0.5" right="0.5" top="1" bottom="0.75" header="0.3" footer="0.5"/>
  <pageSetup scale="70" orientation="landscape" r:id="rId1"/>
  <headerFooter>
    <oddFooter xml:space="preserve">&amp;C&amp;"Times New Roman,Regular"&amp;14Exhibit D: Resources by  DOJ Strategic Goal and Strategic Objective&amp;"Arial,Regular"&amp;12
</oddFooter>
  </headerFooter>
</worksheet>
</file>

<file path=xl/worksheets/sheet5.xml><?xml version="1.0" encoding="utf-8"?>
<worksheet xmlns="http://schemas.openxmlformats.org/spreadsheetml/2006/main" xmlns:r="http://schemas.openxmlformats.org/officeDocument/2006/relationships">
  <dimension ref="A1:W58"/>
  <sheetViews>
    <sheetView view="pageBreakPreview" zoomScale="85" zoomScaleNormal="100" zoomScaleSheetLayoutView="85" workbookViewId="0">
      <selection activeCell="J1" sqref="J1"/>
    </sheetView>
  </sheetViews>
  <sheetFormatPr defaultRowHeight="15"/>
  <cols>
    <col min="1" max="1" width="34.453125" customWidth="1"/>
    <col min="2" max="2" width="9.54296875" customWidth="1"/>
    <col min="3" max="3" width="13.08984375" customWidth="1"/>
    <col min="4" max="4" width="10.36328125" customWidth="1"/>
    <col min="5" max="5" width="33.81640625" customWidth="1"/>
    <col min="6" max="6" width="5.90625" style="3" customWidth="1"/>
    <col min="7" max="7" width="6.1796875" style="3" customWidth="1"/>
    <col min="8" max="8" width="9.36328125" style="165" customWidth="1"/>
    <col min="9" max="9" width="0.453125" customWidth="1"/>
    <col min="10" max="10" width="6.453125" style="119" customWidth="1"/>
    <col min="256" max="256" width="33.453125" customWidth="1"/>
    <col min="257" max="257" width="9.54296875" customWidth="1"/>
    <col min="258" max="258" width="13.08984375" customWidth="1"/>
    <col min="259" max="259" width="10.36328125" customWidth="1"/>
    <col min="260" max="260" width="9.54296875" customWidth="1"/>
    <col min="261" max="261" width="16.81640625" customWidth="1"/>
    <col min="262" max="262" width="7.6328125" customWidth="1"/>
    <col min="263" max="263" width="7.81640625" customWidth="1"/>
    <col min="264" max="264" width="12.08984375" customWidth="1"/>
    <col min="266" max="266" width="6.453125" customWidth="1"/>
    <col min="512" max="512" width="33.453125" customWidth="1"/>
    <col min="513" max="513" width="9.54296875" customWidth="1"/>
    <col min="514" max="514" width="13.08984375" customWidth="1"/>
    <col min="515" max="515" width="10.36328125" customWidth="1"/>
    <col min="516" max="516" width="9.54296875" customWidth="1"/>
    <col min="517" max="517" width="16.81640625" customWidth="1"/>
    <col min="518" max="518" width="7.6328125" customWidth="1"/>
    <col min="519" max="519" width="7.81640625" customWidth="1"/>
    <col min="520" max="520" width="12.08984375" customWidth="1"/>
    <col min="522" max="522" width="6.453125" customWidth="1"/>
    <col min="768" max="768" width="33.453125" customWidth="1"/>
    <col min="769" max="769" width="9.54296875" customWidth="1"/>
    <col min="770" max="770" width="13.08984375" customWidth="1"/>
    <col min="771" max="771" width="10.36328125" customWidth="1"/>
    <col min="772" max="772" width="9.54296875" customWidth="1"/>
    <col min="773" max="773" width="16.81640625" customWidth="1"/>
    <col min="774" max="774" width="7.6328125" customWidth="1"/>
    <col min="775" max="775" width="7.81640625" customWidth="1"/>
    <col min="776" max="776" width="12.08984375" customWidth="1"/>
    <col min="778" max="778" width="6.453125" customWidth="1"/>
    <col min="1024" max="1024" width="33.453125" customWidth="1"/>
    <col min="1025" max="1025" width="9.54296875" customWidth="1"/>
    <col min="1026" max="1026" width="13.08984375" customWidth="1"/>
    <col min="1027" max="1027" width="10.36328125" customWidth="1"/>
    <col min="1028" max="1028" width="9.54296875" customWidth="1"/>
    <col min="1029" max="1029" width="16.81640625" customWidth="1"/>
    <col min="1030" max="1030" width="7.6328125" customWidth="1"/>
    <col min="1031" max="1031" width="7.81640625" customWidth="1"/>
    <col min="1032" max="1032" width="12.08984375" customWidth="1"/>
    <col min="1034" max="1034" width="6.453125" customWidth="1"/>
    <col min="1280" max="1280" width="33.453125" customWidth="1"/>
    <col min="1281" max="1281" width="9.54296875" customWidth="1"/>
    <col min="1282" max="1282" width="13.08984375" customWidth="1"/>
    <col min="1283" max="1283" width="10.36328125" customWidth="1"/>
    <col min="1284" max="1284" width="9.54296875" customWidth="1"/>
    <col min="1285" max="1285" width="16.81640625" customWidth="1"/>
    <col min="1286" max="1286" width="7.6328125" customWidth="1"/>
    <col min="1287" max="1287" width="7.81640625" customWidth="1"/>
    <col min="1288" max="1288" width="12.08984375" customWidth="1"/>
    <col min="1290" max="1290" width="6.453125" customWidth="1"/>
    <col min="1536" max="1536" width="33.453125" customWidth="1"/>
    <col min="1537" max="1537" width="9.54296875" customWidth="1"/>
    <col min="1538" max="1538" width="13.08984375" customWidth="1"/>
    <col min="1539" max="1539" width="10.36328125" customWidth="1"/>
    <col min="1540" max="1540" width="9.54296875" customWidth="1"/>
    <col min="1541" max="1541" width="16.81640625" customWidth="1"/>
    <col min="1542" max="1542" width="7.6328125" customWidth="1"/>
    <col min="1543" max="1543" width="7.81640625" customWidth="1"/>
    <col min="1544" max="1544" width="12.08984375" customWidth="1"/>
    <col min="1546" max="1546" width="6.453125" customWidth="1"/>
    <col min="1792" max="1792" width="33.453125" customWidth="1"/>
    <col min="1793" max="1793" width="9.54296875" customWidth="1"/>
    <col min="1794" max="1794" width="13.08984375" customWidth="1"/>
    <col min="1795" max="1795" width="10.36328125" customWidth="1"/>
    <col min="1796" max="1796" width="9.54296875" customWidth="1"/>
    <col min="1797" max="1797" width="16.81640625" customWidth="1"/>
    <col min="1798" max="1798" width="7.6328125" customWidth="1"/>
    <col min="1799" max="1799" width="7.81640625" customWidth="1"/>
    <col min="1800" max="1800" width="12.08984375" customWidth="1"/>
    <col min="1802" max="1802" width="6.453125" customWidth="1"/>
    <col min="2048" max="2048" width="33.453125" customWidth="1"/>
    <col min="2049" max="2049" width="9.54296875" customWidth="1"/>
    <col min="2050" max="2050" width="13.08984375" customWidth="1"/>
    <col min="2051" max="2051" width="10.36328125" customWidth="1"/>
    <col min="2052" max="2052" width="9.54296875" customWidth="1"/>
    <col min="2053" max="2053" width="16.81640625" customWidth="1"/>
    <col min="2054" max="2054" width="7.6328125" customWidth="1"/>
    <col min="2055" max="2055" width="7.81640625" customWidth="1"/>
    <col min="2056" max="2056" width="12.08984375" customWidth="1"/>
    <col min="2058" max="2058" width="6.453125" customWidth="1"/>
    <col min="2304" max="2304" width="33.453125" customWidth="1"/>
    <col min="2305" max="2305" width="9.54296875" customWidth="1"/>
    <col min="2306" max="2306" width="13.08984375" customWidth="1"/>
    <col min="2307" max="2307" width="10.36328125" customWidth="1"/>
    <col min="2308" max="2308" width="9.54296875" customWidth="1"/>
    <col min="2309" max="2309" width="16.81640625" customWidth="1"/>
    <col min="2310" max="2310" width="7.6328125" customWidth="1"/>
    <col min="2311" max="2311" width="7.81640625" customWidth="1"/>
    <col min="2312" max="2312" width="12.08984375" customWidth="1"/>
    <col min="2314" max="2314" width="6.453125" customWidth="1"/>
    <col min="2560" max="2560" width="33.453125" customWidth="1"/>
    <col min="2561" max="2561" width="9.54296875" customWidth="1"/>
    <col min="2562" max="2562" width="13.08984375" customWidth="1"/>
    <col min="2563" max="2563" width="10.36328125" customWidth="1"/>
    <col min="2564" max="2564" width="9.54296875" customWidth="1"/>
    <col min="2565" max="2565" width="16.81640625" customWidth="1"/>
    <col min="2566" max="2566" width="7.6328125" customWidth="1"/>
    <col min="2567" max="2567" width="7.81640625" customWidth="1"/>
    <col min="2568" max="2568" width="12.08984375" customWidth="1"/>
    <col min="2570" max="2570" width="6.453125" customWidth="1"/>
    <col min="2816" max="2816" width="33.453125" customWidth="1"/>
    <col min="2817" max="2817" width="9.54296875" customWidth="1"/>
    <col min="2818" max="2818" width="13.08984375" customWidth="1"/>
    <col min="2819" max="2819" width="10.36328125" customWidth="1"/>
    <col min="2820" max="2820" width="9.54296875" customWidth="1"/>
    <col min="2821" max="2821" width="16.81640625" customWidth="1"/>
    <col min="2822" max="2822" width="7.6328125" customWidth="1"/>
    <col min="2823" max="2823" width="7.81640625" customWidth="1"/>
    <col min="2824" max="2824" width="12.08984375" customWidth="1"/>
    <col min="2826" max="2826" width="6.453125" customWidth="1"/>
    <col min="3072" max="3072" width="33.453125" customWidth="1"/>
    <col min="3073" max="3073" width="9.54296875" customWidth="1"/>
    <col min="3074" max="3074" width="13.08984375" customWidth="1"/>
    <col min="3075" max="3075" width="10.36328125" customWidth="1"/>
    <col min="3076" max="3076" width="9.54296875" customWidth="1"/>
    <col min="3077" max="3077" width="16.81640625" customWidth="1"/>
    <col min="3078" max="3078" width="7.6328125" customWidth="1"/>
    <col min="3079" max="3079" width="7.81640625" customWidth="1"/>
    <col min="3080" max="3080" width="12.08984375" customWidth="1"/>
    <col min="3082" max="3082" width="6.453125" customWidth="1"/>
    <col min="3328" max="3328" width="33.453125" customWidth="1"/>
    <col min="3329" max="3329" width="9.54296875" customWidth="1"/>
    <col min="3330" max="3330" width="13.08984375" customWidth="1"/>
    <col min="3331" max="3331" width="10.36328125" customWidth="1"/>
    <col min="3332" max="3332" width="9.54296875" customWidth="1"/>
    <col min="3333" max="3333" width="16.81640625" customWidth="1"/>
    <col min="3334" max="3334" width="7.6328125" customWidth="1"/>
    <col min="3335" max="3335" width="7.81640625" customWidth="1"/>
    <col min="3336" max="3336" width="12.08984375" customWidth="1"/>
    <col min="3338" max="3338" width="6.453125" customWidth="1"/>
    <col min="3584" max="3584" width="33.453125" customWidth="1"/>
    <col min="3585" max="3585" width="9.54296875" customWidth="1"/>
    <col min="3586" max="3586" width="13.08984375" customWidth="1"/>
    <col min="3587" max="3587" width="10.36328125" customWidth="1"/>
    <col min="3588" max="3588" width="9.54296875" customWidth="1"/>
    <col min="3589" max="3589" width="16.81640625" customWidth="1"/>
    <col min="3590" max="3590" width="7.6328125" customWidth="1"/>
    <col min="3591" max="3591" width="7.81640625" customWidth="1"/>
    <col min="3592" max="3592" width="12.08984375" customWidth="1"/>
    <col min="3594" max="3594" width="6.453125" customWidth="1"/>
    <col min="3840" max="3840" width="33.453125" customWidth="1"/>
    <col min="3841" max="3841" width="9.54296875" customWidth="1"/>
    <col min="3842" max="3842" width="13.08984375" customWidth="1"/>
    <col min="3843" max="3843" width="10.36328125" customWidth="1"/>
    <col min="3844" max="3844" width="9.54296875" customWidth="1"/>
    <col min="3845" max="3845" width="16.81640625" customWidth="1"/>
    <col min="3846" max="3846" width="7.6328125" customWidth="1"/>
    <col min="3847" max="3847" width="7.81640625" customWidth="1"/>
    <col min="3848" max="3848" width="12.08984375" customWidth="1"/>
    <col min="3850" max="3850" width="6.453125" customWidth="1"/>
    <col min="4096" max="4096" width="33.453125" customWidth="1"/>
    <col min="4097" max="4097" width="9.54296875" customWidth="1"/>
    <col min="4098" max="4098" width="13.08984375" customWidth="1"/>
    <col min="4099" max="4099" width="10.36328125" customWidth="1"/>
    <col min="4100" max="4100" width="9.54296875" customWidth="1"/>
    <col min="4101" max="4101" width="16.81640625" customWidth="1"/>
    <col min="4102" max="4102" width="7.6328125" customWidth="1"/>
    <col min="4103" max="4103" width="7.81640625" customWidth="1"/>
    <col min="4104" max="4104" width="12.08984375" customWidth="1"/>
    <col min="4106" max="4106" width="6.453125" customWidth="1"/>
    <col min="4352" max="4352" width="33.453125" customWidth="1"/>
    <col min="4353" max="4353" width="9.54296875" customWidth="1"/>
    <col min="4354" max="4354" width="13.08984375" customWidth="1"/>
    <col min="4355" max="4355" width="10.36328125" customWidth="1"/>
    <col min="4356" max="4356" width="9.54296875" customWidth="1"/>
    <col min="4357" max="4357" width="16.81640625" customWidth="1"/>
    <col min="4358" max="4358" width="7.6328125" customWidth="1"/>
    <col min="4359" max="4359" width="7.81640625" customWidth="1"/>
    <col min="4360" max="4360" width="12.08984375" customWidth="1"/>
    <col min="4362" max="4362" width="6.453125" customWidth="1"/>
    <col min="4608" max="4608" width="33.453125" customWidth="1"/>
    <col min="4609" max="4609" width="9.54296875" customWidth="1"/>
    <col min="4610" max="4610" width="13.08984375" customWidth="1"/>
    <col min="4611" max="4611" width="10.36328125" customWidth="1"/>
    <col min="4612" max="4612" width="9.54296875" customWidth="1"/>
    <col min="4613" max="4613" width="16.81640625" customWidth="1"/>
    <col min="4614" max="4614" width="7.6328125" customWidth="1"/>
    <col min="4615" max="4615" width="7.81640625" customWidth="1"/>
    <col min="4616" max="4616" width="12.08984375" customWidth="1"/>
    <col min="4618" max="4618" width="6.453125" customWidth="1"/>
    <col min="4864" max="4864" width="33.453125" customWidth="1"/>
    <col min="4865" max="4865" width="9.54296875" customWidth="1"/>
    <col min="4866" max="4866" width="13.08984375" customWidth="1"/>
    <col min="4867" max="4867" width="10.36328125" customWidth="1"/>
    <col min="4868" max="4868" width="9.54296875" customWidth="1"/>
    <col min="4869" max="4869" width="16.81640625" customWidth="1"/>
    <col min="4870" max="4870" width="7.6328125" customWidth="1"/>
    <col min="4871" max="4871" width="7.81640625" customWidth="1"/>
    <col min="4872" max="4872" width="12.08984375" customWidth="1"/>
    <col min="4874" max="4874" width="6.453125" customWidth="1"/>
    <col min="5120" max="5120" width="33.453125" customWidth="1"/>
    <col min="5121" max="5121" width="9.54296875" customWidth="1"/>
    <col min="5122" max="5122" width="13.08984375" customWidth="1"/>
    <col min="5123" max="5123" width="10.36328125" customWidth="1"/>
    <col min="5124" max="5124" width="9.54296875" customWidth="1"/>
    <col min="5125" max="5125" width="16.81640625" customWidth="1"/>
    <col min="5126" max="5126" width="7.6328125" customWidth="1"/>
    <col min="5127" max="5127" width="7.81640625" customWidth="1"/>
    <col min="5128" max="5128" width="12.08984375" customWidth="1"/>
    <col min="5130" max="5130" width="6.453125" customWidth="1"/>
    <col min="5376" max="5376" width="33.453125" customWidth="1"/>
    <col min="5377" max="5377" width="9.54296875" customWidth="1"/>
    <col min="5378" max="5378" width="13.08984375" customWidth="1"/>
    <col min="5379" max="5379" width="10.36328125" customWidth="1"/>
    <col min="5380" max="5380" width="9.54296875" customWidth="1"/>
    <col min="5381" max="5381" width="16.81640625" customWidth="1"/>
    <col min="5382" max="5382" width="7.6328125" customWidth="1"/>
    <col min="5383" max="5383" width="7.81640625" customWidth="1"/>
    <col min="5384" max="5384" width="12.08984375" customWidth="1"/>
    <col min="5386" max="5386" width="6.453125" customWidth="1"/>
    <col min="5632" max="5632" width="33.453125" customWidth="1"/>
    <col min="5633" max="5633" width="9.54296875" customWidth="1"/>
    <col min="5634" max="5634" width="13.08984375" customWidth="1"/>
    <col min="5635" max="5635" width="10.36328125" customWidth="1"/>
    <col min="5636" max="5636" width="9.54296875" customWidth="1"/>
    <col min="5637" max="5637" width="16.81640625" customWidth="1"/>
    <col min="5638" max="5638" width="7.6328125" customWidth="1"/>
    <col min="5639" max="5639" width="7.81640625" customWidth="1"/>
    <col min="5640" max="5640" width="12.08984375" customWidth="1"/>
    <col min="5642" max="5642" width="6.453125" customWidth="1"/>
    <col min="5888" max="5888" width="33.453125" customWidth="1"/>
    <col min="5889" max="5889" width="9.54296875" customWidth="1"/>
    <col min="5890" max="5890" width="13.08984375" customWidth="1"/>
    <col min="5891" max="5891" width="10.36328125" customWidth="1"/>
    <col min="5892" max="5892" width="9.54296875" customWidth="1"/>
    <col min="5893" max="5893" width="16.81640625" customWidth="1"/>
    <col min="5894" max="5894" width="7.6328125" customWidth="1"/>
    <col min="5895" max="5895" width="7.81640625" customWidth="1"/>
    <col min="5896" max="5896" width="12.08984375" customWidth="1"/>
    <col min="5898" max="5898" width="6.453125" customWidth="1"/>
    <col min="6144" max="6144" width="33.453125" customWidth="1"/>
    <col min="6145" max="6145" width="9.54296875" customWidth="1"/>
    <col min="6146" max="6146" width="13.08984375" customWidth="1"/>
    <col min="6147" max="6147" width="10.36328125" customWidth="1"/>
    <col min="6148" max="6148" width="9.54296875" customWidth="1"/>
    <col min="6149" max="6149" width="16.81640625" customWidth="1"/>
    <col min="6150" max="6150" width="7.6328125" customWidth="1"/>
    <col min="6151" max="6151" width="7.81640625" customWidth="1"/>
    <col min="6152" max="6152" width="12.08984375" customWidth="1"/>
    <col min="6154" max="6154" width="6.453125" customWidth="1"/>
    <col min="6400" max="6400" width="33.453125" customWidth="1"/>
    <col min="6401" max="6401" width="9.54296875" customWidth="1"/>
    <col min="6402" max="6402" width="13.08984375" customWidth="1"/>
    <col min="6403" max="6403" width="10.36328125" customWidth="1"/>
    <col min="6404" max="6404" width="9.54296875" customWidth="1"/>
    <col min="6405" max="6405" width="16.81640625" customWidth="1"/>
    <col min="6406" max="6406" width="7.6328125" customWidth="1"/>
    <col min="6407" max="6407" width="7.81640625" customWidth="1"/>
    <col min="6408" max="6408" width="12.08984375" customWidth="1"/>
    <col min="6410" max="6410" width="6.453125" customWidth="1"/>
    <col min="6656" max="6656" width="33.453125" customWidth="1"/>
    <col min="6657" max="6657" width="9.54296875" customWidth="1"/>
    <col min="6658" max="6658" width="13.08984375" customWidth="1"/>
    <col min="6659" max="6659" width="10.36328125" customWidth="1"/>
    <col min="6660" max="6660" width="9.54296875" customWidth="1"/>
    <col min="6661" max="6661" width="16.81640625" customWidth="1"/>
    <col min="6662" max="6662" width="7.6328125" customWidth="1"/>
    <col min="6663" max="6663" width="7.81640625" customWidth="1"/>
    <col min="6664" max="6664" width="12.08984375" customWidth="1"/>
    <col min="6666" max="6666" width="6.453125" customWidth="1"/>
    <col min="6912" max="6912" width="33.453125" customWidth="1"/>
    <col min="6913" max="6913" width="9.54296875" customWidth="1"/>
    <col min="6914" max="6914" width="13.08984375" customWidth="1"/>
    <col min="6915" max="6915" width="10.36328125" customWidth="1"/>
    <col min="6916" max="6916" width="9.54296875" customWidth="1"/>
    <col min="6917" max="6917" width="16.81640625" customWidth="1"/>
    <col min="6918" max="6918" width="7.6328125" customWidth="1"/>
    <col min="6919" max="6919" width="7.81640625" customWidth="1"/>
    <col min="6920" max="6920" width="12.08984375" customWidth="1"/>
    <col min="6922" max="6922" width="6.453125" customWidth="1"/>
    <col min="7168" max="7168" width="33.453125" customWidth="1"/>
    <col min="7169" max="7169" width="9.54296875" customWidth="1"/>
    <col min="7170" max="7170" width="13.08984375" customWidth="1"/>
    <col min="7171" max="7171" width="10.36328125" customWidth="1"/>
    <col min="7172" max="7172" width="9.54296875" customWidth="1"/>
    <col min="7173" max="7173" width="16.81640625" customWidth="1"/>
    <col min="7174" max="7174" width="7.6328125" customWidth="1"/>
    <col min="7175" max="7175" width="7.81640625" customWidth="1"/>
    <col min="7176" max="7176" width="12.08984375" customWidth="1"/>
    <col min="7178" max="7178" width="6.453125" customWidth="1"/>
    <col min="7424" max="7424" width="33.453125" customWidth="1"/>
    <col min="7425" max="7425" width="9.54296875" customWidth="1"/>
    <col min="7426" max="7426" width="13.08984375" customWidth="1"/>
    <col min="7427" max="7427" width="10.36328125" customWidth="1"/>
    <col min="7428" max="7428" width="9.54296875" customWidth="1"/>
    <col min="7429" max="7429" width="16.81640625" customWidth="1"/>
    <col min="7430" max="7430" width="7.6328125" customWidth="1"/>
    <col min="7431" max="7431" width="7.81640625" customWidth="1"/>
    <col min="7432" max="7432" width="12.08984375" customWidth="1"/>
    <col min="7434" max="7434" width="6.453125" customWidth="1"/>
    <col min="7680" max="7680" width="33.453125" customWidth="1"/>
    <col min="7681" max="7681" width="9.54296875" customWidth="1"/>
    <col min="7682" max="7682" width="13.08984375" customWidth="1"/>
    <col min="7683" max="7683" width="10.36328125" customWidth="1"/>
    <col min="7684" max="7684" width="9.54296875" customWidth="1"/>
    <col min="7685" max="7685" width="16.81640625" customWidth="1"/>
    <col min="7686" max="7686" width="7.6328125" customWidth="1"/>
    <col min="7687" max="7687" width="7.81640625" customWidth="1"/>
    <col min="7688" max="7688" width="12.08984375" customWidth="1"/>
    <col min="7690" max="7690" width="6.453125" customWidth="1"/>
    <col min="7936" max="7936" width="33.453125" customWidth="1"/>
    <col min="7937" max="7937" width="9.54296875" customWidth="1"/>
    <col min="7938" max="7938" width="13.08984375" customWidth="1"/>
    <col min="7939" max="7939" width="10.36328125" customWidth="1"/>
    <col min="7940" max="7940" width="9.54296875" customWidth="1"/>
    <col min="7941" max="7941" width="16.81640625" customWidth="1"/>
    <col min="7942" max="7942" width="7.6328125" customWidth="1"/>
    <col min="7943" max="7943" width="7.81640625" customWidth="1"/>
    <col min="7944" max="7944" width="12.08984375" customWidth="1"/>
    <col min="7946" max="7946" width="6.453125" customWidth="1"/>
    <col min="8192" max="8192" width="33.453125" customWidth="1"/>
    <col min="8193" max="8193" width="9.54296875" customWidth="1"/>
    <col min="8194" max="8194" width="13.08984375" customWidth="1"/>
    <col min="8195" max="8195" width="10.36328125" customWidth="1"/>
    <col min="8196" max="8196" width="9.54296875" customWidth="1"/>
    <col min="8197" max="8197" width="16.81640625" customWidth="1"/>
    <col min="8198" max="8198" width="7.6328125" customWidth="1"/>
    <col min="8199" max="8199" width="7.81640625" customWidth="1"/>
    <col min="8200" max="8200" width="12.08984375" customWidth="1"/>
    <col min="8202" max="8202" width="6.453125" customWidth="1"/>
    <col min="8448" max="8448" width="33.453125" customWidth="1"/>
    <col min="8449" max="8449" width="9.54296875" customWidth="1"/>
    <col min="8450" max="8450" width="13.08984375" customWidth="1"/>
    <col min="8451" max="8451" width="10.36328125" customWidth="1"/>
    <col min="8452" max="8452" width="9.54296875" customWidth="1"/>
    <col min="8453" max="8453" width="16.81640625" customWidth="1"/>
    <col min="8454" max="8454" width="7.6328125" customWidth="1"/>
    <col min="8455" max="8455" width="7.81640625" customWidth="1"/>
    <col min="8456" max="8456" width="12.08984375" customWidth="1"/>
    <col min="8458" max="8458" width="6.453125" customWidth="1"/>
    <col min="8704" max="8704" width="33.453125" customWidth="1"/>
    <col min="8705" max="8705" width="9.54296875" customWidth="1"/>
    <col min="8706" max="8706" width="13.08984375" customWidth="1"/>
    <col min="8707" max="8707" width="10.36328125" customWidth="1"/>
    <col min="8708" max="8708" width="9.54296875" customWidth="1"/>
    <col min="8709" max="8709" width="16.81640625" customWidth="1"/>
    <col min="8710" max="8710" width="7.6328125" customWidth="1"/>
    <col min="8711" max="8711" width="7.81640625" customWidth="1"/>
    <col min="8712" max="8712" width="12.08984375" customWidth="1"/>
    <col min="8714" max="8714" width="6.453125" customWidth="1"/>
    <col min="8960" max="8960" width="33.453125" customWidth="1"/>
    <col min="8961" max="8961" width="9.54296875" customWidth="1"/>
    <col min="8962" max="8962" width="13.08984375" customWidth="1"/>
    <col min="8963" max="8963" width="10.36328125" customWidth="1"/>
    <col min="8964" max="8964" width="9.54296875" customWidth="1"/>
    <col min="8965" max="8965" width="16.81640625" customWidth="1"/>
    <col min="8966" max="8966" width="7.6328125" customWidth="1"/>
    <col min="8967" max="8967" width="7.81640625" customWidth="1"/>
    <col min="8968" max="8968" width="12.08984375" customWidth="1"/>
    <col min="8970" max="8970" width="6.453125" customWidth="1"/>
    <col min="9216" max="9216" width="33.453125" customWidth="1"/>
    <col min="9217" max="9217" width="9.54296875" customWidth="1"/>
    <col min="9218" max="9218" width="13.08984375" customWidth="1"/>
    <col min="9219" max="9219" width="10.36328125" customWidth="1"/>
    <col min="9220" max="9220" width="9.54296875" customWidth="1"/>
    <col min="9221" max="9221" width="16.81640625" customWidth="1"/>
    <col min="9222" max="9222" width="7.6328125" customWidth="1"/>
    <col min="9223" max="9223" width="7.81640625" customWidth="1"/>
    <col min="9224" max="9224" width="12.08984375" customWidth="1"/>
    <col min="9226" max="9226" width="6.453125" customWidth="1"/>
    <col min="9472" max="9472" width="33.453125" customWidth="1"/>
    <col min="9473" max="9473" width="9.54296875" customWidth="1"/>
    <col min="9474" max="9474" width="13.08984375" customWidth="1"/>
    <col min="9475" max="9475" width="10.36328125" customWidth="1"/>
    <col min="9476" max="9476" width="9.54296875" customWidth="1"/>
    <col min="9477" max="9477" width="16.81640625" customWidth="1"/>
    <col min="9478" max="9478" width="7.6328125" customWidth="1"/>
    <col min="9479" max="9479" width="7.81640625" customWidth="1"/>
    <col min="9480" max="9480" width="12.08984375" customWidth="1"/>
    <col min="9482" max="9482" width="6.453125" customWidth="1"/>
    <col min="9728" max="9728" width="33.453125" customWidth="1"/>
    <col min="9729" max="9729" width="9.54296875" customWidth="1"/>
    <col min="9730" max="9730" width="13.08984375" customWidth="1"/>
    <col min="9731" max="9731" width="10.36328125" customWidth="1"/>
    <col min="9732" max="9732" width="9.54296875" customWidth="1"/>
    <col min="9733" max="9733" width="16.81640625" customWidth="1"/>
    <col min="9734" max="9734" width="7.6328125" customWidth="1"/>
    <col min="9735" max="9735" width="7.81640625" customWidth="1"/>
    <col min="9736" max="9736" width="12.08984375" customWidth="1"/>
    <col min="9738" max="9738" width="6.453125" customWidth="1"/>
    <col min="9984" max="9984" width="33.453125" customWidth="1"/>
    <col min="9985" max="9985" width="9.54296875" customWidth="1"/>
    <col min="9986" max="9986" width="13.08984375" customWidth="1"/>
    <col min="9987" max="9987" width="10.36328125" customWidth="1"/>
    <col min="9988" max="9988" width="9.54296875" customWidth="1"/>
    <col min="9989" max="9989" width="16.81640625" customWidth="1"/>
    <col min="9990" max="9990" width="7.6328125" customWidth="1"/>
    <col min="9991" max="9991" width="7.81640625" customWidth="1"/>
    <col min="9992" max="9992" width="12.08984375" customWidth="1"/>
    <col min="9994" max="9994" width="6.453125" customWidth="1"/>
    <col min="10240" max="10240" width="33.453125" customWidth="1"/>
    <col min="10241" max="10241" width="9.54296875" customWidth="1"/>
    <col min="10242" max="10242" width="13.08984375" customWidth="1"/>
    <col min="10243" max="10243" width="10.36328125" customWidth="1"/>
    <col min="10244" max="10244" width="9.54296875" customWidth="1"/>
    <col min="10245" max="10245" width="16.81640625" customWidth="1"/>
    <col min="10246" max="10246" width="7.6328125" customWidth="1"/>
    <col min="10247" max="10247" width="7.81640625" customWidth="1"/>
    <col min="10248" max="10248" width="12.08984375" customWidth="1"/>
    <col min="10250" max="10250" width="6.453125" customWidth="1"/>
    <col min="10496" max="10496" width="33.453125" customWidth="1"/>
    <col min="10497" max="10497" width="9.54296875" customWidth="1"/>
    <col min="10498" max="10498" width="13.08984375" customWidth="1"/>
    <col min="10499" max="10499" width="10.36328125" customWidth="1"/>
    <col min="10500" max="10500" width="9.54296875" customWidth="1"/>
    <col min="10501" max="10501" width="16.81640625" customWidth="1"/>
    <col min="10502" max="10502" width="7.6328125" customWidth="1"/>
    <col min="10503" max="10503" width="7.81640625" customWidth="1"/>
    <col min="10504" max="10504" width="12.08984375" customWidth="1"/>
    <col min="10506" max="10506" width="6.453125" customWidth="1"/>
    <col min="10752" max="10752" width="33.453125" customWidth="1"/>
    <col min="10753" max="10753" width="9.54296875" customWidth="1"/>
    <col min="10754" max="10754" width="13.08984375" customWidth="1"/>
    <col min="10755" max="10755" width="10.36328125" customWidth="1"/>
    <col min="10756" max="10756" width="9.54296875" customWidth="1"/>
    <col min="10757" max="10757" width="16.81640625" customWidth="1"/>
    <col min="10758" max="10758" width="7.6328125" customWidth="1"/>
    <col min="10759" max="10759" width="7.81640625" customWidth="1"/>
    <col min="10760" max="10760" width="12.08984375" customWidth="1"/>
    <col min="10762" max="10762" width="6.453125" customWidth="1"/>
    <col min="11008" max="11008" width="33.453125" customWidth="1"/>
    <col min="11009" max="11009" width="9.54296875" customWidth="1"/>
    <col min="11010" max="11010" width="13.08984375" customWidth="1"/>
    <col min="11011" max="11011" width="10.36328125" customWidth="1"/>
    <col min="11012" max="11012" width="9.54296875" customWidth="1"/>
    <col min="11013" max="11013" width="16.81640625" customWidth="1"/>
    <col min="11014" max="11014" width="7.6328125" customWidth="1"/>
    <col min="11015" max="11015" width="7.81640625" customWidth="1"/>
    <col min="11016" max="11016" width="12.08984375" customWidth="1"/>
    <col min="11018" max="11018" width="6.453125" customWidth="1"/>
    <col min="11264" max="11264" width="33.453125" customWidth="1"/>
    <col min="11265" max="11265" width="9.54296875" customWidth="1"/>
    <col min="11266" max="11266" width="13.08984375" customWidth="1"/>
    <col min="11267" max="11267" width="10.36328125" customWidth="1"/>
    <col min="11268" max="11268" width="9.54296875" customWidth="1"/>
    <col min="11269" max="11269" width="16.81640625" customWidth="1"/>
    <col min="11270" max="11270" width="7.6328125" customWidth="1"/>
    <col min="11271" max="11271" width="7.81640625" customWidth="1"/>
    <col min="11272" max="11272" width="12.08984375" customWidth="1"/>
    <col min="11274" max="11274" width="6.453125" customWidth="1"/>
    <col min="11520" max="11520" width="33.453125" customWidth="1"/>
    <col min="11521" max="11521" width="9.54296875" customWidth="1"/>
    <col min="11522" max="11522" width="13.08984375" customWidth="1"/>
    <col min="11523" max="11523" width="10.36328125" customWidth="1"/>
    <col min="11524" max="11524" width="9.54296875" customWidth="1"/>
    <col min="11525" max="11525" width="16.81640625" customWidth="1"/>
    <col min="11526" max="11526" width="7.6328125" customWidth="1"/>
    <col min="11527" max="11527" width="7.81640625" customWidth="1"/>
    <col min="11528" max="11528" width="12.08984375" customWidth="1"/>
    <col min="11530" max="11530" width="6.453125" customWidth="1"/>
    <col min="11776" max="11776" width="33.453125" customWidth="1"/>
    <col min="11777" max="11777" width="9.54296875" customWidth="1"/>
    <col min="11778" max="11778" width="13.08984375" customWidth="1"/>
    <col min="11779" max="11779" width="10.36328125" customWidth="1"/>
    <col min="11780" max="11780" width="9.54296875" customWidth="1"/>
    <col min="11781" max="11781" width="16.81640625" customWidth="1"/>
    <col min="11782" max="11782" width="7.6328125" customWidth="1"/>
    <col min="11783" max="11783" width="7.81640625" customWidth="1"/>
    <col min="11784" max="11784" width="12.08984375" customWidth="1"/>
    <col min="11786" max="11786" width="6.453125" customWidth="1"/>
    <col min="12032" max="12032" width="33.453125" customWidth="1"/>
    <col min="12033" max="12033" width="9.54296875" customWidth="1"/>
    <col min="12034" max="12034" width="13.08984375" customWidth="1"/>
    <col min="12035" max="12035" width="10.36328125" customWidth="1"/>
    <col min="12036" max="12036" width="9.54296875" customWidth="1"/>
    <col min="12037" max="12037" width="16.81640625" customWidth="1"/>
    <col min="12038" max="12038" width="7.6328125" customWidth="1"/>
    <col min="12039" max="12039" width="7.81640625" customWidth="1"/>
    <col min="12040" max="12040" width="12.08984375" customWidth="1"/>
    <col min="12042" max="12042" width="6.453125" customWidth="1"/>
    <col min="12288" max="12288" width="33.453125" customWidth="1"/>
    <col min="12289" max="12289" width="9.54296875" customWidth="1"/>
    <col min="12290" max="12290" width="13.08984375" customWidth="1"/>
    <col min="12291" max="12291" width="10.36328125" customWidth="1"/>
    <col min="12292" max="12292" width="9.54296875" customWidth="1"/>
    <col min="12293" max="12293" width="16.81640625" customWidth="1"/>
    <col min="12294" max="12294" width="7.6328125" customWidth="1"/>
    <col min="12295" max="12295" width="7.81640625" customWidth="1"/>
    <col min="12296" max="12296" width="12.08984375" customWidth="1"/>
    <col min="12298" max="12298" width="6.453125" customWidth="1"/>
    <col min="12544" max="12544" width="33.453125" customWidth="1"/>
    <col min="12545" max="12545" width="9.54296875" customWidth="1"/>
    <col min="12546" max="12546" width="13.08984375" customWidth="1"/>
    <col min="12547" max="12547" width="10.36328125" customWidth="1"/>
    <col min="12548" max="12548" width="9.54296875" customWidth="1"/>
    <col min="12549" max="12549" width="16.81640625" customWidth="1"/>
    <col min="12550" max="12550" width="7.6328125" customWidth="1"/>
    <col min="12551" max="12551" width="7.81640625" customWidth="1"/>
    <col min="12552" max="12552" width="12.08984375" customWidth="1"/>
    <col min="12554" max="12554" width="6.453125" customWidth="1"/>
    <col min="12800" max="12800" width="33.453125" customWidth="1"/>
    <col min="12801" max="12801" width="9.54296875" customWidth="1"/>
    <col min="12802" max="12802" width="13.08984375" customWidth="1"/>
    <col min="12803" max="12803" width="10.36328125" customWidth="1"/>
    <col min="12804" max="12804" width="9.54296875" customWidth="1"/>
    <col min="12805" max="12805" width="16.81640625" customWidth="1"/>
    <col min="12806" max="12806" width="7.6328125" customWidth="1"/>
    <col min="12807" max="12807" width="7.81640625" customWidth="1"/>
    <col min="12808" max="12808" width="12.08984375" customWidth="1"/>
    <col min="12810" max="12810" width="6.453125" customWidth="1"/>
    <col min="13056" max="13056" width="33.453125" customWidth="1"/>
    <col min="13057" max="13057" width="9.54296875" customWidth="1"/>
    <col min="13058" max="13058" width="13.08984375" customWidth="1"/>
    <col min="13059" max="13059" width="10.36328125" customWidth="1"/>
    <col min="13060" max="13060" width="9.54296875" customWidth="1"/>
    <col min="13061" max="13061" width="16.81640625" customWidth="1"/>
    <col min="13062" max="13062" width="7.6328125" customWidth="1"/>
    <col min="13063" max="13063" width="7.81640625" customWidth="1"/>
    <col min="13064" max="13064" width="12.08984375" customWidth="1"/>
    <col min="13066" max="13066" width="6.453125" customWidth="1"/>
    <col min="13312" max="13312" width="33.453125" customWidth="1"/>
    <col min="13313" max="13313" width="9.54296875" customWidth="1"/>
    <col min="13314" max="13314" width="13.08984375" customWidth="1"/>
    <col min="13315" max="13315" width="10.36328125" customWidth="1"/>
    <col min="13316" max="13316" width="9.54296875" customWidth="1"/>
    <col min="13317" max="13317" width="16.81640625" customWidth="1"/>
    <col min="13318" max="13318" width="7.6328125" customWidth="1"/>
    <col min="13319" max="13319" width="7.81640625" customWidth="1"/>
    <col min="13320" max="13320" width="12.08984375" customWidth="1"/>
    <col min="13322" max="13322" width="6.453125" customWidth="1"/>
    <col min="13568" max="13568" width="33.453125" customWidth="1"/>
    <col min="13569" max="13569" width="9.54296875" customWidth="1"/>
    <col min="13570" max="13570" width="13.08984375" customWidth="1"/>
    <col min="13571" max="13571" width="10.36328125" customWidth="1"/>
    <col min="13572" max="13572" width="9.54296875" customWidth="1"/>
    <col min="13573" max="13573" width="16.81640625" customWidth="1"/>
    <col min="13574" max="13574" width="7.6328125" customWidth="1"/>
    <col min="13575" max="13575" width="7.81640625" customWidth="1"/>
    <col min="13576" max="13576" width="12.08984375" customWidth="1"/>
    <col min="13578" max="13578" width="6.453125" customWidth="1"/>
    <col min="13824" max="13824" width="33.453125" customWidth="1"/>
    <col min="13825" max="13825" width="9.54296875" customWidth="1"/>
    <col min="13826" max="13826" width="13.08984375" customWidth="1"/>
    <col min="13827" max="13827" width="10.36328125" customWidth="1"/>
    <col min="13828" max="13828" width="9.54296875" customWidth="1"/>
    <col min="13829" max="13829" width="16.81640625" customWidth="1"/>
    <col min="13830" max="13830" width="7.6328125" customWidth="1"/>
    <col min="13831" max="13831" width="7.81640625" customWidth="1"/>
    <col min="13832" max="13832" width="12.08984375" customWidth="1"/>
    <col min="13834" max="13834" width="6.453125" customWidth="1"/>
    <col min="14080" max="14080" width="33.453125" customWidth="1"/>
    <col min="14081" max="14081" width="9.54296875" customWidth="1"/>
    <col min="14082" max="14082" width="13.08984375" customWidth="1"/>
    <col min="14083" max="14083" width="10.36328125" customWidth="1"/>
    <col min="14084" max="14084" width="9.54296875" customWidth="1"/>
    <col min="14085" max="14085" width="16.81640625" customWidth="1"/>
    <col min="14086" max="14086" width="7.6328125" customWidth="1"/>
    <col min="14087" max="14087" width="7.81640625" customWidth="1"/>
    <col min="14088" max="14088" width="12.08984375" customWidth="1"/>
    <col min="14090" max="14090" width="6.453125" customWidth="1"/>
    <col min="14336" max="14336" width="33.453125" customWidth="1"/>
    <col min="14337" max="14337" width="9.54296875" customWidth="1"/>
    <col min="14338" max="14338" width="13.08984375" customWidth="1"/>
    <col min="14339" max="14339" width="10.36328125" customWidth="1"/>
    <col min="14340" max="14340" width="9.54296875" customWidth="1"/>
    <col min="14341" max="14341" width="16.81640625" customWidth="1"/>
    <col min="14342" max="14342" width="7.6328125" customWidth="1"/>
    <col min="14343" max="14343" width="7.81640625" customWidth="1"/>
    <col min="14344" max="14344" width="12.08984375" customWidth="1"/>
    <col min="14346" max="14346" width="6.453125" customWidth="1"/>
    <col min="14592" max="14592" width="33.453125" customWidth="1"/>
    <col min="14593" max="14593" width="9.54296875" customWidth="1"/>
    <col min="14594" max="14594" width="13.08984375" customWidth="1"/>
    <col min="14595" max="14595" width="10.36328125" customWidth="1"/>
    <col min="14596" max="14596" width="9.54296875" customWidth="1"/>
    <col min="14597" max="14597" width="16.81640625" customWidth="1"/>
    <col min="14598" max="14598" width="7.6328125" customWidth="1"/>
    <col min="14599" max="14599" width="7.81640625" customWidth="1"/>
    <col min="14600" max="14600" width="12.08984375" customWidth="1"/>
    <col min="14602" max="14602" width="6.453125" customWidth="1"/>
    <col min="14848" max="14848" width="33.453125" customWidth="1"/>
    <col min="14849" max="14849" width="9.54296875" customWidth="1"/>
    <col min="14850" max="14850" width="13.08984375" customWidth="1"/>
    <col min="14851" max="14851" width="10.36328125" customWidth="1"/>
    <col min="14852" max="14852" width="9.54296875" customWidth="1"/>
    <col min="14853" max="14853" width="16.81640625" customWidth="1"/>
    <col min="14854" max="14854" width="7.6328125" customWidth="1"/>
    <col min="14855" max="14855" width="7.81640625" customWidth="1"/>
    <col min="14856" max="14856" width="12.08984375" customWidth="1"/>
    <col min="14858" max="14858" width="6.453125" customWidth="1"/>
    <col min="15104" max="15104" width="33.453125" customWidth="1"/>
    <col min="15105" max="15105" width="9.54296875" customWidth="1"/>
    <col min="15106" max="15106" width="13.08984375" customWidth="1"/>
    <col min="15107" max="15107" width="10.36328125" customWidth="1"/>
    <col min="15108" max="15108" width="9.54296875" customWidth="1"/>
    <col min="15109" max="15109" width="16.81640625" customWidth="1"/>
    <col min="15110" max="15110" width="7.6328125" customWidth="1"/>
    <col min="15111" max="15111" width="7.81640625" customWidth="1"/>
    <col min="15112" max="15112" width="12.08984375" customWidth="1"/>
    <col min="15114" max="15114" width="6.453125" customWidth="1"/>
    <col min="15360" max="15360" width="33.453125" customWidth="1"/>
    <col min="15361" max="15361" width="9.54296875" customWidth="1"/>
    <col min="15362" max="15362" width="13.08984375" customWidth="1"/>
    <col min="15363" max="15363" width="10.36328125" customWidth="1"/>
    <col min="15364" max="15364" width="9.54296875" customWidth="1"/>
    <col min="15365" max="15365" width="16.81640625" customWidth="1"/>
    <col min="15366" max="15366" width="7.6328125" customWidth="1"/>
    <col min="15367" max="15367" width="7.81640625" customWidth="1"/>
    <col min="15368" max="15368" width="12.08984375" customWidth="1"/>
    <col min="15370" max="15370" width="6.453125" customWidth="1"/>
    <col min="15616" max="15616" width="33.453125" customWidth="1"/>
    <col min="15617" max="15617" width="9.54296875" customWidth="1"/>
    <col min="15618" max="15618" width="13.08984375" customWidth="1"/>
    <col min="15619" max="15619" width="10.36328125" customWidth="1"/>
    <col min="15620" max="15620" width="9.54296875" customWidth="1"/>
    <col min="15621" max="15621" width="16.81640625" customWidth="1"/>
    <col min="15622" max="15622" width="7.6328125" customWidth="1"/>
    <col min="15623" max="15623" width="7.81640625" customWidth="1"/>
    <col min="15624" max="15624" width="12.08984375" customWidth="1"/>
    <col min="15626" max="15626" width="6.453125" customWidth="1"/>
    <col min="15872" max="15872" width="33.453125" customWidth="1"/>
    <col min="15873" max="15873" width="9.54296875" customWidth="1"/>
    <col min="15874" max="15874" width="13.08984375" customWidth="1"/>
    <col min="15875" max="15875" width="10.36328125" customWidth="1"/>
    <col min="15876" max="15876" width="9.54296875" customWidth="1"/>
    <col min="15877" max="15877" width="16.81640625" customWidth="1"/>
    <col min="15878" max="15878" width="7.6328125" customWidth="1"/>
    <col min="15879" max="15879" width="7.81640625" customWidth="1"/>
    <col min="15880" max="15880" width="12.08984375" customWidth="1"/>
    <col min="15882" max="15882" width="6.453125" customWidth="1"/>
    <col min="16128" max="16128" width="33.453125" customWidth="1"/>
    <col min="16129" max="16129" width="9.54296875" customWidth="1"/>
    <col min="16130" max="16130" width="13.08984375" customWidth="1"/>
    <col min="16131" max="16131" width="10.36328125" customWidth="1"/>
    <col min="16132" max="16132" width="9.54296875" customWidth="1"/>
    <col min="16133" max="16133" width="16.81640625" customWidth="1"/>
    <col min="16134" max="16134" width="7.6328125" customWidth="1"/>
    <col min="16135" max="16135" width="7.81640625" customWidth="1"/>
    <col min="16136" max="16136" width="12.08984375" customWidth="1"/>
    <col min="16138" max="16138" width="6.453125" customWidth="1"/>
  </cols>
  <sheetData>
    <row r="1" spans="1:23" ht="17.399999999999999">
      <c r="A1" s="842" t="s">
        <v>160</v>
      </c>
      <c r="B1" s="843"/>
      <c r="C1" s="843"/>
      <c r="D1" s="843"/>
      <c r="E1" s="843"/>
      <c r="F1" s="843"/>
      <c r="G1" s="843"/>
      <c r="H1" s="843"/>
      <c r="I1" s="221" t="s">
        <v>159</v>
      </c>
    </row>
    <row r="2" spans="1:23" ht="15" customHeight="1">
      <c r="A2" s="844" t="s">
        <v>102</v>
      </c>
      <c r="B2" s="845"/>
      <c r="C2" s="845"/>
      <c r="D2" s="845"/>
      <c r="E2" s="845"/>
      <c r="F2" s="845"/>
      <c r="G2" s="845"/>
      <c r="H2" s="845"/>
      <c r="I2" s="221" t="s">
        <v>159</v>
      </c>
      <c r="K2" s="4"/>
      <c r="L2" s="4"/>
      <c r="M2" s="4"/>
      <c r="N2" s="4"/>
      <c r="O2" s="4"/>
      <c r="P2" s="4"/>
      <c r="Q2" s="4"/>
      <c r="R2" s="4"/>
      <c r="S2" s="4"/>
      <c r="T2" s="4"/>
      <c r="U2" s="4"/>
      <c r="V2" s="4"/>
      <c r="W2" s="4"/>
    </row>
    <row r="3" spans="1:23" ht="15.6">
      <c r="A3" s="846" t="s">
        <v>188</v>
      </c>
      <c r="B3" s="845"/>
      <c r="C3" s="845"/>
      <c r="D3" s="845"/>
      <c r="E3" s="845"/>
      <c r="F3" s="845"/>
      <c r="G3" s="845"/>
      <c r="H3" s="845"/>
      <c r="I3" s="221" t="s">
        <v>159</v>
      </c>
      <c r="K3" s="138"/>
      <c r="L3" s="4"/>
      <c r="M3" s="4"/>
      <c r="N3" s="4"/>
      <c r="O3" s="4"/>
      <c r="P3" s="4"/>
      <c r="Q3" s="4"/>
      <c r="R3" s="4"/>
      <c r="S3" s="4"/>
      <c r="T3" s="4"/>
      <c r="U3" s="4"/>
      <c r="V3" s="4"/>
      <c r="W3" s="4"/>
    </row>
    <row r="4" spans="1:23" ht="15.6">
      <c r="A4" s="183"/>
      <c r="B4" s="182"/>
      <c r="C4" s="182"/>
      <c r="D4" s="182"/>
      <c r="E4" s="182"/>
      <c r="F4" s="139" t="s">
        <v>162</v>
      </c>
      <c r="G4" s="139" t="s">
        <v>20</v>
      </c>
      <c r="H4" s="163" t="s">
        <v>21</v>
      </c>
      <c r="I4" s="221" t="s">
        <v>159</v>
      </c>
      <c r="K4" s="138"/>
      <c r="L4" s="182"/>
      <c r="M4" s="182"/>
      <c r="N4" s="182"/>
      <c r="O4" s="182"/>
      <c r="P4" s="182"/>
      <c r="Q4" s="182"/>
      <c r="R4" s="182"/>
      <c r="S4" s="182"/>
      <c r="T4" s="182"/>
      <c r="U4" s="182"/>
      <c r="V4" s="182"/>
      <c r="W4" s="182"/>
    </row>
    <row r="5" spans="1:23" ht="15.6">
      <c r="A5" s="847" t="s">
        <v>25</v>
      </c>
      <c r="B5" s="847"/>
      <c r="C5" s="847"/>
      <c r="D5" s="847"/>
      <c r="E5" s="847"/>
      <c r="F5" s="272"/>
      <c r="G5" s="272"/>
      <c r="H5" s="272"/>
      <c r="I5" s="221" t="s">
        <v>159</v>
      </c>
      <c r="K5" s="138"/>
      <c r="L5" s="218"/>
      <c r="M5" s="218"/>
      <c r="N5" s="218"/>
      <c r="O5" s="218"/>
      <c r="P5" s="218"/>
      <c r="Q5" s="218"/>
      <c r="R5" s="218"/>
      <c r="S5" s="218"/>
      <c r="T5" s="218"/>
      <c r="U5" s="218"/>
      <c r="V5" s="218"/>
      <c r="W5" s="218"/>
    </row>
    <row r="6" spans="1:23" ht="9" customHeight="1">
      <c r="A6" s="140"/>
      <c r="B6" s="140"/>
      <c r="C6" s="140"/>
      <c r="D6" s="140"/>
      <c r="E6" s="140"/>
      <c r="F6" s="273"/>
      <c r="G6" s="273"/>
      <c r="H6" s="273"/>
      <c r="I6" s="221" t="s">
        <v>159</v>
      </c>
      <c r="K6" s="138"/>
      <c r="L6" s="218"/>
      <c r="M6" s="218"/>
      <c r="N6" s="218"/>
      <c r="O6" s="218"/>
      <c r="P6" s="218"/>
      <c r="Q6" s="218"/>
      <c r="R6" s="218"/>
      <c r="S6" s="218"/>
      <c r="T6" s="218"/>
      <c r="U6" s="218"/>
      <c r="V6" s="218"/>
      <c r="W6" s="218"/>
    </row>
    <row r="7" spans="1:23" s="256" customFormat="1" ht="25.5" customHeight="1">
      <c r="A7" s="837" t="s">
        <v>249</v>
      </c>
      <c r="B7" s="838"/>
      <c r="C7" s="838"/>
      <c r="D7" s="838"/>
      <c r="E7" s="838"/>
      <c r="F7" s="253">
        <v>0</v>
      </c>
      <c r="G7" s="253">
        <v>0</v>
      </c>
      <c r="H7" s="220">
        <v>1615</v>
      </c>
      <c r="I7" s="221" t="s">
        <v>159</v>
      </c>
      <c r="J7" s="221"/>
      <c r="K7" s="254"/>
      <c r="L7" s="255"/>
      <c r="M7" s="255"/>
      <c r="N7" s="255"/>
      <c r="O7" s="255"/>
      <c r="P7" s="255"/>
      <c r="Q7" s="255"/>
      <c r="R7" s="255"/>
      <c r="S7" s="255"/>
      <c r="T7" s="255"/>
      <c r="U7" s="255"/>
      <c r="V7" s="255"/>
      <c r="W7" s="255"/>
    </row>
    <row r="8" spans="1:23" s="256" customFormat="1" ht="6" customHeight="1">
      <c r="A8" s="257"/>
      <c r="B8" s="255"/>
      <c r="C8" s="255"/>
      <c r="D8" s="255"/>
      <c r="E8" s="255"/>
      <c r="F8" s="258"/>
      <c r="G8" s="258"/>
      <c r="H8" s="259"/>
      <c r="I8" s="221" t="s">
        <v>159</v>
      </c>
      <c r="J8" s="221"/>
      <c r="K8" s="254"/>
      <c r="L8" s="255"/>
      <c r="M8" s="255"/>
      <c r="N8" s="255"/>
      <c r="O8" s="255"/>
      <c r="P8" s="255"/>
      <c r="Q8" s="255"/>
      <c r="R8" s="255"/>
      <c r="S8" s="255"/>
      <c r="T8" s="255"/>
      <c r="U8" s="255"/>
      <c r="V8" s="255"/>
      <c r="W8" s="255"/>
    </row>
    <row r="9" spans="1:23" s="256" customFormat="1" ht="25.5" customHeight="1">
      <c r="A9" s="837" t="s">
        <v>250</v>
      </c>
      <c r="B9" s="838"/>
      <c r="C9" s="838"/>
      <c r="D9" s="838"/>
      <c r="E9" s="838"/>
      <c r="F9" s="253">
        <v>0</v>
      </c>
      <c r="G9" s="253">
        <v>0</v>
      </c>
      <c r="H9" s="220">
        <v>18</v>
      </c>
      <c r="I9" s="221" t="s">
        <v>159</v>
      </c>
      <c r="J9" s="221"/>
      <c r="K9" s="254"/>
      <c r="L9" s="255"/>
      <c r="M9" s="255"/>
      <c r="N9" s="255"/>
      <c r="O9" s="255"/>
      <c r="P9" s="255"/>
      <c r="Q9" s="255"/>
      <c r="R9" s="255"/>
      <c r="S9" s="255"/>
      <c r="T9" s="255"/>
      <c r="U9" s="255"/>
      <c r="V9" s="255"/>
      <c r="W9" s="255"/>
    </row>
    <row r="10" spans="1:23" s="256" customFormat="1" ht="6" customHeight="1">
      <c r="A10" s="631"/>
      <c r="B10" s="632"/>
      <c r="C10" s="632"/>
      <c r="D10" s="632"/>
      <c r="E10" s="632"/>
      <c r="F10" s="253"/>
      <c r="G10" s="253"/>
      <c r="H10" s="220"/>
      <c r="I10" s="221" t="s">
        <v>159</v>
      </c>
      <c r="J10" s="221"/>
      <c r="K10" s="254"/>
      <c r="L10" s="255"/>
      <c r="M10" s="255"/>
      <c r="N10" s="255"/>
      <c r="O10" s="255"/>
      <c r="P10" s="255"/>
      <c r="Q10" s="255"/>
      <c r="R10" s="255"/>
      <c r="S10" s="255"/>
      <c r="T10" s="255"/>
      <c r="U10" s="255"/>
      <c r="V10" s="255"/>
      <c r="W10" s="255"/>
    </row>
    <row r="11" spans="1:23" s="256" customFormat="1" ht="27.75" customHeight="1">
      <c r="A11" s="837" t="s">
        <v>425</v>
      </c>
      <c r="B11" s="838"/>
      <c r="C11" s="838"/>
      <c r="D11" s="838"/>
      <c r="E11" s="838"/>
      <c r="F11" s="253">
        <v>0</v>
      </c>
      <c r="G11" s="253">
        <v>0</v>
      </c>
      <c r="H11" s="220">
        <v>-1102</v>
      </c>
      <c r="I11" s="221" t="s">
        <v>159</v>
      </c>
      <c r="J11" s="221"/>
      <c r="K11" s="254"/>
      <c r="L11" s="255"/>
      <c r="M11" s="255"/>
      <c r="N11" s="255"/>
      <c r="O11" s="255"/>
      <c r="P11" s="255"/>
      <c r="Q11" s="255"/>
      <c r="R11" s="255"/>
      <c r="S11" s="255"/>
      <c r="T11" s="255"/>
      <c r="U11" s="255"/>
      <c r="V11" s="255"/>
      <c r="W11" s="255"/>
    </row>
    <row r="12" spans="1:23" s="256" customFormat="1" ht="6" customHeight="1">
      <c r="A12" s="631"/>
      <c r="B12" s="632"/>
      <c r="C12" s="632"/>
      <c r="D12" s="632"/>
      <c r="E12" s="632"/>
      <c r="F12" s="253"/>
      <c r="G12" s="253"/>
      <c r="H12" s="220"/>
      <c r="I12" s="221" t="s">
        <v>159</v>
      </c>
      <c r="J12" s="221"/>
      <c r="K12" s="254"/>
      <c r="L12" s="255"/>
      <c r="M12" s="255"/>
      <c r="N12" s="255"/>
      <c r="O12" s="255"/>
      <c r="P12" s="255"/>
      <c r="Q12" s="255"/>
      <c r="R12" s="255"/>
      <c r="S12" s="255"/>
      <c r="T12" s="255"/>
      <c r="U12" s="255"/>
      <c r="V12" s="255"/>
      <c r="W12" s="255"/>
    </row>
    <row r="13" spans="1:23" s="256" customFormat="1" ht="28.5" customHeight="1">
      <c r="A13" s="837" t="s">
        <v>426</v>
      </c>
      <c r="B13" s="838"/>
      <c r="C13" s="838"/>
      <c r="D13" s="838"/>
      <c r="E13" s="838"/>
      <c r="F13" s="253">
        <v>0</v>
      </c>
      <c r="G13" s="253">
        <v>0</v>
      </c>
      <c r="H13" s="220">
        <v>-71</v>
      </c>
      <c r="I13" s="221" t="s">
        <v>159</v>
      </c>
      <c r="J13" s="221"/>
      <c r="K13" s="254"/>
      <c r="L13" s="255"/>
      <c r="M13" s="255"/>
      <c r="N13" s="255"/>
      <c r="O13" s="255"/>
      <c r="P13" s="255"/>
      <c r="Q13" s="255"/>
      <c r="R13" s="255"/>
      <c r="S13" s="255"/>
      <c r="T13" s="255"/>
      <c r="U13" s="255"/>
      <c r="V13" s="255"/>
      <c r="W13" s="255"/>
    </row>
    <row r="14" spans="1:23" s="223" customFormat="1" ht="13.5" customHeight="1">
      <c r="A14" s="848" t="s">
        <v>211</v>
      </c>
      <c r="B14" s="848"/>
      <c r="C14" s="848"/>
      <c r="D14" s="848"/>
      <c r="E14" s="848"/>
      <c r="F14" s="274"/>
      <c r="G14" s="274"/>
      <c r="H14" s="274"/>
      <c r="I14" s="221" t="s">
        <v>159</v>
      </c>
      <c r="J14" s="221"/>
      <c r="K14" s="222"/>
    </row>
    <row r="15" spans="1:23" s="223" customFormat="1" ht="6" customHeight="1">
      <c r="A15" s="260"/>
      <c r="B15" s="260"/>
      <c r="C15" s="260"/>
      <c r="D15" s="260"/>
      <c r="E15" s="260"/>
      <c r="F15" s="275"/>
      <c r="G15" s="275"/>
      <c r="H15" s="275"/>
      <c r="I15" s="221" t="s">
        <v>159</v>
      </c>
      <c r="J15" s="221"/>
      <c r="K15" s="222"/>
    </row>
    <row r="16" spans="1:23" s="261" customFormat="1" ht="25.5" customHeight="1">
      <c r="A16" s="850" t="s">
        <v>380</v>
      </c>
      <c r="B16" s="850"/>
      <c r="C16" s="850"/>
      <c r="D16" s="850"/>
      <c r="E16" s="850"/>
      <c r="F16" s="123">
        <v>0</v>
      </c>
      <c r="G16" s="276">
        <v>0</v>
      </c>
      <c r="H16" s="277">
        <v>12742</v>
      </c>
      <c r="I16" s="221" t="s">
        <v>159</v>
      </c>
      <c r="J16" s="262"/>
      <c r="K16" s="222"/>
    </row>
    <row r="17" spans="1:11" s="223" customFormat="1" ht="6" customHeight="1">
      <c r="A17" s="260"/>
      <c r="B17" s="260"/>
      <c r="C17" s="260"/>
      <c r="D17" s="260"/>
      <c r="E17" s="260"/>
      <c r="F17" s="275"/>
      <c r="G17" s="275"/>
      <c r="H17" s="275"/>
      <c r="I17" s="221" t="s">
        <v>159</v>
      </c>
      <c r="J17" s="221"/>
      <c r="K17" s="222"/>
    </row>
    <row r="18" spans="1:11" s="223" customFormat="1" ht="37.5" customHeight="1">
      <c r="A18" s="837" t="s">
        <v>377</v>
      </c>
      <c r="B18" s="838"/>
      <c r="C18" s="838"/>
      <c r="D18" s="838"/>
      <c r="E18" s="838"/>
      <c r="F18" s="219">
        <v>0</v>
      </c>
      <c r="G18" s="219">
        <v>0</v>
      </c>
      <c r="H18" s="220">
        <v>11183</v>
      </c>
      <c r="I18" s="221" t="s">
        <v>159</v>
      </c>
      <c r="J18" s="221"/>
      <c r="K18" s="222"/>
    </row>
    <row r="19" spans="1:11" s="223" customFormat="1" ht="6" customHeight="1">
      <c r="A19" s="631"/>
      <c r="B19" s="631"/>
      <c r="C19" s="631"/>
      <c r="D19" s="631"/>
      <c r="E19" s="631"/>
      <c r="F19" s="248"/>
      <c r="G19" s="248"/>
      <c r="H19" s="249"/>
      <c r="I19" s="221" t="s">
        <v>159</v>
      </c>
      <c r="J19" s="221"/>
      <c r="K19" s="222"/>
    </row>
    <row r="20" spans="1:11" s="223" customFormat="1" ht="26.25" customHeight="1">
      <c r="A20" s="849" t="s">
        <v>405</v>
      </c>
      <c r="B20" s="849"/>
      <c r="C20" s="849"/>
      <c r="D20" s="849"/>
      <c r="E20" s="849"/>
      <c r="F20" s="219">
        <v>0</v>
      </c>
      <c r="G20" s="219">
        <v>0</v>
      </c>
      <c r="H20" s="220">
        <v>28735</v>
      </c>
      <c r="I20" s="221" t="s">
        <v>159</v>
      </c>
      <c r="J20" s="221"/>
      <c r="K20" s="222"/>
    </row>
    <row r="21" spans="1:11" s="223" customFormat="1" ht="6" customHeight="1">
      <c r="A21" s="631"/>
      <c r="B21" s="631"/>
      <c r="C21" s="631"/>
      <c r="D21" s="631"/>
      <c r="E21" s="631"/>
      <c r="F21" s="251"/>
      <c r="G21" s="251"/>
      <c r="H21" s="252"/>
      <c r="I21" s="221" t="s">
        <v>159</v>
      </c>
      <c r="J21" s="221"/>
      <c r="K21" s="222"/>
    </row>
    <row r="22" spans="1:11" s="223" customFormat="1" ht="28.5" customHeight="1">
      <c r="A22" s="837" t="s">
        <v>406</v>
      </c>
      <c r="B22" s="838"/>
      <c r="C22" s="838"/>
      <c r="D22" s="838"/>
      <c r="E22" s="838"/>
      <c r="F22" s="219">
        <v>0</v>
      </c>
      <c r="G22" s="219">
        <v>0</v>
      </c>
      <c r="H22" s="220">
        <v>13502</v>
      </c>
      <c r="I22" s="221" t="s">
        <v>159</v>
      </c>
      <c r="J22" s="221"/>
      <c r="K22" s="222"/>
    </row>
    <row r="23" spans="1:11" s="223" customFormat="1" ht="6" customHeight="1">
      <c r="A23" s="631"/>
      <c r="B23" s="632"/>
      <c r="C23" s="632"/>
      <c r="D23" s="632"/>
      <c r="E23" s="632"/>
      <c r="F23" s="219"/>
      <c r="G23" s="219"/>
      <c r="H23" s="220"/>
      <c r="I23" s="221" t="s">
        <v>159</v>
      </c>
      <c r="J23" s="221"/>
      <c r="K23" s="222"/>
    </row>
    <row r="24" spans="1:11" s="223" customFormat="1" ht="27" customHeight="1">
      <c r="A24" s="839" t="s">
        <v>378</v>
      </c>
      <c r="B24" s="838"/>
      <c r="C24" s="838"/>
      <c r="D24" s="838"/>
      <c r="E24" s="838"/>
      <c r="F24" s="250">
        <v>0</v>
      </c>
      <c r="G24" s="219">
        <v>0</v>
      </c>
      <c r="H24" s="220">
        <v>6191</v>
      </c>
      <c r="I24" s="221" t="s">
        <v>159</v>
      </c>
      <c r="J24" s="221"/>
      <c r="K24" s="222"/>
    </row>
    <row r="25" spans="1:11" s="223" customFormat="1" ht="6" customHeight="1">
      <c r="A25" s="631"/>
      <c r="B25" s="631"/>
      <c r="C25" s="631"/>
      <c r="D25" s="631"/>
      <c r="E25" s="631"/>
      <c r="F25" s="248"/>
      <c r="G25" s="248"/>
      <c r="H25" s="249"/>
      <c r="I25" s="221" t="s">
        <v>159</v>
      </c>
      <c r="J25" s="221"/>
      <c r="K25" s="222"/>
    </row>
    <row r="26" spans="1:11" s="672" customFormat="1" ht="62.25" customHeight="1">
      <c r="A26" s="839" t="s">
        <v>427</v>
      </c>
      <c r="B26" s="838"/>
      <c r="C26" s="838"/>
      <c r="D26" s="838"/>
      <c r="E26" s="838"/>
      <c r="F26" s="276">
        <v>0</v>
      </c>
      <c r="G26" s="276">
        <v>0</v>
      </c>
      <c r="H26" s="277">
        <v>14105</v>
      </c>
      <c r="I26" s="221" t="s">
        <v>159</v>
      </c>
      <c r="J26" s="671"/>
    </row>
    <row r="27" spans="1:11" s="223" customFormat="1" ht="6" customHeight="1">
      <c r="A27" s="633"/>
      <c r="B27" s="632"/>
      <c r="C27" s="632"/>
      <c r="D27" s="632"/>
      <c r="E27" s="632"/>
      <c r="F27" s="219"/>
      <c r="G27" s="219"/>
      <c r="H27" s="220"/>
      <c r="I27" s="221" t="s">
        <v>159</v>
      </c>
      <c r="J27" s="221"/>
      <c r="K27" s="222"/>
    </row>
    <row r="28" spans="1:11" s="223" customFormat="1" ht="49.5" customHeight="1">
      <c r="A28" s="839" t="s">
        <v>379</v>
      </c>
      <c r="B28" s="839"/>
      <c r="C28" s="839"/>
      <c r="D28" s="839"/>
      <c r="E28" s="839"/>
      <c r="F28" s="219">
        <v>0</v>
      </c>
      <c r="G28" s="219">
        <v>0</v>
      </c>
      <c r="H28" s="220">
        <v>2492</v>
      </c>
      <c r="I28" s="221" t="s">
        <v>159</v>
      </c>
      <c r="J28" s="221"/>
      <c r="K28" s="222"/>
    </row>
    <row r="29" spans="1:11" s="223" customFormat="1" ht="6" customHeight="1">
      <c r="A29" s="633"/>
      <c r="B29" s="632"/>
      <c r="C29" s="632"/>
      <c r="D29" s="632"/>
      <c r="E29" s="632"/>
      <c r="F29" s="219"/>
      <c r="G29" s="219"/>
      <c r="H29" s="220"/>
      <c r="I29" s="221" t="s">
        <v>159</v>
      </c>
      <c r="J29" s="221"/>
      <c r="K29" s="222"/>
    </row>
    <row r="30" spans="1:11" s="223" customFormat="1" ht="26.25" customHeight="1">
      <c r="A30" s="839" t="s">
        <v>418</v>
      </c>
      <c r="B30" s="839"/>
      <c r="C30" s="839"/>
      <c r="D30" s="839"/>
      <c r="E30" s="839"/>
      <c r="F30" s="219">
        <v>0</v>
      </c>
      <c r="G30" s="219">
        <v>0</v>
      </c>
      <c r="H30" s="220">
        <v>350</v>
      </c>
      <c r="I30" s="221" t="s">
        <v>159</v>
      </c>
      <c r="J30" s="221"/>
      <c r="K30" s="222"/>
    </row>
    <row r="31" spans="1:11" s="223" customFormat="1" ht="6" customHeight="1">
      <c r="A31" s="631"/>
      <c r="B31" s="631"/>
      <c r="C31" s="631"/>
      <c r="D31" s="631"/>
      <c r="E31" s="631"/>
      <c r="F31" s="248"/>
      <c r="G31" s="248"/>
      <c r="H31" s="249"/>
      <c r="I31" s="221" t="s">
        <v>159</v>
      </c>
      <c r="J31" s="221"/>
      <c r="K31" s="222"/>
    </row>
    <row r="32" spans="1:11" s="223" customFormat="1" ht="50.25" customHeight="1">
      <c r="A32" s="835" t="s">
        <v>383</v>
      </c>
      <c r="B32" s="840"/>
      <c r="C32" s="840"/>
      <c r="D32" s="840"/>
      <c r="E32" s="840"/>
      <c r="F32" s="219">
        <v>0</v>
      </c>
      <c r="G32" s="219">
        <v>0</v>
      </c>
      <c r="H32" s="220">
        <v>20670</v>
      </c>
      <c r="I32" s="221" t="s">
        <v>159</v>
      </c>
      <c r="J32" s="221"/>
      <c r="K32" s="222"/>
    </row>
    <row r="33" spans="1:11" s="223" customFormat="1" ht="6" customHeight="1">
      <c r="A33" s="633"/>
      <c r="B33" s="632"/>
      <c r="C33" s="632"/>
      <c r="D33" s="632"/>
      <c r="E33" s="632"/>
      <c r="F33" s="250"/>
      <c r="G33" s="219"/>
      <c r="H33" s="220"/>
      <c r="I33" s="221" t="s">
        <v>159</v>
      </c>
      <c r="J33" s="221"/>
      <c r="K33" s="222"/>
    </row>
    <row r="34" spans="1:11" s="223" customFormat="1" ht="26.25" customHeight="1">
      <c r="A34" s="835" t="s">
        <v>234</v>
      </c>
      <c r="B34" s="836"/>
      <c r="C34" s="836"/>
      <c r="D34" s="836"/>
      <c r="E34" s="836"/>
      <c r="F34" s="250">
        <v>0</v>
      </c>
      <c r="G34" s="219">
        <v>0</v>
      </c>
      <c r="H34" s="220">
        <v>15509</v>
      </c>
      <c r="I34" s="221" t="s">
        <v>159</v>
      </c>
      <c r="J34" s="221"/>
      <c r="K34" s="222"/>
    </row>
    <row r="35" spans="1:11" s="223" customFormat="1" ht="6" customHeight="1">
      <c r="A35" s="633"/>
      <c r="B35" s="632"/>
      <c r="C35" s="632"/>
      <c r="D35" s="632"/>
      <c r="E35" s="632"/>
      <c r="F35" s="250"/>
      <c r="G35" s="219"/>
      <c r="H35" s="220"/>
      <c r="I35" s="221" t="s">
        <v>159</v>
      </c>
      <c r="J35" s="221"/>
      <c r="K35" s="222"/>
    </row>
    <row r="36" spans="1:11" s="223" customFormat="1" ht="27" customHeight="1">
      <c r="A36" s="835" t="s">
        <v>381</v>
      </c>
      <c r="B36" s="836"/>
      <c r="C36" s="836"/>
      <c r="D36" s="836"/>
      <c r="E36" s="836"/>
      <c r="F36" s="250">
        <v>0</v>
      </c>
      <c r="G36" s="219">
        <v>0</v>
      </c>
      <c r="H36" s="220">
        <v>38665</v>
      </c>
      <c r="I36" s="221" t="s">
        <v>159</v>
      </c>
      <c r="J36" s="221"/>
      <c r="K36" s="222"/>
    </row>
    <row r="37" spans="1:11" s="223" customFormat="1" ht="6" customHeight="1">
      <c r="A37" s="633"/>
      <c r="B37" s="632"/>
      <c r="C37" s="632"/>
      <c r="D37" s="632"/>
      <c r="E37" s="632"/>
      <c r="F37" s="250"/>
      <c r="G37" s="219"/>
      <c r="H37" s="220"/>
      <c r="I37" s="221" t="s">
        <v>159</v>
      </c>
      <c r="J37" s="221"/>
      <c r="K37" s="222"/>
    </row>
    <row r="38" spans="1:11" s="223" customFormat="1" ht="24.75" customHeight="1">
      <c r="A38" s="835" t="s">
        <v>382</v>
      </c>
      <c r="B38" s="840"/>
      <c r="C38" s="840"/>
      <c r="D38" s="840"/>
      <c r="E38" s="840"/>
      <c r="F38" s="219">
        <v>0</v>
      </c>
      <c r="G38" s="219">
        <v>0</v>
      </c>
      <c r="H38" s="263">
        <v>14891</v>
      </c>
      <c r="I38" s="221" t="s">
        <v>159</v>
      </c>
      <c r="J38" s="221"/>
      <c r="K38" s="222"/>
    </row>
    <row r="39" spans="1:11" s="223" customFormat="1" ht="7.5" customHeight="1">
      <c r="A39" s="634"/>
      <c r="B39" s="636"/>
      <c r="C39" s="636"/>
      <c r="D39" s="636"/>
      <c r="E39" s="636"/>
      <c r="F39" s="219"/>
      <c r="G39" s="219"/>
      <c r="H39" s="263"/>
      <c r="I39" s="221" t="s">
        <v>159</v>
      </c>
      <c r="J39" s="221"/>
      <c r="K39" s="222"/>
    </row>
    <row r="40" spans="1:11" s="223" customFormat="1" ht="31.5" customHeight="1">
      <c r="A40" s="835" t="s">
        <v>235</v>
      </c>
      <c r="B40" s="836"/>
      <c r="C40" s="836"/>
      <c r="D40" s="836"/>
      <c r="E40" s="836"/>
      <c r="F40" s="219">
        <v>120</v>
      </c>
      <c r="G40" s="219">
        <v>120</v>
      </c>
      <c r="H40" s="263">
        <v>13000</v>
      </c>
      <c r="I40" s="221" t="s">
        <v>159</v>
      </c>
      <c r="J40" s="221"/>
      <c r="K40" s="222"/>
    </row>
    <row r="41" spans="1:11" s="223" customFormat="1" ht="5.25" customHeight="1">
      <c r="A41" s="633"/>
      <c r="B41" s="632"/>
      <c r="C41" s="632"/>
      <c r="D41" s="632"/>
      <c r="E41" s="632"/>
      <c r="F41" s="219"/>
      <c r="G41" s="219"/>
      <c r="H41" s="263"/>
      <c r="I41" s="221" t="s">
        <v>159</v>
      </c>
      <c r="J41" s="221"/>
      <c r="K41" s="222"/>
    </row>
    <row r="42" spans="1:11" s="223" customFormat="1" ht="5.25" customHeight="1">
      <c r="A42" s="634"/>
      <c r="B42" s="635"/>
      <c r="C42" s="635"/>
      <c r="D42" s="635"/>
      <c r="E42" s="635"/>
      <c r="F42" s="219"/>
      <c r="G42" s="219"/>
      <c r="H42" s="263"/>
      <c r="I42" s="221" t="s">
        <v>159</v>
      </c>
      <c r="J42" s="221"/>
      <c r="K42" s="222"/>
    </row>
    <row r="43" spans="1:11" s="223" customFormat="1" ht="27" customHeight="1">
      <c r="A43" s="837" t="s">
        <v>442</v>
      </c>
      <c r="B43" s="837"/>
      <c r="C43" s="837"/>
      <c r="D43" s="837"/>
      <c r="E43" s="837"/>
      <c r="F43" s="219">
        <v>0</v>
      </c>
      <c r="G43" s="219">
        <v>210</v>
      </c>
      <c r="H43" s="263">
        <v>22002</v>
      </c>
      <c r="I43" s="221" t="s">
        <v>159</v>
      </c>
      <c r="J43" s="221"/>
      <c r="K43" s="222"/>
    </row>
    <row r="44" spans="1:11" s="223" customFormat="1" ht="5.25" customHeight="1">
      <c r="A44" s="631"/>
      <c r="B44" s="631"/>
      <c r="C44" s="631"/>
      <c r="D44" s="631"/>
      <c r="E44" s="631"/>
      <c r="F44" s="219"/>
      <c r="G44" s="219"/>
      <c r="H44" s="263"/>
      <c r="I44" s="221" t="s">
        <v>159</v>
      </c>
      <c r="J44" s="221"/>
      <c r="K44" s="222"/>
    </row>
    <row r="45" spans="1:11" s="223" customFormat="1" ht="28.5" customHeight="1">
      <c r="A45" s="837" t="s">
        <v>429</v>
      </c>
      <c r="B45" s="837"/>
      <c r="C45" s="837"/>
      <c r="D45" s="837"/>
      <c r="E45" s="837"/>
      <c r="F45" s="219">
        <v>0</v>
      </c>
      <c r="G45" s="219">
        <v>189</v>
      </c>
      <c r="H45" s="263">
        <v>31216</v>
      </c>
      <c r="I45" s="221" t="s">
        <v>159</v>
      </c>
      <c r="J45" s="221"/>
      <c r="K45" s="222"/>
    </row>
    <row r="46" spans="1:11" s="223" customFormat="1" ht="5.25" customHeight="1">
      <c r="A46" s="633"/>
      <c r="B46" s="632"/>
      <c r="C46" s="632"/>
      <c r="D46" s="632"/>
      <c r="E46" s="632"/>
      <c r="F46" s="219"/>
      <c r="G46" s="219"/>
      <c r="H46" s="263"/>
      <c r="I46" s="221" t="s">
        <v>159</v>
      </c>
      <c r="J46" s="221"/>
      <c r="K46" s="222"/>
    </row>
    <row r="47" spans="1:11" s="223" customFormat="1" ht="29.25" customHeight="1">
      <c r="A47" s="837" t="s">
        <v>430</v>
      </c>
      <c r="B47" s="837"/>
      <c r="C47" s="837"/>
      <c r="D47" s="837"/>
      <c r="E47" s="837"/>
      <c r="F47" s="219">
        <v>0</v>
      </c>
      <c r="G47" s="219">
        <v>94</v>
      </c>
      <c r="H47" s="263">
        <v>12775</v>
      </c>
      <c r="I47" s="221" t="s">
        <v>159</v>
      </c>
      <c r="J47" s="221"/>
      <c r="K47" s="222"/>
    </row>
    <row r="48" spans="1:11" s="121" customFormat="1" ht="3.75" customHeight="1">
      <c r="A48" s="216"/>
      <c r="B48" s="217"/>
      <c r="C48" s="217"/>
      <c r="D48" s="217"/>
      <c r="E48" s="217"/>
      <c r="F48" s="123"/>
      <c r="G48" s="123"/>
      <c r="H48" s="164"/>
      <c r="I48" s="221" t="s">
        <v>159</v>
      </c>
      <c r="J48" s="119"/>
      <c r="K48" s="120"/>
    </row>
    <row r="49" spans="1:11" s="121" customFormat="1" ht="12.75" customHeight="1">
      <c r="A49" s="215"/>
      <c r="B49" s="142"/>
      <c r="C49" s="142"/>
      <c r="D49" s="142"/>
      <c r="E49" s="141" t="s">
        <v>409</v>
      </c>
      <c r="F49" s="123">
        <f>SUM(F18:F47)</f>
        <v>120</v>
      </c>
      <c r="G49" s="123">
        <f>SUM(G14:G48)</f>
        <v>613</v>
      </c>
      <c r="H49" s="162">
        <f>SUM(H7:H48)</f>
        <v>258488</v>
      </c>
      <c r="I49" s="221" t="s">
        <v>159</v>
      </c>
      <c r="J49" s="119"/>
      <c r="K49" s="122"/>
    </row>
    <row r="50" spans="1:11" s="121" customFormat="1" ht="17.25" customHeight="1">
      <c r="A50" s="841" t="s">
        <v>408</v>
      </c>
      <c r="B50" s="841"/>
      <c r="C50" s="841"/>
      <c r="D50" s="841"/>
      <c r="E50" s="841"/>
      <c r="F50" s="841"/>
      <c r="G50" s="841"/>
      <c r="H50" s="841"/>
      <c r="I50" s="841"/>
      <c r="J50" s="119"/>
      <c r="K50" s="122"/>
    </row>
    <row r="51" spans="1:11" s="121" customFormat="1" ht="12.75" customHeight="1">
      <c r="A51" s="215"/>
      <c r="B51" s="142"/>
      <c r="C51" s="142"/>
      <c r="D51" s="142"/>
      <c r="E51" s="141"/>
      <c r="F51" s="123"/>
      <c r="G51" s="123"/>
      <c r="H51" s="162"/>
      <c r="I51" s="221"/>
      <c r="J51" s="119"/>
      <c r="K51" s="122"/>
    </row>
    <row r="52" spans="1:11" s="121" customFormat="1" ht="14.25" customHeight="1">
      <c r="A52" s="839" t="s">
        <v>428</v>
      </c>
      <c r="B52" s="839"/>
      <c r="C52" s="839"/>
      <c r="D52" s="839"/>
      <c r="E52" s="839"/>
      <c r="F52" s="219">
        <v>0</v>
      </c>
      <c r="G52" s="219">
        <v>0</v>
      </c>
      <c r="H52" s="220">
        <v>-7135</v>
      </c>
      <c r="I52" s="221" t="s">
        <v>159</v>
      </c>
      <c r="J52" s="119"/>
      <c r="K52" s="122"/>
    </row>
    <row r="53" spans="1:11" s="121" customFormat="1" ht="3.75" customHeight="1">
      <c r="A53" s="215"/>
      <c r="B53" s="142"/>
      <c r="C53" s="142"/>
      <c r="D53" s="142"/>
      <c r="E53" s="141"/>
      <c r="F53" s="123"/>
      <c r="G53" s="123"/>
      <c r="H53" s="162"/>
      <c r="I53" s="221"/>
      <c r="J53" s="119"/>
      <c r="K53" s="122"/>
    </row>
    <row r="54" spans="1:11" s="121" customFormat="1" ht="12.75" customHeight="1">
      <c r="A54" s="835" t="s">
        <v>407</v>
      </c>
      <c r="B54" s="836"/>
      <c r="C54" s="836"/>
      <c r="D54" s="836"/>
      <c r="E54" s="836"/>
      <c r="F54" s="219">
        <v>0</v>
      </c>
      <c r="G54" s="219">
        <v>0</v>
      </c>
      <c r="H54" s="263">
        <v>-5801</v>
      </c>
      <c r="I54" s="221"/>
      <c r="J54" s="119"/>
      <c r="K54" s="122"/>
    </row>
    <row r="55" spans="1:11" s="121" customFormat="1" ht="12.75" customHeight="1">
      <c r="A55" s="215"/>
      <c r="B55" s="142"/>
      <c r="C55" s="142"/>
      <c r="D55" s="142"/>
      <c r="E55" s="141"/>
      <c r="F55" s="123"/>
      <c r="G55" s="123"/>
      <c r="H55" s="162"/>
      <c r="I55" s="221"/>
      <c r="J55" s="119"/>
      <c r="K55" s="122"/>
    </row>
    <row r="56" spans="1:11" s="121" customFormat="1" ht="12.75" customHeight="1">
      <c r="A56" s="215"/>
      <c r="B56" s="142"/>
      <c r="C56" s="142"/>
      <c r="D56" s="142"/>
      <c r="E56" s="141" t="s">
        <v>179</v>
      </c>
      <c r="F56" s="123">
        <v>0</v>
      </c>
      <c r="G56" s="123">
        <v>0</v>
      </c>
      <c r="H56" s="162">
        <f>SUM(H52:H54)</f>
        <v>-12936</v>
      </c>
      <c r="I56" s="221"/>
      <c r="J56" s="119"/>
      <c r="K56" s="122"/>
    </row>
    <row r="57" spans="1:11" ht="6" customHeight="1">
      <c r="F57" s="181"/>
      <c r="G57" s="165"/>
      <c r="I57" s="221" t="s">
        <v>159</v>
      </c>
    </row>
    <row r="58" spans="1:11" ht="15.6">
      <c r="E58" s="2" t="s">
        <v>180</v>
      </c>
      <c r="F58" s="270">
        <f>+F49+F56</f>
        <v>120</v>
      </c>
      <c r="G58" s="270">
        <f>+G49+G56</f>
        <v>613</v>
      </c>
      <c r="H58" s="735">
        <f>+H49+H56</f>
        <v>245552</v>
      </c>
      <c r="I58" s="119" t="s">
        <v>161</v>
      </c>
    </row>
  </sheetData>
  <mergeCells count="28">
    <mergeCell ref="A30:E30"/>
    <mergeCell ref="A1:H1"/>
    <mergeCell ref="A2:H2"/>
    <mergeCell ref="A3:H3"/>
    <mergeCell ref="A5:E5"/>
    <mergeCell ref="A7:E7"/>
    <mergeCell ref="A14:E14"/>
    <mergeCell ref="A20:E20"/>
    <mergeCell ref="A9:E9"/>
    <mergeCell ref="A11:E11"/>
    <mergeCell ref="A13:E13"/>
    <mergeCell ref="A16:E16"/>
    <mergeCell ref="A54:E54"/>
    <mergeCell ref="A43:E43"/>
    <mergeCell ref="A18:E18"/>
    <mergeCell ref="A52:E52"/>
    <mergeCell ref="A22:E22"/>
    <mergeCell ref="A47:E47"/>
    <mergeCell ref="A45:E45"/>
    <mergeCell ref="A40:E40"/>
    <mergeCell ref="A32:E32"/>
    <mergeCell ref="A36:E36"/>
    <mergeCell ref="A38:E38"/>
    <mergeCell ref="A34:E34"/>
    <mergeCell ref="A26:E26"/>
    <mergeCell ref="A28:E28"/>
    <mergeCell ref="A24:E24"/>
    <mergeCell ref="A50:I50"/>
  </mergeCells>
  <phoneticPr fontId="1" type="noConversion"/>
  <printOptions horizontalCentered="1"/>
  <pageMargins left="0.2" right="0.2" top="1" bottom="0.28999999999999998" header="0.3" footer="0.3"/>
  <pageSetup scale="86" orientation="landscape" r:id="rId1"/>
  <headerFooter>
    <oddFooter>&amp;C&amp;"Times New Roman,Regular"&amp;11Exhibit E:  Justification for Base Adjustments</oddFooter>
  </headerFooter>
  <rowBreaks count="1" manualBreakCount="1">
    <brk id="31" max="8" man="1"/>
  </rowBreaks>
</worksheet>
</file>

<file path=xl/worksheets/sheet6.xml><?xml version="1.0" encoding="utf-8"?>
<worksheet xmlns="http://schemas.openxmlformats.org/spreadsheetml/2006/main" xmlns:r="http://schemas.openxmlformats.org/officeDocument/2006/relationships">
  <sheetPr>
    <pageSetUpPr fitToPage="1"/>
  </sheetPr>
  <dimension ref="A1:S29"/>
  <sheetViews>
    <sheetView view="pageBreakPreview" zoomScale="85" zoomScaleNormal="100" zoomScaleSheetLayoutView="85" workbookViewId="0">
      <selection activeCell="J1" sqref="J1"/>
    </sheetView>
  </sheetViews>
  <sheetFormatPr defaultColWidth="8.90625" defaultRowHeight="15.6"/>
  <cols>
    <col min="1" max="1" width="28" style="1" customWidth="1"/>
    <col min="2" max="3" width="8.08984375" style="1" customWidth="1"/>
    <col min="4" max="4" width="11.81640625" style="1" customWidth="1"/>
    <col min="5" max="6" width="5" style="1" customWidth="1"/>
    <col min="7" max="7" width="11.81640625" style="1" customWidth="1"/>
    <col min="8" max="8" width="18.81640625" style="1" hidden="1" customWidth="1"/>
    <col min="9" max="10" width="5" style="1" customWidth="1"/>
    <col min="11" max="11" width="11.81640625" style="1" customWidth="1"/>
    <col min="12" max="13" width="5" style="1" customWidth="1"/>
    <col min="14" max="14" width="11.81640625" style="1" customWidth="1"/>
    <col min="15" max="16" width="8.08984375" style="1" customWidth="1"/>
    <col min="17" max="17" width="11.81640625" style="1" customWidth="1"/>
    <col min="18" max="18" width="0.453125" style="1" customWidth="1"/>
    <col min="19" max="16384" width="8.90625" style="1"/>
  </cols>
  <sheetData>
    <row r="1" spans="1:19" ht="17.399999999999999">
      <c r="A1" s="509" t="s">
        <v>202</v>
      </c>
      <c r="P1" s="1" t="s">
        <v>113</v>
      </c>
      <c r="R1" s="127" t="s">
        <v>159</v>
      </c>
      <c r="S1" s="126"/>
    </row>
    <row r="2" spans="1:19">
      <c r="A2" s="2"/>
      <c r="R2" s="127"/>
      <c r="S2" s="126"/>
    </row>
    <row r="3" spans="1:19">
      <c r="A3" s="2"/>
      <c r="R3" s="127"/>
      <c r="S3" s="126"/>
    </row>
    <row r="4" spans="1:19">
      <c r="D4" s="820" t="s">
        <v>163</v>
      </c>
      <c r="E4" s="820"/>
      <c r="F4" s="820"/>
      <c r="G4" s="820"/>
      <c r="H4" s="820"/>
      <c r="R4" s="127" t="s">
        <v>159</v>
      </c>
      <c r="S4" s="126"/>
    </row>
    <row r="5" spans="1:19">
      <c r="D5" s="820" t="s">
        <v>30</v>
      </c>
      <c r="E5" s="820"/>
      <c r="F5" s="820"/>
      <c r="G5" s="820"/>
      <c r="H5" s="820"/>
      <c r="N5" s="6"/>
      <c r="R5" s="127" t="s">
        <v>159</v>
      </c>
      <c r="S5" s="126"/>
    </row>
    <row r="6" spans="1:19">
      <c r="D6" s="820" t="s">
        <v>31</v>
      </c>
      <c r="E6" s="820"/>
      <c r="F6" s="820"/>
      <c r="G6" s="820"/>
      <c r="H6" s="820"/>
      <c r="R6" s="127" t="s">
        <v>159</v>
      </c>
      <c r="S6" s="126"/>
    </row>
    <row r="7" spans="1:19">
      <c r="D7" s="820" t="s">
        <v>44</v>
      </c>
      <c r="E7" s="820"/>
      <c r="F7" s="820"/>
      <c r="G7" s="820"/>
      <c r="H7" s="820"/>
      <c r="R7" s="127" t="s">
        <v>159</v>
      </c>
      <c r="S7" s="126"/>
    </row>
    <row r="8" spans="1:19" ht="21" customHeight="1">
      <c r="A8" s="6" t="s">
        <v>113</v>
      </c>
      <c r="B8" s="6" t="s">
        <v>113</v>
      </c>
      <c r="C8" s="6"/>
      <c r="D8" s="6"/>
      <c r="E8" s="6"/>
      <c r="F8" s="6"/>
      <c r="G8" s="6" t="s">
        <v>113</v>
      </c>
      <c r="H8" s="6"/>
      <c r="I8" s="6"/>
      <c r="J8" s="6"/>
      <c r="K8" s="6"/>
      <c r="L8" s="6" t="s">
        <v>113</v>
      </c>
      <c r="M8" s="6"/>
      <c r="N8" s="6"/>
      <c r="O8" s="6"/>
      <c r="P8" s="6"/>
      <c r="Q8" s="6"/>
      <c r="R8" s="127" t="s">
        <v>159</v>
      </c>
      <c r="S8" s="126"/>
    </row>
    <row r="9" spans="1:19">
      <c r="A9" s="46"/>
      <c r="B9" s="854" t="s">
        <v>203</v>
      </c>
      <c r="C9" s="855"/>
      <c r="D9" s="856"/>
      <c r="E9" s="854" t="s">
        <v>113</v>
      </c>
      <c r="F9" s="855"/>
      <c r="G9" s="856"/>
      <c r="H9" s="156"/>
      <c r="I9" s="857" t="s">
        <v>185</v>
      </c>
      <c r="J9" s="858"/>
      <c r="K9" s="859"/>
      <c r="L9" s="854" t="s">
        <v>259</v>
      </c>
      <c r="M9" s="855"/>
      <c r="N9" s="856"/>
      <c r="O9" s="854" t="s">
        <v>113</v>
      </c>
      <c r="P9" s="855"/>
      <c r="Q9" s="856"/>
      <c r="R9" s="127" t="s">
        <v>159</v>
      </c>
      <c r="S9" s="126"/>
    </row>
    <row r="10" spans="1:19">
      <c r="A10" s="47"/>
      <c r="B10" s="851" t="s">
        <v>445</v>
      </c>
      <c r="C10" s="852"/>
      <c r="D10" s="853"/>
      <c r="E10" s="851" t="s">
        <v>444</v>
      </c>
      <c r="F10" s="852"/>
      <c r="G10" s="853"/>
      <c r="H10" s="50" t="s">
        <v>194</v>
      </c>
      <c r="I10" s="860"/>
      <c r="J10" s="861"/>
      <c r="K10" s="862"/>
      <c r="L10" s="851"/>
      <c r="M10" s="852"/>
      <c r="N10" s="853"/>
      <c r="O10" s="851" t="s">
        <v>176</v>
      </c>
      <c r="P10" s="852"/>
      <c r="Q10" s="853"/>
      <c r="R10" s="127" t="s">
        <v>159</v>
      </c>
      <c r="S10" s="126"/>
    </row>
    <row r="11" spans="1:19">
      <c r="A11" s="50" t="s">
        <v>121</v>
      </c>
      <c r="B11" s="51" t="s">
        <v>26</v>
      </c>
      <c r="C11" s="49" t="s">
        <v>20</v>
      </c>
      <c r="D11" s="52" t="s">
        <v>104</v>
      </c>
      <c r="E11" s="53" t="s">
        <v>26</v>
      </c>
      <c r="F11" s="54" t="s">
        <v>20</v>
      </c>
      <c r="G11" s="52" t="s">
        <v>21</v>
      </c>
      <c r="H11" s="55" t="s">
        <v>21</v>
      </c>
      <c r="I11" s="53" t="s">
        <v>26</v>
      </c>
      <c r="J11" s="54" t="s">
        <v>20</v>
      </c>
      <c r="K11" s="52" t="s">
        <v>21</v>
      </c>
      <c r="L11" s="53" t="s">
        <v>26</v>
      </c>
      <c r="M11" s="54" t="s">
        <v>20</v>
      </c>
      <c r="N11" s="52" t="s">
        <v>21</v>
      </c>
      <c r="O11" s="53" t="s">
        <v>26</v>
      </c>
      <c r="P11" s="54" t="s">
        <v>20</v>
      </c>
      <c r="Q11" s="70" t="s">
        <v>21</v>
      </c>
      <c r="R11" s="127" t="s">
        <v>159</v>
      </c>
      <c r="S11" s="126"/>
    </row>
    <row r="12" spans="1:19">
      <c r="A12" s="17" t="s">
        <v>252</v>
      </c>
      <c r="B12" s="464">
        <v>14705</v>
      </c>
      <c r="C12" s="404">
        <v>12697</v>
      </c>
      <c r="D12" s="465">
        <v>2294174</v>
      </c>
      <c r="E12" s="466">
        <v>0</v>
      </c>
      <c r="F12" s="467">
        <v>0</v>
      </c>
      <c r="G12" s="468">
        <v>0</v>
      </c>
      <c r="H12" s="469">
        <v>0</v>
      </c>
      <c r="I12" s="466">
        <v>0</v>
      </c>
      <c r="J12" s="467">
        <v>0</v>
      </c>
      <c r="K12" s="403">
        <v>0</v>
      </c>
      <c r="L12" s="466">
        <v>0</v>
      </c>
      <c r="M12" s="404">
        <v>0</v>
      </c>
      <c r="N12" s="470">
        <v>0</v>
      </c>
      <c r="O12" s="466">
        <f t="shared" ref="O12:P15" si="0">+B12</f>
        <v>14705</v>
      </c>
      <c r="P12" s="467">
        <f t="shared" si="0"/>
        <v>12697</v>
      </c>
      <c r="Q12" s="403">
        <f>+D12+G12+K12+H12+N12</f>
        <v>2294174</v>
      </c>
      <c r="R12" s="127" t="s">
        <v>159</v>
      </c>
      <c r="S12" s="126"/>
    </row>
    <row r="13" spans="1:19">
      <c r="A13" s="17" t="s">
        <v>253</v>
      </c>
      <c r="B13" s="464">
        <v>23868</v>
      </c>
      <c r="C13" s="404">
        <v>21705</v>
      </c>
      <c r="D13" s="465">
        <v>2783664</v>
      </c>
      <c r="E13" s="464">
        <v>0</v>
      </c>
      <c r="F13" s="404">
        <v>0</v>
      </c>
      <c r="G13" s="403">
        <v>0</v>
      </c>
      <c r="H13" s="471">
        <v>0</v>
      </c>
      <c r="I13" s="464">
        <v>0</v>
      </c>
      <c r="J13" s="404">
        <v>0</v>
      </c>
      <c r="K13" s="403">
        <v>0</v>
      </c>
      <c r="L13" s="464">
        <v>0</v>
      </c>
      <c r="M13" s="404">
        <v>0</v>
      </c>
      <c r="N13" s="403">
        <v>20000</v>
      </c>
      <c r="O13" s="464">
        <f t="shared" si="0"/>
        <v>23868</v>
      </c>
      <c r="P13" s="404">
        <f t="shared" si="0"/>
        <v>21705</v>
      </c>
      <c r="Q13" s="403">
        <f>+D13+K13+H13+N13+G13</f>
        <v>2803664</v>
      </c>
      <c r="R13" s="127" t="s">
        <v>159</v>
      </c>
      <c r="S13" s="126"/>
    </row>
    <row r="14" spans="1:19">
      <c r="A14" s="17" t="s">
        <v>254</v>
      </c>
      <c r="B14" s="464">
        <v>413</v>
      </c>
      <c r="C14" s="404">
        <v>413</v>
      </c>
      <c r="D14" s="465">
        <v>996772</v>
      </c>
      <c r="E14" s="464">
        <v>0</v>
      </c>
      <c r="F14" s="404">
        <v>0</v>
      </c>
      <c r="G14" s="403">
        <v>0</v>
      </c>
      <c r="H14" s="471">
        <v>0</v>
      </c>
      <c r="I14" s="464">
        <v>0</v>
      </c>
      <c r="J14" s="404">
        <v>0</v>
      </c>
      <c r="K14" s="403">
        <v>0</v>
      </c>
      <c r="L14" s="464">
        <v>0</v>
      </c>
      <c r="M14" s="404">
        <v>0</v>
      </c>
      <c r="N14" s="403">
        <v>20817</v>
      </c>
      <c r="O14" s="464">
        <f>+B14</f>
        <v>413</v>
      </c>
      <c r="P14" s="404">
        <f>+C14</f>
        <v>413</v>
      </c>
      <c r="Q14" s="403">
        <f>+D14+K14+H14+N14+G14</f>
        <v>1017589</v>
      </c>
      <c r="R14" s="127" t="s">
        <v>159</v>
      </c>
      <c r="S14" s="126"/>
    </row>
    <row r="15" spans="1:19">
      <c r="A15" s="17" t="s">
        <v>255</v>
      </c>
      <c r="B15" s="472">
        <v>1293</v>
      </c>
      <c r="C15" s="473">
        <v>1293</v>
      </c>
      <c r="D15" s="474">
        <v>207800</v>
      </c>
      <c r="E15" s="472">
        <v>0</v>
      </c>
      <c r="F15" s="473">
        <v>0</v>
      </c>
      <c r="G15" s="403">
        <v>0</v>
      </c>
      <c r="H15" s="471">
        <v>0</v>
      </c>
      <c r="I15" s="472">
        <v>0</v>
      </c>
      <c r="J15" s="473">
        <v>0</v>
      </c>
      <c r="K15" s="403">
        <v>0</v>
      </c>
      <c r="L15" s="472">
        <v>0</v>
      </c>
      <c r="M15" s="473">
        <v>0</v>
      </c>
      <c r="N15" s="403">
        <v>0</v>
      </c>
      <c r="O15" s="472">
        <f t="shared" si="0"/>
        <v>1293</v>
      </c>
      <c r="P15" s="473">
        <f t="shared" si="0"/>
        <v>1293</v>
      </c>
      <c r="Q15" s="403">
        <f>+D15+K15+H15+N15+G15</f>
        <v>207800</v>
      </c>
      <c r="R15" s="127" t="s">
        <v>159</v>
      </c>
      <c r="S15" s="126"/>
    </row>
    <row r="16" spans="1:19">
      <c r="A16" s="55" t="s">
        <v>32</v>
      </c>
      <c r="B16" s="475">
        <f t="shared" ref="B16:G16" si="1">SUM(B12:B15)</f>
        <v>40279</v>
      </c>
      <c r="C16" s="476">
        <f t="shared" si="1"/>
        <v>36108</v>
      </c>
      <c r="D16" s="476">
        <f t="shared" si="1"/>
        <v>6282410</v>
      </c>
      <c r="E16" s="477">
        <f t="shared" si="1"/>
        <v>0</v>
      </c>
      <c r="F16" s="478">
        <f t="shared" si="1"/>
        <v>0</v>
      </c>
      <c r="G16" s="479">
        <f t="shared" si="1"/>
        <v>0</v>
      </c>
      <c r="H16" s="480">
        <f>SUM(H12:H15)</f>
        <v>0</v>
      </c>
      <c r="I16" s="477">
        <v>0</v>
      </c>
      <c r="J16" s="478">
        <v>0</v>
      </c>
      <c r="K16" s="479">
        <f>SUM(K12:K15)</f>
        <v>0</v>
      </c>
      <c r="L16" s="477">
        <v>0</v>
      </c>
      <c r="M16" s="476">
        <v>0</v>
      </c>
      <c r="N16" s="479">
        <f>SUM(N12:N15)</f>
        <v>40817</v>
      </c>
      <c r="O16" s="477">
        <f>SUM(O12:O15)</f>
        <v>40279</v>
      </c>
      <c r="P16" s="478">
        <f>SUM(P12:P15)</f>
        <v>36108</v>
      </c>
      <c r="Q16" s="479">
        <f>SUM(Q12:Q15)</f>
        <v>6323227</v>
      </c>
      <c r="R16" s="127" t="s">
        <v>159</v>
      </c>
      <c r="S16" s="126"/>
    </row>
    <row r="17" spans="1:19">
      <c r="A17" s="17" t="s">
        <v>43</v>
      </c>
      <c r="B17" s="464"/>
      <c r="C17" s="404">
        <v>136</v>
      </c>
      <c r="D17" s="403"/>
      <c r="E17" s="464"/>
      <c r="F17" s="404" t="s">
        <v>113</v>
      </c>
      <c r="G17" s="403"/>
      <c r="H17" s="401"/>
      <c r="I17" s="464"/>
      <c r="J17" s="404"/>
      <c r="K17" s="403"/>
      <c r="L17" s="464"/>
      <c r="M17" s="404"/>
      <c r="N17" s="403"/>
      <c r="O17" s="464"/>
      <c r="P17" s="404">
        <v>136</v>
      </c>
      <c r="Q17" s="403"/>
      <c r="R17" s="127" t="s">
        <v>159</v>
      </c>
      <c r="S17" s="126"/>
    </row>
    <row r="18" spans="1:19">
      <c r="A18" s="65" t="s">
        <v>45</v>
      </c>
      <c r="B18" s="481" t="s">
        <v>113</v>
      </c>
      <c r="C18" s="482">
        <f>SUM(C16:C17)</f>
        <v>36244</v>
      </c>
      <c r="D18" s="483" t="s">
        <v>113</v>
      </c>
      <c r="E18" s="481"/>
      <c r="F18" s="482" t="s">
        <v>113</v>
      </c>
      <c r="G18" s="483" t="s">
        <v>113</v>
      </c>
      <c r="H18" s="484" t="s">
        <v>113</v>
      </c>
      <c r="I18" s="481" t="s">
        <v>113</v>
      </c>
      <c r="J18" s="482" t="s">
        <v>113</v>
      </c>
      <c r="K18" s="483" t="s">
        <v>113</v>
      </c>
      <c r="L18" s="481" t="s">
        <v>113</v>
      </c>
      <c r="M18" s="482" t="s">
        <v>113</v>
      </c>
      <c r="N18" s="483" t="s">
        <v>113</v>
      </c>
      <c r="O18" s="481" t="s">
        <v>113</v>
      </c>
      <c r="P18" s="482">
        <f>SUM(P16:P17)</f>
        <v>36244</v>
      </c>
      <c r="Q18" s="483" t="s">
        <v>113</v>
      </c>
      <c r="R18" s="127" t="s">
        <v>159</v>
      </c>
      <c r="S18" s="126"/>
    </row>
    <row r="19" spans="1:19">
      <c r="A19" s="1" t="s">
        <v>113</v>
      </c>
      <c r="B19" s="6"/>
      <c r="C19" s="6"/>
      <c r="D19" s="6"/>
      <c r="E19" s="6"/>
      <c r="F19" s="6"/>
      <c r="G19" s="6"/>
      <c r="H19" s="6"/>
      <c r="I19" s="6"/>
      <c r="J19" s="6"/>
      <c r="K19" s="6"/>
      <c r="L19" s="6"/>
      <c r="M19" s="6"/>
      <c r="N19" s="6"/>
      <c r="O19" s="6"/>
      <c r="P19" s="6"/>
      <c r="Q19" s="6"/>
      <c r="R19" s="127" t="s">
        <v>159</v>
      </c>
      <c r="S19" s="126"/>
    </row>
    <row r="20" spans="1:19">
      <c r="A20" s="1" t="s">
        <v>450</v>
      </c>
      <c r="R20" s="127" t="s">
        <v>161</v>
      </c>
    </row>
    <row r="21" spans="1:19">
      <c r="A21" s="1" t="s">
        <v>438</v>
      </c>
    </row>
    <row r="22" spans="1:19">
      <c r="A22" s="1" t="s">
        <v>113</v>
      </c>
    </row>
    <row r="23" spans="1:19">
      <c r="A23" s="1" t="s">
        <v>113</v>
      </c>
    </row>
    <row r="24" spans="1:19">
      <c r="A24" s="1" t="s">
        <v>113</v>
      </c>
    </row>
    <row r="26" spans="1:19">
      <c r="A26" s="1" t="s">
        <v>113</v>
      </c>
    </row>
    <row r="29" spans="1:19">
      <c r="H29" s="6"/>
    </row>
  </sheetData>
  <mergeCells count="12">
    <mergeCell ref="D4:H4"/>
    <mergeCell ref="D5:H5"/>
    <mergeCell ref="D6:H6"/>
    <mergeCell ref="D7:H7"/>
    <mergeCell ref="I9:K10"/>
    <mergeCell ref="O10:Q10"/>
    <mergeCell ref="B10:D10"/>
    <mergeCell ref="B9:D9"/>
    <mergeCell ref="E10:G10"/>
    <mergeCell ref="E9:G9"/>
    <mergeCell ref="O9:Q9"/>
    <mergeCell ref="L9:N10"/>
  </mergeCells>
  <phoneticPr fontId="0" type="noConversion"/>
  <printOptions horizontalCentered="1"/>
  <pageMargins left="0.28000000000000003" right="0.28000000000000003" top="1" bottom="1" header="0.5" footer="0.5"/>
  <pageSetup scale="74" orientation="landscape" r:id="rId1"/>
  <headerFooter scaleWithDoc="0" alignWithMargins="0">
    <oddFooter>&amp;C&amp;"Times New Roman,Regular"&amp;11Exhibit F:  Crosswalk of 2011 Availability</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R22"/>
  <sheetViews>
    <sheetView view="pageBreakPreview" zoomScale="60" zoomScaleNormal="100" workbookViewId="0">
      <selection activeCell="J1" sqref="J1"/>
    </sheetView>
  </sheetViews>
  <sheetFormatPr defaultColWidth="8.90625" defaultRowHeight="15.6"/>
  <cols>
    <col min="1" max="1" width="26" style="1" customWidth="1"/>
    <col min="2" max="2" width="9.54296875" style="1" customWidth="1"/>
    <col min="3" max="3" width="10.54296875" style="1" customWidth="1"/>
    <col min="4" max="4" width="12.1796875" style="1" customWidth="1"/>
    <col min="5" max="5" width="4.6328125" style="1" customWidth="1"/>
    <col min="6" max="6" width="4.81640625" style="1" customWidth="1"/>
    <col min="7" max="7" width="7.453125" style="1" customWidth="1"/>
    <col min="8" max="8" width="5" style="1" customWidth="1"/>
    <col min="9" max="9" width="5.36328125" style="1" customWidth="1"/>
    <col min="10" max="10" width="11.453125" style="1" customWidth="1"/>
    <col min="11" max="12" width="9.81640625" style="1" customWidth="1"/>
    <col min="13" max="13" width="12.08984375" style="1" customWidth="1"/>
    <col min="14" max="14" width="11.1796875" style="1" customWidth="1"/>
    <col min="15" max="15" width="15" style="1" customWidth="1"/>
    <col min="16" max="16" width="1" style="1" customWidth="1"/>
    <col min="17" max="16384" width="8.90625" style="1"/>
  </cols>
  <sheetData>
    <row r="1" spans="1:18" ht="20.399999999999999">
      <c r="A1" s="742" t="s">
        <v>355</v>
      </c>
      <c r="N1" s="1" t="s">
        <v>113</v>
      </c>
      <c r="P1" s="127" t="s">
        <v>159</v>
      </c>
      <c r="Q1" s="126"/>
    </row>
    <row r="2" spans="1:18">
      <c r="D2" s="820" t="s">
        <v>356</v>
      </c>
      <c r="E2" s="820"/>
      <c r="F2" s="820"/>
      <c r="G2" s="820"/>
      <c r="P2" s="127" t="s">
        <v>159</v>
      </c>
      <c r="Q2" s="126"/>
    </row>
    <row r="3" spans="1:18">
      <c r="D3" s="820" t="s">
        <v>30</v>
      </c>
      <c r="E3" s="820"/>
      <c r="F3" s="820"/>
      <c r="G3" s="820"/>
      <c r="P3" s="127" t="s">
        <v>159</v>
      </c>
      <c r="Q3" s="126"/>
    </row>
    <row r="4" spans="1:18">
      <c r="D4" s="820" t="s">
        <v>31</v>
      </c>
      <c r="E4" s="820"/>
      <c r="F4" s="820"/>
      <c r="G4" s="820"/>
      <c r="P4" s="127" t="s">
        <v>159</v>
      </c>
      <c r="Q4" s="126"/>
    </row>
    <row r="5" spans="1:18">
      <c r="D5" s="820" t="s">
        <v>44</v>
      </c>
      <c r="E5" s="820"/>
      <c r="F5" s="820"/>
      <c r="G5" s="820"/>
      <c r="P5" s="127" t="s">
        <v>159</v>
      </c>
      <c r="Q5" s="126"/>
    </row>
    <row r="6" spans="1:18">
      <c r="P6" s="127" t="s">
        <v>159</v>
      </c>
      <c r="Q6" s="126"/>
    </row>
    <row r="7" spans="1:18" ht="34.5" customHeight="1">
      <c r="A7" s="46" t="s">
        <v>113</v>
      </c>
      <c r="B7" s="863" t="s">
        <v>389</v>
      </c>
      <c r="C7" s="864"/>
      <c r="D7" s="865"/>
      <c r="E7" s="854" t="s">
        <v>349</v>
      </c>
      <c r="F7" s="855"/>
      <c r="G7" s="856"/>
      <c r="H7" s="854" t="s">
        <v>390</v>
      </c>
      <c r="I7" s="855"/>
      <c r="J7" s="856"/>
      <c r="K7" s="278" t="s">
        <v>392</v>
      </c>
      <c r="L7" s="278" t="s">
        <v>350</v>
      </c>
      <c r="M7" s="854" t="s">
        <v>391</v>
      </c>
      <c r="N7" s="855"/>
      <c r="O7" s="856"/>
      <c r="P7" s="127" t="s">
        <v>159</v>
      </c>
      <c r="Q7" s="126"/>
    </row>
    <row r="8" spans="1:18">
      <c r="A8" s="55" t="s">
        <v>351</v>
      </c>
      <c r="B8" s="637" t="s">
        <v>26</v>
      </c>
      <c r="C8" s="638" t="s">
        <v>20</v>
      </c>
      <c r="D8" s="639" t="s">
        <v>104</v>
      </c>
      <c r="E8" s="637" t="s">
        <v>26</v>
      </c>
      <c r="F8" s="638" t="s">
        <v>20</v>
      </c>
      <c r="G8" s="639" t="s">
        <v>21</v>
      </c>
      <c r="H8" s="637" t="s">
        <v>26</v>
      </c>
      <c r="I8" s="638" t="s">
        <v>20</v>
      </c>
      <c r="J8" s="639" t="s">
        <v>21</v>
      </c>
      <c r="K8" s="55" t="s">
        <v>21</v>
      </c>
      <c r="L8" s="55" t="s">
        <v>21</v>
      </c>
      <c r="M8" s="637" t="s">
        <v>26</v>
      </c>
      <c r="N8" s="638" t="s">
        <v>20</v>
      </c>
      <c r="O8" s="639" t="s">
        <v>21</v>
      </c>
      <c r="P8" s="127" t="s">
        <v>159</v>
      </c>
      <c r="Q8" s="126"/>
      <c r="R8" s="268" t="s">
        <v>113</v>
      </c>
    </row>
    <row r="9" spans="1:18">
      <c r="A9" s="17" t="s">
        <v>352</v>
      </c>
      <c r="B9" s="40">
        <v>15003</v>
      </c>
      <c r="C9" s="40">
        <v>13021</v>
      </c>
      <c r="D9" s="605">
        <v>2421272</v>
      </c>
      <c r="E9" s="24">
        <v>0</v>
      </c>
      <c r="F9" s="24">
        <v>0</v>
      </c>
      <c r="G9" s="22">
        <v>0</v>
      </c>
      <c r="H9" s="24">
        <v>0</v>
      </c>
      <c r="I9" s="24">
        <v>0</v>
      </c>
      <c r="J9" s="22">
        <v>0</v>
      </c>
      <c r="K9" s="696">
        <v>0</v>
      </c>
      <c r="L9" s="22">
        <v>0</v>
      </c>
      <c r="M9" s="23">
        <f>+B9</f>
        <v>15003</v>
      </c>
      <c r="N9" s="23">
        <f>+C9</f>
        <v>13021</v>
      </c>
      <c r="O9" s="605">
        <f>+D9</f>
        <v>2421272</v>
      </c>
      <c r="P9" s="127" t="s">
        <v>159</v>
      </c>
      <c r="Q9" s="126"/>
    </row>
    <row r="10" spans="1:18">
      <c r="A10" s="17" t="s">
        <v>353</v>
      </c>
      <c r="B10" s="40">
        <v>24326</v>
      </c>
      <c r="C10" s="40">
        <v>22220</v>
      </c>
      <c r="D10" s="41">
        <v>2880290</v>
      </c>
      <c r="E10" s="24">
        <v>0</v>
      </c>
      <c r="F10" s="24">
        <v>0</v>
      </c>
      <c r="G10" s="22">
        <v>0</v>
      </c>
      <c r="H10" s="24">
        <v>0</v>
      </c>
      <c r="I10" s="24">
        <v>0</v>
      </c>
      <c r="J10" s="22">
        <v>0</v>
      </c>
      <c r="K10" s="56">
        <v>0</v>
      </c>
      <c r="L10" s="22">
        <v>0</v>
      </c>
      <c r="M10" s="23">
        <f t="shared" ref="M10:N12" si="0">+B10</f>
        <v>24326</v>
      </c>
      <c r="N10" s="23">
        <f t="shared" si="0"/>
        <v>22220</v>
      </c>
      <c r="O10" s="606">
        <f>+D10+J10</f>
        <v>2880290</v>
      </c>
      <c r="P10" s="127" t="s">
        <v>159</v>
      </c>
      <c r="Q10" s="126"/>
    </row>
    <row r="11" spans="1:18">
      <c r="A11" s="17" t="s">
        <v>42</v>
      </c>
      <c r="B11" s="268">
        <v>413</v>
      </c>
      <c r="C11" s="268">
        <v>413</v>
      </c>
      <c r="D11" s="41">
        <v>1040213</v>
      </c>
      <c r="E11" s="24">
        <v>0</v>
      </c>
      <c r="F11" s="24">
        <v>0</v>
      </c>
      <c r="G11" s="22">
        <v>0</v>
      </c>
      <c r="H11" s="24">
        <v>0</v>
      </c>
      <c r="I11" s="24">
        <v>0</v>
      </c>
      <c r="J11" s="22">
        <v>0</v>
      </c>
      <c r="K11" s="56">
        <v>0</v>
      </c>
      <c r="L11" s="22">
        <v>0</v>
      </c>
      <c r="M11" s="23">
        <f t="shared" si="0"/>
        <v>413</v>
      </c>
      <c r="N11" s="23">
        <f t="shared" si="0"/>
        <v>413</v>
      </c>
      <c r="O11" s="606">
        <f>+D11+L11</f>
        <v>1040213</v>
      </c>
      <c r="P11" s="127" t="s">
        <v>159</v>
      </c>
      <c r="Q11" s="126"/>
    </row>
    <row r="12" spans="1:18">
      <c r="A12" s="63" t="s">
        <v>354</v>
      </c>
      <c r="B12" s="39">
        <v>1293</v>
      </c>
      <c r="C12" s="39">
        <v>1293</v>
      </c>
      <c r="D12" s="42">
        <v>209506</v>
      </c>
      <c r="E12" s="607">
        <v>0</v>
      </c>
      <c r="F12" s="607">
        <v>0</v>
      </c>
      <c r="G12" s="608">
        <v>0</v>
      </c>
      <c r="H12" s="607">
        <v>0</v>
      </c>
      <c r="I12" s="607">
        <v>0</v>
      </c>
      <c r="J12" s="608">
        <v>0</v>
      </c>
      <c r="K12" s="206">
        <v>0</v>
      </c>
      <c r="L12" s="608">
        <v>0</v>
      </c>
      <c r="M12" s="609">
        <f t="shared" si="0"/>
        <v>1293</v>
      </c>
      <c r="N12" s="609">
        <f t="shared" si="0"/>
        <v>1293</v>
      </c>
      <c r="O12" s="610">
        <f>+D12</f>
        <v>209506</v>
      </c>
      <c r="P12" s="127" t="s">
        <v>159</v>
      </c>
      <c r="Q12" s="126"/>
    </row>
    <row r="13" spans="1:18">
      <c r="A13" s="50" t="s">
        <v>32</v>
      </c>
      <c r="B13" s="611">
        <f t="shared" ref="B13:O13" si="1">SUM(B9:B12)</f>
        <v>41035</v>
      </c>
      <c r="C13" s="611">
        <f t="shared" si="1"/>
        <v>36947</v>
      </c>
      <c r="D13" s="612">
        <f t="shared" si="1"/>
        <v>6551281</v>
      </c>
      <c r="E13" s="613">
        <f t="shared" si="1"/>
        <v>0</v>
      </c>
      <c r="F13" s="613">
        <f t="shared" si="1"/>
        <v>0</v>
      </c>
      <c r="G13" s="614">
        <f t="shared" si="1"/>
        <v>0</v>
      </c>
      <c r="H13" s="613">
        <f t="shared" si="1"/>
        <v>0</v>
      </c>
      <c r="I13" s="613">
        <f t="shared" si="1"/>
        <v>0</v>
      </c>
      <c r="J13" s="614">
        <f t="shared" si="1"/>
        <v>0</v>
      </c>
      <c r="K13" s="697">
        <f t="shared" si="1"/>
        <v>0</v>
      </c>
      <c r="L13" s="615">
        <f t="shared" si="1"/>
        <v>0</v>
      </c>
      <c r="M13" s="616">
        <f t="shared" si="1"/>
        <v>41035</v>
      </c>
      <c r="N13" s="616">
        <f t="shared" si="1"/>
        <v>36947</v>
      </c>
      <c r="O13" s="617">
        <f t="shared" si="1"/>
        <v>6551281</v>
      </c>
      <c r="P13" s="127" t="s">
        <v>159</v>
      </c>
      <c r="Q13" s="126"/>
    </row>
    <row r="14" spans="1:18">
      <c r="A14" s="17"/>
      <c r="B14" s="268"/>
      <c r="C14" s="268"/>
      <c r="D14" s="618"/>
      <c r="E14" s="23"/>
      <c r="F14" s="23"/>
      <c r="G14" s="62"/>
      <c r="H14" s="23"/>
      <c r="I14" s="23"/>
      <c r="J14" s="62"/>
      <c r="K14" s="698"/>
      <c r="L14" s="62"/>
      <c r="M14" s="23"/>
      <c r="N14" s="23"/>
      <c r="O14" s="62"/>
      <c r="P14" s="127" t="s">
        <v>159</v>
      </c>
      <c r="Q14" s="126"/>
    </row>
    <row r="15" spans="1:18">
      <c r="A15" s="17" t="s">
        <v>8</v>
      </c>
      <c r="B15" s="268"/>
      <c r="C15" s="268">
        <v>136</v>
      </c>
      <c r="D15" s="618"/>
      <c r="E15" s="268"/>
      <c r="F15" s="268" t="s">
        <v>113</v>
      </c>
      <c r="G15" s="618"/>
      <c r="H15" s="268"/>
      <c r="I15" s="268"/>
      <c r="J15" s="618"/>
      <c r="K15" s="17"/>
      <c r="L15" s="618"/>
      <c r="M15" s="268"/>
      <c r="N15" s="268">
        <v>136</v>
      </c>
      <c r="O15" s="618"/>
      <c r="P15" s="127" t="s">
        <v>159</v>
      </c>
      <c r="Q15" s="126"/>
    </row>
    <row r="16" spans="1:18">
      <c r="A16" s="63"/>
      <c r="B16" s="604"/>
      <c r="C16" s="604"/>
      <c r="D16" s="619"/>
      <c r="E16" s="604"/>
      <c r="F16" s="604"/>
      <c r="G16" s="619"/>
      <c r="H16" s="604"/>
      <c r="I16" s="604"/>
      <c r="J16" s="619"/>
      <c r="K16" s="63"/>
      <c r="L16" s="619"/>
      <c r="M16" s="604"/>
      <c r="N16" s="604"/>
      <c r="O16" s="619"/>
      <c r="P16" s="127" t="s">
        <v>159</v>
      </c>
      <c r="Q16" s="126"/>
    </row>
    <row r="17" spans="1:17">
      <c r="A17" s="63" t="s">
        <v>45</v>
      </c>
      <c r="B17" s="604" t="s">
        <v>113</v>
      </c>
      <c r="C17" s="39">
        <f>SUM(C13:C16)</f>
        <v>37083</v>
      </c>
      <c r="D17" s="619" t="s">
        <v>113</v>
      </c>
      <c r="E17" s="604"/>
      <c r="F17" s="604" t="s">
        <v>113</v>
      </c>
      <c r="G17" s="619" t="s">
        <v>113</v>
      </c>
      <c r="H17" s="604" t="s">
        <v>113</v>
      </c>
      <c r="I17" s="604" t="s">
        <v>113</v>
      </c>
      <c r="J17" s="619" t="s">
        <v>113</v>
      </c>
      <c r="K17" s="63" t="s">
        <v>113</v>
      </c>
      <c r="L17" s="619" t="s">
        <v>113</v>
      </c>
      <c r="M17" s="604" t="s">
        <v>113</v>
      </c>
      <c r="N17" s="39">
        <f>SUM(N13:N16)</f>
        <v>37083</v>
      </c>
      <c r="O17" s="619" t="s">
        <v>113</v>
      </c>
      <c r="P17" s="127" t="s">
        <v>161</v>
      </c>
      <c r="Q17" s="126"/>
    </row>
    <row r="18" spans="1:17">
      <c r="Q18" s="126"/>
    </row>
    <row r="22" spans="1:17">
      <c r="A22" s="1" t="s">
        <v>113</v>
      </c>
    </row>
  </sheetData>
  <mergeCells count="8">
    <mergeCell ref="B7:D7"/>
    <mergeCell ref="E7:G7"/>
    <mergeCell ref="M7:O7"/>
    <mergeCell ref="H7:J7"/>
    <mergeCell ref="D2:G2"/>
    <mergeCell ref="D3:G3"/>
    <mergeCell ref="D4:G4"/>
    <mergeCell ref="D5:G5"/>
  </mergeCells>
  <printOptions horizontalCentered="1"/>
  <pageMargins left="0.5" right="0.5" top="1" bottom="0.75" header="0.3" footer="0.3"/>
  <pageSetup scale="68" orientation="landscape" r:id="rId1"/>
  <headerFooter>
    <oddFooter>&amp;C&amp;"Times New Roman,Regular"&amp;14Exhibit G: Crosswalk of 2012 Availability</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Q22"/>
  <sheetViews>
    <sheetView view="pageBreakPreview" zoomScale="85" zoomScaleNormal="100" zoomScaleSheetLayoutView="85" workbookViewId="0">
      <selection activeCell="J1" sqref="J1"/>
    </sheetView>
  </sheetViews>
  <sheetFormatPr defaultColWidth="8.90625" defaultRowHeight="15.6"/>
  <cols>
    <col min="1" max="1" width="11.81640625" style="1" customWidth="1"/>
    <col min="2" max="2" width="8.90625" style="1"/>
    <col min="3" max="3" width="4" style="1" customWidth="1"/>
    <col min="4" max="4" width="5.08984375" style="1" customWidth="1"/>
    <col min="5" max="5" width="5.54296875" style="1" customWidth="1"/>
    <col min="6" max="6" width="8.36328125" style="1" customWidth="1"/>
    <col min="7" max="7" width="5.08984375" style="1" customWidth="1"/>
    <col min="8" max="8" width="5.6328125" style="1" customWidth="1"/>
    <col min="9" max="9" width="8.453125" style="1" customWidth="1"/>
    <col min="10" max="10" width="5" style="1" customWidth="1"/>
    <col min="11" max="11" width="5.36328125" style="1" customWidth="1"/>
    <col min="12" max="12" width="8" style="1" customWidth="1"/>
    <col min="13" max="13" width="4.81640625" style="1" customWidth="1"/>
    <col min="14" max="14" width="5" style="1" customWidth="1"/>
    <col min="15" max="15" width="8.6328125" style="1" customWidth="1"/>
    <col min="16" max="16" width="0.90625" style="1" customWidth="1"/>
    <col min="17" max="17" width="3.1796875" style="1" customWidth="1"/>
    <col min="18" max="16384" width="8.90625" style="1"/>
  </cols>
  <sheetData>
    <row r="1" spans="1:17">
      <c r="A1" s="869" t="s">
        <v>357</v>
      </c>
      <c r="B1" s="869"/>
      <c r="C1" s="869"/>
      <c r="D1" s="869"/>
      <c r="E1" s="869"/>
      <c r="F1" s="869"/>
      <c r="G1" s="869"/>
      <c r="H1" s="869"/>
      <c r="I1" s="869"/>
      <c r="J1" s="869"/>
      <c r="K1" s="869"/>
      <c r="L1" s="869"/>
      <c r="M1" s="869"/>
      <c r="N1" s="869"/>
      <c r="O1" s="869"/>
      <c r="P1" s="127" t="s">
        <v>159</v>
      </c>
      <c r="Q1" s="126"/>
    </row>
    <row r="2" spans="1:17">
      <c r="A2" s="820" t="s">
        <v>358</v>
      </c>
      <c r="B2" s="820"/>
      <c r="C2" s="820"/>
      <c r="D2" s="820"/>
      <c r="E2" s="820"/>
      <c r="F2" s="820"/>
      <c r="G2" s="820"/>
      <c r="H2" s="820"/>
      <c r="I2" s="820"/>
      <c r="J2" s="820"/>
      <c r="K2" s="820"/>
      <c r="L2" s="820"/>
      <c r="M2" s="820"/>
      <c r="N2" s="820"/>
      <c r="O2" s="820"/>
      <c r="P2" s="127" t="s">
        <v>159</v>
      </c>
      <c r="Q2" s="126"/>
    </row>
    <row r="3" spans="1:17">
      <c r="A3" s="820" t="s">
        <v>30</v>
      </c>
      <c r="B3" s="820"/>
      <c r="C3" s="820"/>
      <c r="D3" s="820"/>
      <c r="E3" s="820"/>
      <c r="F3" s="820"/>
      <c r="G3" s="820"/>
      <c r="H3" s="820"/>
      <c r="I3" s="820"/>
      <c r="J3" s="820"/>
      <c r="K3" s="820"/>
      <c r="L3" s="820"/>
      <c r="M3" s="820"/>
      <c r="N3" s="820"/>
      <c r="O3" s="820"/>
      <c r="P3" s="127" t="s">
        <v>159</v>
      </c>
      <c r="Q3" s="126"/>
    </row>
    <row r="4" spans="1:17">
      <c r="A4" s="820" t="s">
        <v>31</v>
      </c>
      <c r="B4" s="820"/>
      <c r="C4" s="820"/>
      <c r="D4" s="820"/>
      <c r="E4" s="820"/>
      <c r="F4" s="820"/>
      <c r="G4" s="820"/>
      <c r="H4" s="820"/>
      <c r="I4" s="820"/>
      <c r="J4" s="820"/>
      <c r="K4" s="820"/>
      <c r="L4" s="820"/>
      <c r="M4" s="820"/>
      <c r="N4" s="820"/>
      <c r="O4" s="820"/>
      <c r="P4" s="127" t="s">
        <v>159</v>
      </c>
      <c r="Q4" s="126"/>
    </row>
    <row r="5" spans="1:17">
      <c r="A5" s="820" t="s">
        <v>44</v>
      </c>
      <c r="B5" s="820"/>
      <c r="C5" s="820"/>
      <c r="D5" s="820"/>
      <c r="E5" s="820"/>
      <c r="F5" s="820"/>
      <c r="G5" s="820"/>
      <c r="H5" s="820"/>
      <c r="I5" s="820"/>
      <c r="J5" s="820"/>
      <c r="K5" s="820"/>
      <c r="L5" s="820"/>
      <c r="M5" s="820"/>
      <c r="N5" s="820"/>
      <c r="O5" s="820"/>
      <c r="P5" s="127" t="s">
        <v>159</v>
      </c>
      <c r="Q5" s="126"/>
    </row>
    <row r="6" spans="1:17">
      <c r="A6" s="268" t="s">
        <v>113</v>
      </c>
      <c r="B6" s="268"/>
      <c r="C6" s="268"/>
      <c r="D6" s="268"/>
      <c r="E6" s="268"/>
      <c r="F6" s="268"/>
      <c r="G6" s="268"/>
      <c r="H6" s="268"/>
      <c r="I6" s="268"/>
      <c r="J6" s="268"/>
      <c r="K6" s="268"/>
      <c r="L6" s="268"/>
      <c r="M6" s="268"/>
      <c r="N6" s="268"/>
      <c r="O6" s="268"/>
      <c r="P6" s="127" t="s">
        <v>159</v>
      </c>
      <c r="Q6" s="126"/>
    </row>
    <row r="7" spans="1:17">
      <c r="A7" s="854"/>
      <c r="B7" s="855"/>
      <c r="C7" s="856"/>
      <c r="D7" s="866" t="s">
        <v>222</v>
      </c>
      <c r="E7" s="867"/>
      <c r="F7" s="868"/>
      <c r="G7" s="866" t="s">
        <v>393</v>
      </c>
      <c r="H7" s="867"/>
      <c r="I7" s="868"/>
      <c r="J7" s="866" t="s">
        <v>196</v>
      </c>
      <c r="K7" s="867"/>
      <c r="L7" s="868"/>
      <c r="M7" s="866" t="s">
        <v>359</v>
      </c>
      <c r="N7" s="867"/>
      <c r="O7" s="868"/>
      <c r="P7" s="127" t="s">
        <v>159</v>
      </c>
      <c r="Q7" s="126"/>
    </row>
    <row r="8" spans="1:17">
      <c r="A8" s="873" t="s">
        <v>360</v>
      </c>
      <c r="B8" s="874"/>
      <c r="C8" s="875"/>
      <c r="D8" s="53" t="s">
        <v>26</v>
      </c>
      <c r="E8" s="54" t="s">
        <v>16</v>
      </c>
      <c r="F8" s="70" t="s">
        <v>21</v>
      </c>
      <c r="G8" s="53" t="s">
        <v>26</v>
      </c>
      <c r="H8" s="54" t="s">
        <v>20</v>
      </c>
      <c r="I8" s="70" t="s">
        <v>21</v>
      </c>
      <c r="J8" s="620" t="s">
        <v>26</v>
      </c>
      <c r="K8" s="621" t="s">
        <v>20</v>
      </c>
      <c r="L8" s="622" t="s">
        <v>21</v>
      </c>
      <c r="M8" s="53" t="s">
        <v>26</v>
      </c>
      <c r="N8" s="54" t="s">
        <v>20</v>
      </c>
      <c r="O8" s="70" t="s">
        <v>21</v>
      </c>
      <c r="P8" s="127" t="s">
        <v>159</v>
      </c>
      <c r="Q8" s="126"/>
    </row>
    <row r="9" spans="1:17">
      <c r="A9" s="876" t="s">
        <v>361</v>
      </c>
      <c r="B9" s="877"/>
      <c r="C9" s="878"/>
      <c r="D9" s="59">
        <v>136</v>
      </c>
      <c r="E9" s="60">
        <v>136</v>
      </c>
      <c r="F9" s="736">
        <v>15769</v>
      </c>
      <c r="G9" s="59">
        <v>136</v>
      </c>
      <c r="H9" s="60">
        <v>136</v>
      </c>
      <c r="I9" s="700">
        <v>16242</v>
      </c>
      <c r="J9" s="59">
        <v>136</v>
      </c>
      <c r="K9" s="60">
        <v>136</v>
      </c>
      <c r="L9" s="700">
        <v>16729</v>
      </c>
      <c r="M9" s="623">
        <v>0</v>
      </c>
      <c r="N9" s="624">
        <v>0</v>
      </c>
      <c r="O9" s="700">
        <f t="shared" ref="O9:O19" si="0">+L9-I9</f>
        <v>487</v>
      </c>
      <c r="P9" s="127" t="s">
        <v>159</v>
      </c>
      <c r="Q9" s="126"/>
    </row>
    <row r="10" spans="1:17">
      <c r="A10" s="876" t="s">
        <v>362</v>
      </c>
      <c r="B10" s="877"/>
      <c r="C10" s="878"/>
      <c r="D10" s="625">
        <v>0</v>
      </c>
      <c r="E10" s="24">
        <v>0</v>
      </c>
      <c r="F10" s="41">
        <v>4816</v>
      </c>
      <c r="G10" s="625">
        <v>0</v>
      </c>
      <c r="H10" s="24">
        <v>0</v>
      </c>
      <c r="I10" s="41">
        <v>4960</v>
      </c>
      <c r="J10" s="625">
        <v>0</v>
      </c>
      <c r="K10" s="24">
        <v>0</v>
      </c>
      <c r="L10" s="701">
        <v>5109</v>
      </c>
      <c r="M10" s="24">
        <v>0</v>
      </c>
      <c r="N10" s="24">
        <v>0</v>
      </c>
      <c r="O10" s="41">
        <f t="shared" si="0"/>
        <v>149</v>
      </c>
      <c r="P10" s="127" t="s">
        <v>159</v>
      </c>
      <c r="Q10" s="126"/>
    </row>
    <row r="11" spans="1:17">
      <c r="A11" s="876" t="s">
        <v>46</v>
      </c>
      <c r="B11" s="877"/>
      <c r="C11" s="878"/>
      <c r="D11" s="625">
        <v>0</v>
      </c>
      <c r="E11" s="24">
        <v>0</v>
      </c>
      <c r="F11" s="41">
        <v>1198</v>
      </c>
      <c r="G11" s="625">
        <v>0</v>
      </c>
      <c r="H11" s="24">
        <v>0</v>
      </c>
      <c r="I11" s="41">
        <v>1234</v>
      </c>
      <c r="J11" s="625">
        <v>0</v>
      </c>
      <c r="K11" s="24">
        <v>0</v>
      </c>
      <c r="L11" s="701">
        <v>1271</v>
      </c>
      <c r="M11" s="24">
        <v>0</v>
      </c>
      <c r="N11" s="24">
        <v>0</v>
      </c>
      <c r="O11" s="41">
        <f t="shared" si="0"/>
        <v>37</v>
      </c>
      <c r="P11" s="127" t="s">
        <v>159</v>
      </c>
      <c r="Q11" s="126"/>
    </row>
    <row r="12" spans="1:17">
      <c r="A12" s="876" t="s">
        <v>363</v>
      </c>
      <c r="B12" s="877"/>
      <c r="C12" s="878"/>
      <c r="D12" s="625">
        <v>0</v>
      </c>
      <c r="E12" s="24">
        <v>0</v>
      </c>
      <c r="F12" s="41">
        <v>531</v>
      </c>
      <c r="G12" s="625">
        <v>0</v>
      </c>
      <c r="H12" s="24">
        <v>0</v>
      </c>
      <c r="I12" s="41">
        <v>547</v>
      </c>
      <c r="J12" s="625">
        <v>0</v>
      </c>
      <c r="K12" s="24">
        <v>0</v>
      </c>
      <c r="L12" s="701">
        <v>563</v>
      </c>
      <c r="M12" s="24">
        <v>0</v>
      </c>
      <c r="N12" s="24">
        <v>0</v>
      </c>
      <c r="O12" s="41">
        <f t="shared" si="0"/>
        <v>16</v>
      </c>
      <c r="P12" s="127" t="s">
        <v>159</v>
      </c>
      <c r="Q12" s="126"/>
    </row>
    <row r="13" spans="1:17">
      <c r="A13" s="876" t="s">
        <v>364</v>
      </c>
      <c r="B13" s="877"/>
      <c r="C13" s="878"/>
      <c r="D13" s="625">
        <v>0</v>
      </c>
      <c r="E13" s="24">
        <v>0</v>
      </c>
      <c r="F13" s="41">
        <v>1131</v>
      </c>
      <c r="G13" s="625">
        <v>0</v>
      </c>
      <c r="H13" s="24">
        <v>0</v>
      </c>
      <c r="I13" s="41">
        <v>1165</v>
      </c>
      <c r="J13" s="625">
        <v>0</v>
      </c>
      <c r="K13" s="24">
        <v>0</v>
      </c>
      <c r="L13" s="701">
        <v>1200</v>
      </c>
      <c r="M13" s="24">
        <v>0</v>
      </c>
      <c r="N13" s="24">
        <v>0</v>
      </c>
      <c r="O13" s="41">
        <f t="shared" si="0"/>
        <v>35</v>
      </c>
      <c r="P13" s="127" t="s">
        <v>159</v>
      </c>
      <c r="Q13" s="126"/>
    </row>
    <row r="14" spans="1:17">
      <c r="A14" s="876" t="s">
        <v>365</v>
      </c>
      <c r="B14" s="877"/>
      <c r="C14" s="878"/>
      <c r="D14" s="625">
        <v>0</v>
      </c>
      <c r="E14" s="24">
        <v>0</v>
      </c>
      <c r="F14" s="41">
        <v>13459</v>
      </c>
      <c r="G14" s="625">
        <v>0</v>
      </c>
      <c r="H14" s="24">
        <v>0</v>
      </c>
      <c r="I14" s="41">
        <v>13863</v>
      </c>
      <c r="J14" s="625">
        <v>0</v>
      </c>
      <c r="K14" s="24">
        <v>0</v>
      </c>
      <c r="L14" s="701">
        <v>14279</v>
      </c>
      <c r="M14" s="24">
        <v>0</v>
      </c>
      <c r="N14" s="24">
        <v>0</v>
      </c>
      <c r="O14" s="41">
        <f t="shared" si="0"/>
        <v>416</v>
      </c>
      <c r="P14" s="127" t="s">
        <v>159</v>
      </c>
      <c r="Q14" s="126"/>
    </row>
    <row r="15" spans="1:17">
      <c r="A15" s="876" t="s">
        <v>366</v>
      </c>
      <c r="B15" s="877"/>
      <c r="C15" s="878"/>
      <c r="D15" s="625">
        <v>0</v>
      </c>
      <c r="E15" s="24">
        <v>0</v>
      </c>
      <c r="F15" s="41">
        <v>0</v>
      </c>
      <c r="G15" s="625">
        <v>0</v>
      </c>
      <c r="H15" s="24">
        <v>0</v>
      </c>
      <c r="I15" s="41">
        <v>0</v>
      </c>
      <c r="J15" s="625">
        <v>0</v>
      </c>
      <c r="K15" s="24">
        <v>0</v>
      </c>
      <c r="L15" s="701">
        <v>0</v>
      </c>
      <c r="M15" s="24">
        <v>0</v>
      </c>
      <c r="N15" s="24">
        <v>0</v>
      </c>
      <c r="O15" s="41">
        <f t="shared" si="0"/>
        <v>0</v>
      </c>
      <c r="P15" s="127" t="s">
        <v>159</v>
      </c>
      <c r="Q15" s="126"/>
    </row>
    <row r="16" spans="1:17">
      <c r="A16" s="876" t="s">
        <v>367</v>
      </c>
      <c r="B16" s="877"/>
      <c r="C16" s="878"/>
      <c r="D16" s="625">
        <v>0</v>
      </c>
      <c r="E16" s="24">
        <v>0</v>
      </c>
      <c r="F16" s="41">
        <v>1983</v>
      </c>
      <c r="G16" s="625">
        <v>0</v>
      </c>
      <c r="H16" s="24">
        <v>0</v>
      </c>
      <c r="I16" s="41">
        <v>2042</v>
      </c>
      <c r="J16" s="625">
        <v>0</v>
      </c>
      <c r="K16" s="24">
        <v>0</v>
      </c>
      <c r="L16" s="701">
        <v>2104</v>
      </c>
      <c r="M16" s="24">
        <v>0</v>
      </c>
      <c r="N16" s="24">
        <v>0</v>
      </c>
      <c r="O16" s="41">
        <f t="shared" si="0"/>
        <v>62</v>
      </c>
      <c r="P16" s="127" t="s">
        <v>159</v>
      </c>
      <c r="Q16" s="126"/>
    </row>
    <row r="17" spans="1:17">
      <c r="A17" s="876" t="s">
        <v>368</v>
      </c>
      <c r="B17" s="877"/>
      <c r="C17" s="878"/>
      <c r="D17" s="625">
        <v>0</v>
      </c>
      <c r="E17" s="24">
        <v>0</v>
      </c>
      <c r="F17" s="41">
        <v>563</v>
      </c>
      <c r="G17" s="625">
        <v>0</v>
      </c>
      <c r="H17" s="24">
        <v>0</v>
      </c>
      <c r="I17" s="41">
        <v>580</v>
      </c>
      <c r="J17" s="625">
        <v>0</v>
      </c>
      <c r="K17" s="24">
        <v>0</v>
      </c>
      <c r="L17" s="701">
        <v>597</v>
      </c>
      <c r="M17" s="24">
        <v>0</v>
      </c>
      <c r="N17" s="24">
        <v>0</v>
      </c>
      <c r="O17" s="41">
        <f t="shared" si="0"/>
        <v>17</v>
      </c>
      <c r="P17" s="127" t="s">
        <v>159</v>
      </c>
      <c r="Q17" s="126"/>
    </row>
    <row r="18" spans="1:17">
      <c r="A18" s="642" t="s">
        <v>369</v>
      </c>
      <c r="B18" s="643"/>
      <c r="C18" s="644"/>
      <c r="D18" s="625">
        <v>0</v>
      </c>
      <c r="E18" s="24">
        <v>0</v>
      </c>
      <c r="F18" s="41">
        <v>4843</v>
      </c>
      <c r="G18" s="625">
        <v>0</v>
      </c>
      <c r="H18" s="24">
        <v>0</v>
      </c>
      <c r="I18" s="41">
        <v>4988</v>
      </c>
      <c r="J18" s="625">
        <v>0</v>
      </c>
      <c r="K18" s="24">
        <v>0</v>
      </c>
      <c r="L18" s="701">
        <v>5138</v>
      </c>
      <c r="M18" s="24">
        <v>0</v>
      </c>
      <c r="N18" s="24">
        <v>0</v>
      </c>
      <c r="O18" s="41">
        <f t="shared" si="0"/>
        <v>150</v>
      </c>
      <c r="P18" s="127" t="s">
        <v>159</v>
      </c>
      <c r="Q18" s="126"/>
    </row>
    <row r="19" spans="1:17">
      <c r="A19" s="879" t="s">
        <v>396</v>
      </c>
      <c r="B19" s="880"/>
      <c r="C19" s="881"/>
      <c r="D19" s="626">
        <v>0</v>
      </c>
      <c r="E19" s="607">
        <v>0</v>
      </c>
      <c r="F19" s="42">
        <v>207</v>
      </c>
      <c r="G19" s="626">
        <v>0</v>
      </c>
      <c r="H19" s="607">
        <v>0</v>
      </c>
      <c r="I19" s="42">
        <v>213</v>
      </c>
      <c r="J19" s="626">
        <v>0</v>
      </c>
      <c r="K19" s="607">
        <v>0</v>
      </c>
      <c r="L19" s="702">
        <v>220</v>
      </c>
      <c r="M19" s="625">
        <v>0</v>
      </c>
      <c r="N19" s="24">
        <v>0</v>
      </c>
      <c r="O19" s="41">
        <f t="shared" si="0"/>
        <v>7</v>
      </c>
      <c r="P19" s="127" t="s">
        <v>159</v>
      </c>
      <c r="Q19" s="126"/>
    </row>
    <row r="20" spans="1:17">
      <c r="A20" s="870" t="s">
        <v>370</v>
      </c>
      <c r="B20" s="871"/>
      <c r="C20" s="872"/>
      <c r="D20" s="627">
        <f t="shared" ref="D20:O20" si="1">SUM(D9:D19)</f>
        <v>136</v>
      </c>
      <c r="E20" s="627">
        <f t="shared" si="1"/>
        <v>136</v>
      </c>
      <c r="F20" s="737">
        <f>SUM(F9:F19)</f>
        <v>44500</v>
      </c>
      <c r="G20" s="627">
        <f t="shared" si="1"/>
        <v>136</v>
      </c>
      <c r="H20" s="627">
        <f t="shared" si="1"/>
        <v>136</v>
      </c>
      <c r="I20" s="737">
        <f t="shared" si="1"/>
        <v>45834</v>
      </c>
      <c r="J20" s="627">
        <f t="shared" si="1"/>
        <v>136</v>
      </c>
      <c r="K20" s="627">
        <f t="shared" si="1"/>
        <v>136</v>
      </c>
      <c r="L20" s="738">
        <f t="shared" si="1"/>
        <v>47210</v>
      </c>
      <c r="M20" s="628">
        <f t="shared" si="1"/>
        <v>0</v>
      </c>
      <c r="N20" s="629">
        <f t="shared" si="1"/>
        <v>0</v>
      </c>
      <c r="O20" s="739">
        <f t="shared" si="1"/>
        <v>1376</v>
      </c>
      <c r="P20" s="127" t="s">
        <v>161</v>
      </c>
      <c r="Q20" s="126"/>
    </row>
    <row r="21" spans="1:17">
      <c r="A21" s="268"/>
      <c r="B21" s="268"/>
      <c r="C21" s="268"/>
      <c r="D21" s="268"/>
      <c r="E21" s="268"/>
      <c r="F21" s="268" t="s">
        <v>113</v>
      </c>
      <c r="G21" s="268"/>
      <c r="H21" s="268"/>
      <c r="I21" s="268" t="s">
        <v>113</v>
      </c>
      <c r="J21" s="268"/>
      <c r="K21" s="268"/>
      <c r="L21" s="268" t="s">
        <v>113</v>
      </c>
      <c r="M21" s="268"/>
      <c r="N21" s="268"/>
      <c r="O21" s="268"/>
      <c r="Q21" s="126"/>
    </row>
    <row r="22" spans="1:17">
      <c r="I22" s="1" t="s">
        <v>113</v>
      </c>
    </row>
  </sheetData>
  <mergeCells count="22">
    <mergeCell ref="A20:C20"/>
    <mergeCell ref="A8:C8"/>
    <mergeCell ref="A9:C9"/>
    <mergeCell ref="A10:C10"/>
    <mergeCell ref="A11:C11"/>
    <mergeCell ref="A12:C12"/>
    <mergeCell ref="A13:C13"/>
    <mergeCell ref="A14:C14"/>
    <mergeCell ref="A15:C15"/>
    <mergeCell ref="A16:C16"/>
    <mergeCell ref="A17:C17"/>
    <mergeCell ref="A19:C19"/>
    <mergeCell ref="A1:O1"/>
    <mergeCell ref="A2:O2"/>
    <mergeCell ref="A3:O3"/>
    <mergeCell ref="A4:O4"/>
    <mergeCell ref="A5:O5"/>
    <mergeCell ref="A7:C7"/>
    <mergeCell ref="D7:F7"/>
    <mergeCell ref="G7:I7"/>
    <mergeCell ref="J7:L7"/>
    <mergeCell ref="M7:O7"/>
  </mergeCells>
  <printOptions horizontalCentered="1"/>
  <pageMargins left="0.7" right="0.7" top="0.75" bottom="0.75" header="0.3" footer="0.3"/>
  <pageSetup orientation="landscape" r:id="rId1"/>
  <headerFooter>
    <oddFooter>&amp;C&amp;"Times New Roman,Regular"Exhibit H: Summary of Reimbursable Resources</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S41"/>
  <sheetViews>
    <sheetView view="pageBreakPreview" zoomScale="55" zoomScaleNormal="55" zoomScaleSheetLayoutView="55" workbookViewId="0">
      <pane xSplit="1" topLeftCell="B1" activePane="topRight" state="frozen"/>
      <selection activeCell="J1" sqref="J1"/>
      <selection pane="topRight" activeCell="J1" sqref="J1"/>
    </sheetView>
  </sheetViews>
  <sheetFormatPr defaultColWidth="8.90625" defaultRowHeight="15.6"/>
  <cols>
    <col min="1" max="1" width="39.08984375" style="1" customWidth="1"/>
    <col min="2" max="2" width="10.54296875" style="1" customWidth="1"/>
    <col min="3" max="3" width="12.36328125" style="1" customWidth="1"/>
    <col min="4" max="4" width="11.453125" style="1" customWidth="1"/>
    <col min="5" max="5" width="12.36328125" style="1" customWidth="1"/>
    <col min="6" max="6" width="6.90625" style="72" customWidth="1"/>
    <col min="7" max="7" width="8.1796875" style="1" customWidth="1"/>
    <col min="8" max="8" width="8.6328125" style="1" customWidth="1"/>
    <col min="9" max="9" width="8" style="1" customWidth="1"/>
    <col min="10" max="10" width="12.08984375" style="1" customWidth="1"/>
    <col min="11" max="11" width="13.54296875" style="1" customWidth="1"/>
    <col min="12" max="12" width="0.90625" style="1" customWidth="1"/>
    <col min="13" max="13" width="8.90625" style="1"/>
    <col min="14" max="14" width="8.90625" style="72"/>
    <col min="15" max="16384" width="8.90625" style="1"/>
  </cols>
  <sheetData>
    <row r="1" spans="1:19" ht="18">
      <c r="A1" s="509" t="s">
        <v>29</v>
      </c>
      <c r="B1" s="512"/>
      <c r="C1" s="512"/>
      <c r="D1" s="512"/>
      <c r="E1" s="512"/>
      <c r="F1" s="171"/>
      <c r="L1" s="127" t="s">
        <v>159</v>
      </c>
      <c r="M1" s="126"/>
    </row>
    <row r="2" spans="1:19" s="495" customFormat="1">
      <c r="A2" s="494"/>
      <c r="F2" s="496"/>
      <c r="L2" s="497"/>
      <c r="M2" s="498"/>
      <c r="N2" s="496"/>
    </row>
    <row r="3" spans="1:19" s="495" customFormat="1">
      <c r="A3" s="494"/>
      <c r="F3" s="496"/>
      <c r="L3" s="497"/>
      <c r="M3" s="498"/>
      <c r="N3" s="496"/>
    </row>
    <row r="4" spans="1:19">
      <c r="C4" s="246" t="s">
        <v>7</v>
      </c>
      <c r="D4" s="630"/>
      <c r="E4" s="630"/>
      <c r="F4" s="155"/>
      <c r="G4" s="155"/>
      <c r="L4" s="127" t="s">
        <v>159</v>
      </c>
      <c r="M4" s="126"/>
    </row>
    <row r="5" spans="1:19">
      <c r="C5" s="246" t="s">
        <v>30</v>
      </c>
      <c r="D5" s="630"/>
      <c r="E5" s="630"/>
      <c r="F5" s="155"/>
      <c r="G5" s="155"/>
      <c r="H5" s="6"/>
      <c r="L5" s="127" t="s">
        <v>159</v>
      </c>
      <c r="M5" s="126"/>
    </row>
    <row r="6" spans="1:19">
      <c r="C6" s="246" t="s">
        <v>31</v>
      </c>
      <c r="D6" s="630"/>
      <c r="E6" s="630"/>
      <c r="F6" s="155"/>
      <c r="G6" s="155"/>
      <c r="H6" s="6"/>
      <c r="L6" s="127" t="s">
        <v>159</v>
      </c>
      <c r="M6" s="126"/>
    </row>
    <row r="7" spans="1:19">
      <c r="A7" s="6"/>
      <c r="B7" s="6" t="s">
        <v>113</v>
      </c>
      <c r="C7" s="6"/>
      <c r="D7" s="643"/>
      <c r="E7" s="643"/>
      <c r="F7" s="73"/>
      <c r="G7" s="6"/>
      <c r="H7" s="6"/>
      <c r="I7" s="6"/>
      <c r="J7" s="6"/>
      <c r="K7" s="6"/>
      <c r="L7" s="127" t="s">
        <v>159</v>
      </c>
      <c r="M7" s="126"/>
    </row>
    <row r="8" spans="1:19">
      <c r="A8" s="59"/>
      <c r="B8" s="854" t="s">
        <v>394</v>
      </c>
      <c r="C8" s="856"/>
      <c r="D8" s="854" t="s">
        <v>308</v>
      </c>
      <c r="E8" s="856"/>
      <c r="F8" s="882" t="s">
        <v>227</v>
      </c>
      <c r="G8" s="883"/>
      <c r="H8" s="883"/>
      <c r="I8" s="883"/>
      <c r="J8" s="883"/>
      <c r="K8" s="884"/>
      <c r="L8" s="127" t="s">
        <v>159</v>
      </c>
      <c r="M8" s="126"/>
    </row>
    <row r="9" spans="1:19">
      <c r="A9" s="57"/>
      <c r="B9" s="851"/>
      <c r="C9" s="853"/>
      <c r="D9" s="851"/>
      <c r="E9" s="853"/>
      <c r="F9" s="885"/>
      <c r="G9" s="886"/>
      <c r="H9" s="886"/>
      <c r="I9" s="886"/>
      <c r="J9" s="886"/>
      <c r="K9" s="887"/>
      <c r="L9" s="127" t="s">
        <v>159</v>
      </c>
      <c r="M9" s="126"/>
    </row>
    <row r="10" spans="1:19">
      <c r="A10" s="57"/>
      <c r="B10" s="278" t="s">
        <v>113</v>
      </c>
      <c r="C10" s="160" t="s">
        <v>113</v>
      </c>
      <c r="D10" s="640"/>
      <c r="E10" s="640"/>
      <c r="F10" s="74" t="s">
        <v>113</v>
      </c>
      <c r="G10" s="46"/>
      <c r="H10" s="46"/>
      <c r="I10" s="46" t="s">
        <v>113</v>
      </c>
      <c r="J10" s="46" t="s">
        <v>113</v>
      </c>
      <c r="K10" s="160" t="s">
        <v>113</v>
      </c>
      <c r="L10" s="127" t="s">
        <v>159</v>
      </c>
      <c r="M10" s="126"/>
    </row>
    <row r="11" spans="1:19">
      <c r="A11" s="57"/>
      <c r="B11" s="158" t="s">
        <v>34</v>
      </c>
      <c r="C11" s="160" t="s">
        <v>32</v>
      </c>
      <c r="D11" s="640" t="s">
        <v>34</v>
      </c>
      <c r="E11" s="640" t="s">
        <v>32</v>
      </c>
      <c r="F11" s="157" t="s">
        <v>113</v>
      </c>
      <c r="G11" s="158" t="s">
        <v>23</v>
      </c>
      <c r="H11" s="158" t="s">
        <v>23</v>
      </c>
      <c r="I11" s="158" t="s">
        <v>144</v>
      </c>
      <c r="J11" s="158" t="s">
        <v>33</v>
      </c>
      <c r="K11" s="160" t="s">
        <v>32</v>
      </c>
      <c r="L11" s="127" t="s">
        <v>159</v>
      </c>
      <c r="M11" s="126"/>
    </row>
    <row r="12" spans="1:19">
      <c r="A12" s="51" t="s">
        <v>35</v>
      </c>
      <c r="B12" s="55" t="s">
        <v>36</v>
      </c>
      <c r="C12" s="52" t="s">
        <v>260</v>
      </c>
      <c r="D12" s="639" t="s">
        <v>36</v>
      </c>
      <c r="E12" s="639" t="s">
        <v>260</v>
      </c>
      <c r="F12" s="159" t="s">
        <v>171</v>
      </c>
      <c r="G12" s="55" t="s">
        <v>37</v>
      </c>
      <c r="H12" s="55" t="s">
        <v>395</v>
      </c>
      <c r="I12" s="55" t="s">
        <v>38</v>
      </c>
      <c r="J12" s="55" t="s">
        <v>36</v>
      </c>
      <c r="K12" s="52" t="s">
        <v>260</v>
      </c>
      <c r="L12" s="127" t="s">
        <v>159</v>
      </c>
      <c r="M12" s="126"/>
      <c r="N12" s="118" t="s">
        <v>113</v>
      </c>
      <c r="O12" s="5" t="s">
        <v>113</v>
      </c>
      <c r="P12" s="5" t="s">
        <v>113</v>
      </c>
    </row>
    <row r="13" spans="1:19">
      <c r="A13" s="57" t="s">
        <v>47</v>
      </c>
      <c r="B13" s="17">
        <v>173</v>
      </c>
      <c r="C13" s="22">
        <v>0</v>
      </c>
      <c r="D13" s="22">
        <f>2+173</f>
        <v>175</v>
      </c>
      <c r="E13" s="22">
        <v>0</v>
      </c>
      <c r="F13" s="76">
        <v>0</v>
      </c>
      <c r="G13" s="56">
        <v>2</v>
      </c>
      <c r="H13" s="77">
        <v>0</v>
      </c>
      <c r="I13" s="56">
        <f>+G13+H13+F13</f>
        <v>2</v>
      </c>
      <c r="J13" s="56">
        <f>+D13+I13</f>
        <v>177</v>
      </c>
      <c r="K13" s="75">
        <v>0</v>
      </c>
      <c r="L13" s="127" t="s">
        <v>159</v>
      </c>
      <c r="M13" s="126"/>
      <c r="N13" s="78"/>
      <c r="P13" s="69" t="s">
        <v>113</v>
      </c>
    </row>
    <row r="14" spans="1:19">
      <c r="A14" s="57" t="s">
        <v>48</v>
      </c>
      <c r="B14" s="17">
        <v>80</v>
      </c>
      <c r="C14" s="22">
        <v>0</v>
      </c>
      <c r="D14" s="22">
        <f>80+2</f>
        <v>82</v>
      </c>
      <c r="E14" s="22">
        <v>0</v>
      </c>
      <c r="F14" s="76">
        <v>0</v>
      </c>
      <c r="G14" s="56">
        <v>2</v>
      </c>
      <c r="H14" s="77">
        <v>0</v>
      </c>
      <c r="I14" s="56">
        <f t="shared" ref="I14:I33" si="0">+G14+H14+F14</f>
        <v>2</v>
      </c>
      <c r="J14" s="56">
        <f t="shared" ref="J14:J33" si="1">+D14+I14</f>
        <v>84</v>
      </c>
      <c r="K14" s="75">
        <v>0</v>
      </c>
      <c r="L14" s="127" t="s">
        <v>159</v>
      </c>
      <c r="M14" s="126"/>
      <c r="N14" s="78"/>
      <c r="P14" s="69" t="s">
        <v>113</v>
      </c>
      <c r="Q14" s="78"/>
      <c r="S14" s="69"/>
    </row>
    <row r="15" spans="1:19">
      <c r="A15" s="57" t="s">
        <v>49</v>
      </c>
      <c r="B15" s="17">
        <v>485</v>
      </c>
      <c r="C15" s="22">
        <v>0</v>
      </c>
      <c r="D15" s="22">
        <f>485+8</f>
        <v>493</v>
      </c>
      <c r="E15" s="22">
        <v>0</v>
      </c>
      <c r="F15" s="76">
        <v>0</v>
      </c>
      <c r="G15" s="56">
        <v>10</v>
      </c>
      <c r="H15" s="77">
        <v>0</v>
      </c>
      <c r="I15" s="56">
        <f>+G15+H15+F15</f>
        <v>10</v>
      </c>
      <c r="J15" s="56">
        <f t="shared" si="1"/>
        <v>503</v>
      </c>
      <c r="K15" s="75">
        <v>0</v>
      </c>
      <c r="L15" s="127" t="s">
        <v>159</v>
      </c>
      <c r="M15" s="126"/>
      <c r="N15" s="78" t="s">
        <v>113</v>
      </c>
      <c r="P15" s="69" t="s">
        <v>113</v>
      </c>
      <c r="Q15" s="78"/>
      <c r="S15" s="69"/>
    </row>
    <row r="16" spans="1:19">
      <c r="A16" s="57" t="s">
        <v>50</v>
      </c>
      <c r="B16" s="79">
        <v>1981</v>
      </c>
      <c r="C16" s="22">
        <v>0</v>
      </c>
      <c r="D16" s="22">
        <f>1981+30+6</f>
        <v>2017</v>
      </c>
      <c r="E16" s="22">
        <v>0</v>
      </c>
      <c r="F16" s="76">
        <v>0</v>
      </c>
      <c r="G16" s="56">
        <f>15+15</f>
        <v>30</v>
      </c>
      <c r="H16" s="77">
        <v>-60</v>
      </c>
      <c r="I16" s="699">
        <f>+G16+H16+F16</f>
        <v>-30</v>
      </c>
      <c r="J16" s="56">
        <f t="shared" si="1"/>
        <v>1987</v>
      </c>
      <c r="K16" s="75">
        <v>0</v>
      </c>
      <c r="L16" s="127" t="s">
        <v>159</v>
      </c>
      <c r="M16" s="126"/>
      <c r="N16" s="78" t="s">
        <v>113</v>
      </c>
      <c r="P16" s="69" t="s">
        <v>113</v>
      </c>
      <c r="Q16" s="78"/>
      <c r="S16" s="69"/>
    </row>
    <row r="17" spans="1:19">
      <c r="A17" s="57" t="s">
        <v>51</v>
      </c>
      <c r="B17" s="79">
        <v>19408</v>
      </c>
      <c r="C17" s="22">
        <v>0</v>
      </c>
      <c r="D17" s="22">
        <f>19408+354-6</f>
        <v>19756</v>
      </c>
      <c r="E17" s="22">
        <v>0</v>
      </c>
      <c r="F17" s="76">
        <v>0</v>
      </c>
      <c r="G17" s="56">
        <f>218+188</f>
        <v>406</v>
      </c>
      <c r="H17" s="77">
        <v>0</v>
      </c>
      <c r="I17" s="56">
        <f t="shared" si="0"/>
        <v>406</v>
      </c>
      <c r="J17" s="56">
        <f t="shared" si="1"/>
        <v>20162</v>
      </c>
      <c r="K17" s="75">
        <v>0</v>
      </c>
      <c r="L17" s="127" t="s">
        <v>159</v>
      </c>
      <c r="M17" s="126"/>
      <c r="N17" s="78" t="s">
        <v>113</v>
      </c>
      <c r="P17" s="69" t="s">
        <v>113</v>
      </c>
      <c r="Q17" s="78"/>
      <c r="S17" s="69"/>
    </row>
    <row r="18" spans="1:19">
      <c r="A18" s="57" t="s">
        <v>52</v>
      </c>
      <c r="B18" s="17">
        <v>864</v>
      </c>
      <c r="C18" s="62">
        <v>19</v>
      </c>
      <c r="D18" s="62">
        <f>864+12</f>
        <v>876</v>
      </c>
      <c r="E18" s="62">
        <v>19</v>
      </c>
      <c r="F18" s="76">
        <v>0</v>
      </c>
      <c r="G18" s="56">
        <v>12</v>
      </c>
      <c r="H18" s="77">
        <v>0</v>
      </c>
      <c r="I18" s="56">
        <f t="shared" si="0"/>
        <v>12</v>
      </c>
      <c r="J18" s="56">
        <f t="shared" si="1"/>
        <v>888</v>
      </c>
      <c r="K18" s="75">
        <v>19</v>
      </c>
      <c r="L18" s="127" t="s">
        <v>159</v>
      </c>
      <c r="M18" s="126"/>
      <c r="N18" s="78" t="s">
        <v>113</v>
      </c>
      <c r="O18" s="1" t="s">
        <v>113</v>
      </c>
      <c r="P18" s="69" t="s">
        <v>113</v>
      </c>
      <c r="Q18" s="78"/>
      <c r="S18" s="69"/>
    </row>
    <row r="19" spans="1:19">
      <c r="A19" s="57" t="s">
        <v>53</v>
      </c>
      <c r="B19" s="79">
        <v>3039</v>
      </c>
      <c r="C19" s="62">
        <v>18</v>
      </c>
      <c r="D19" s="62">
        <f>3039+62</f>
        <v>3101</v>
      </c>
      <c r="E19" s="62">
        <v>18</v>
      </c>
      <c r="F19" s="76">
        <v>120</v>
      </c>
      <c r="G19" s="56">
        <f>28+31+4</f>
        <v>63</v>
      </c>
      <c r="H19" s="77">
        <v>0</v>
      </c>
      <c r="I19" s="56">
        <f>+G19+H19+F19</f>
        <v>183</v>
      </c>
      <c r="J19" s="56">
        <f t="shared" si="1"/>
        <v>3284</v>
      </c>
      <c r="K19" s="75">
        <v>18</v>
      </c>
      <c r="L19" s="127" t="s">
        <v>159</v>
      </c>
      <c r="M19" s="126"/>
      <c r="N19" s="78" t="s">
        <v>113</v>
      </c>
      <c r="P19" s="69" t="s">
        <v>113</v>
      </c>
      <c r="Q19" s="78"/>
      <c r="S19" s="69"/>
    </row>
    <row r="20" spans="1:19">
      <c r="A20" s="57" t="s">
        <v>54</v>
      </c>
      <c r="B20" s="17">
        <v>824</v>
      </c>
      <c r="C20" s="62">
        <v>2</v>
      </c>
      <c r="D20" s="62">
        <f>824+22</f>
        <v>846</v>
      </c>
      <c r="E20" s="62">
        <v>2</v>
      </c>
      <c r="F20" s="76">
        <v>0</v>
      </c>
      <c r="G20" s="56">
        <v>22</v>
      </c>
      <c r="H20" s="77">
        <v>0</v>
      </c>
      <c r="I20" s="56">
        <f t="shared" si="0"/>
        <v>22</v>
      </c>
      <c r="J20" s="56">
        <f t="shared" si="1"/>
        <v>868</v>
      </c>
      <c r="K20" s="75">
        <v>2</v>
      </c>
      <c r="L20" s="127" t="s">
        <v>159</v>
      </c>
      <c r="M20" s="126"/>
      <c r="N20" s="78" t="s">
        <v>113</v>
      </c>
      <c r="P20" s="69" t="s">
        <v>113</v>
      </c>
      <c r="Q20" s="78"/>
      <c r="S20" s="69"/>
    </row>
    <row r="21" spans="1:19">
      <c r="A21" s="57" t="s">
        <v>55</v>
      </c>
      <c r="B21" s="79">
        <v>2708</v>
      </c>
      <c r="C21" s="62">
        <v>58</v>
      </c>
      <c r="D21" s="62">
        <f>2708+48</f>
        <v>2756</v>
      </c>
      <c r="E21" s="62">
        <v>58</v>
      </c>
      <c r="F21" s="76">
        <v>0</v>
      </c>
      <c r="G21" s="56">
        <f>22+25</f>
        <v>47</v>
      </c>
      <c r="H21" s="77">
        <v>0</v>
      </c>
      <c r="I21" s="56">
        <f t="shared" si="0"/>
        <v>47</v>
      </c>
      <c r="J21" s="56">
        <f t="shared" si="1"/>
        <v>2803</v>
      </c>
      <c r="K21" s="75">
        <v>58</v>
      </c>
      <c r="L21" s="127" t="s">
        <v>159</v>
      </c>
      <c r="M21" s="126"/>
      <c r="N21" s="78" t="s">
        <v>113</v>
      </c>
      <c r="P21" s="69" t="s">
        <v>113</v>
      </c>
      <c r="Q21" s="78"/>
      <c r="S21" s="69"/>
    </row>
    <row r="22" spans="1:19">
      <c r="A22" s="57" t="s">
        <v>56</v>
      </c>
      <c r="B22" s="17">
        <v>2</v>
      </c>
      <c r="C22" s="22">
        <v>0</v>
      </c>
      <c r="D22" s="22">
        <v>2</v>
      </c>
      <c r="E22" s="22">
        <v>0</v>
      </c>
      <c r="F22" s="76">
        <v>0</v>
      </c>
      <c r="G22" s="77">
        <v>0</v>
      </c>
      <c r="H22" s="77">
        <v>0</v>
      </c>
      <c r="I22" s="56">
        <f t="shared" si="0"/>
        <v>0</v>
      </c>
      <c r="J22" s="56">
        <f t="shared" si="1"/>
        <v>2</v>
      </c>
      <c r="K22" s="75">
        <v>0</v>
      </c>
      <c r="L22" s="127" t="s">
        <v>159</v>
      </c>
      <c r="M22" s="126"/>
      <c r="N22" s="78"/>
      <c r="P22" s="69" t="s">
        <v>113</v>
      </c>
      <c r="Q22" s="78"/>
      <c r="S22" s="69"/>
    </row>
    <row r="23" spans="1:19">
      <c r="A23" s="57" t="s">
        <v>57</v>
      </c>
      <c r="B23" s="17">
        <v>938</v>
      </c>
      <c r="C23" s="62">
        <v>4</v>
      </c>
      <c r="D23" s="62">
        <f>938+18</f>
        <v>956</v>
      </c>
      <c r="E23" s="62">
        <v>4</v>
      </c>
      <c r="F23" s="76">
        <v>0</v>
      </c>
      <c r="G23" s="56">
        <v>19</v>
      </c>
      <c r="H23" s="77">
        <v>0</v>
      </c>
      <c r="I23" s="56">
        <f t="shared" si="0"/>
        <v>19</v>
      </c>
      <c r="J23" s="56">
        <f t="shared" si="1"/>
        <v>975</v>
      </c>
      <c r="K23" s="75">
        <v>4</v>
      </c>
      <c r="L23" s="127" t="s">
        <v>159</v>
      </c>
      <c r="M23" s="126"/>
      <c r="N23" s="78" t="s">
        <v>113</v>
      </c>
      <c r="P23" s="69" t="s">
        <v>113</v>
      </c>
      <c r="Q23" s="78"/>
      <c r="S23" s="69"/>
    </row>
    <row r="24" spans="1:19">
      <c r="A24" s="57" t="s">
        <v>58</v>
      </c>
      <c r="B24" s="79">
        <v>2677</v>
      </c>
      <c r="C24" s="62">
        <v>8</v>
      </c>
      <c r="D24" s="62">
        <f>2677+44</f>
        <v>2721</v>
      </c>
      <c r="E24" s="62">
        <v>8</v>
      </c>
      <c r="F24" s="76">
        <v>0</v>
      </c>
      <c r="G24" s="56">
        <v>44</v>
      </c>
      <c r="H24" s="77">
        <v>0</v>
      </c>
      <c r="I24" s="56">
        <f t="shared" si="0"/>
        <v>44</v>
      </c>
      <c r="J24" s="56">
        <f t="shared" si="1"/>
        <v>2765</v>
      </c>
      <c r="K24" s="75">
        <v>8</v>
      </c>
      <c r="L24" s="127" t="s">
        <v>159</v>
      </c>
      <c r="M24" s="126"/>
      <c r="N24" s="78" t="s">
        <v>113</v>
      </c>
      <c r="P24" s="69" t="s">
        <v>113</v>
      </c>
      <c r="Q24" s="78"/>
      <c r="S24" s="69"/>
    </row>
    <row r="25" spans="1:19">
      <c r="A25" s="57" t="s">
        <v>59</v>
      </c>
      <c r="B25" s="17">
        <v>356</v>
      </c>
      <c r="C25" s="22">
        <v>0</v>
      </c>
      <c r="D25" s="22">
        <f>356+6</f>
        <v>362</v>
      </c>
      <c r="E25" s="22">
        <v>0</v>
      </c>
      <c r="F25" s="76">
        <v>0</v>
      </c>
      <c r="G25" s="56">
        <v>6</v>
      </c>
      <c r="H25" s="77">
        <v>0</v>
      </c>
      <c r="I25" s="56">
        <f t="shared" si="0"/>
        <v>6</v>
      </c>
      <c r="J25" s="56">
        <f t="shared" si="1"/>
        <v>368</v>
      </c>
      <c r="K25" s="75">
        <v>0</v>
      </c>
      <c r="L25" s="127" t="s">
        <v>159</v>
      </c>
      <c r="M25" s="126"/>
      <c r="N25" s="78" t="s">
        <v>113</v>
      </c>
      <c r="P25" s="69" t="s">
        <v>113</v>
      </c>
      <c r="Q25" s="78"/>
      <c r="S25" s="69"/>
    </row>
    <row r="26" spans="1:19">
      <c r="A26" s="57" t="s">
        <v>60</v>
      </c>
      <c r="B26" s="17">
        <v>19</v>
      </c>
      <c r="C26" s="22">
        <v>0</v>
      </c>
      <c r="D26" s="22">
        <v>19</v>
      </c>
      <c r="E26" s="22">
        <v>0</v>
      </c>
      <c r="F26" s="80">
        <v>0</v>
      </c>
      <c r="G26" s="77">
        <v>0</v>
      </c>
      <c r="H26" s="77">
        <v>0</v>
      </c>
      <c r="I26" s="56">
        <f t="shared" si="0"/>
        <v>0</v>
      </c>
      <c r="J26" s="56">
        <f t="shared" si="1"/>
        <v>19</v>
      </c>
      <c r="K26" s="75">
        <v>0</v>
      </c>
      <c r="L26" s="127" t="s">
        <v>159</v>
      </c>
      <c r="M26" s="126"/>
      <c r="N26" s="78"/>
      <c r="P26" s="69" t="s">
        <v>113</v>
      </c>
      <c r="Q26" s="78"/>
      <c r="S26" s="69"/>
    </row>
    <row r="27" spans="1:19">
      <c r="A27" s="57" t="s">
        <v>61</v>
      </c>
      <c r="B27" s="17">
        <v>395</v>
      </c>
      <c r="C27" s="22">
        <v>0</v>
      </c>
      <c r="D27" s="22">
        <f>395+6</f>
        <v>401</v>
      </c>
      <c r="E27" s="22">
        <v>0</v>
      </c>
      <c r="F27" s="76">
        <v>0</v>
      </c>
      <c r="G27" s="56">
        <v>6</v>
      </c>
      <c r="H27" s="77">
        <v>0</v>
      </c>
      <c r="I27" s="56">
        <f t="shared" si="0"/>
        <v>6</v>
      </c>
      <c r="J27" s="56">
        <f t="shared" si="1"/>
        <v>407</v>
      </c>
      <c r="K27" s="75">
        <v>0</v>
      </c>
      <c r="L27" s="127" t="s">
        <v>159</v>
      </c>
      <c r="M27" s="126"/>
      <c r="N27" s="78" t="s">
        <v>113</v>
      </c>
      <c r="P27" s="69" t="s">
        <v>113</v>
      </c>
      <c r="Q27" s="78"/>
      <c r="S27" s="69"/>
    </row>
    <row r="28" spans="1:19">
      <c r="A28" s="57" t="s">
        <v>62</v>
      </c>
      <c r="B28" s="17">
        <v>508</v>
      </c>
      <c r="C28" s="62">
        <v>16</v>
      </c>
      <c r="D28" s="62">
        <f>508+6</f>
        <v>514</v>
      </c>
      <c r="E28" s="62">
        <v>16</v>
      </c>
      <c r="F28" s="76">
        <v>0</v>
      </c>
      <c r="G28" s="56">
        <v>8</v>
      </c>
      <c r="H28" s="77">
        <v>0</v>
      </c>
      <c r="I28" s="56">
        <f t="shared" si="0"/>
        <v>8</v>
      </c>
      <c r="J28" s="56">
        <f t="shared" si="1"/>
        <v>522</v>
      </c>
      <c r="K28" s="75">
        <v>16</v>
      </c>
      <c r="L28" s="127" t="s">
        <v>159</v>
      </c>
      <c r="M28" s="126"/>
      <c r="N28" s="78" t="s">
        <v>113</v>
      </c>
      <c r="P28" s="69" t="s">
        <v>113</v>
      </c>
      <c r="Q28" s="78"/>
      <c r="S28" s="69"/>
    </row>
    <row r="29" spans="1:19">
      <c r="A29" s="57" t="s">
        <v>63</v>
      </c>
      <c r="B29" s="79">
        <v>1266</v>
      </c>
      <c r="C29" s="62">
        <v>9</v>
      </c>
      <c r="D29" s="62">
        <f>1266+28</f>
        <v>1294</v>
      </c>
      <c r="E29" s="62">
        <v>9</v>
      </c>
      <c r="F29" s="76">
        <v>0</v>
      </c>
      <c r="G29" s="56">
        <f>16+14</f>
        <v>30</v>
      </c>
      <c r="H29" s="77">
        <v>0</v>
      </c>
      <c r="I29" s="56">
        <f t="shared" si="0"/>
        <v>30</v>
      </c>
      <c r="J29" s="56">
        <f t="shared" si="1"/>
        <v>1324</v>
      </c>
      <c r="K29" s="75">
        <v>9</v>
      </c>
      <c r="L29" s="127" t="s">
        <v>159</v>
      </c>
      <c r="M29" s="126"/>
      <c r="N29" s="98" t="s">
        <v>113</v>
      </c>
      <c r="P29" s="69" t="s">
        <v>113</v>
      </c>
      <c r="Q29" s="78"/>
      <c r="S29" s="69"/>
    </row>
    <row r="30" spans="1:19">
      <c r="A30" s="57" t="s">
        <v>64</v>
      </c>
      <c r="B30" s="17">
        <v>125</v>
      </c>
      <c r="C30" s="22">
        <v>0</v>
      </c>
      <c r="D30" s="22">
        <f>125+2</f>
        <v>127</v>
      </c>
      <c r="E30" s="22">
        <v>0</v>
      </c>
      <c r="F30" s="76">
        <v>0</v>
      </c>
      <c r="G30" s="56">
        <v>2</v>
      </c>
      <c r="H30" s="77">
        <v>0</v>
      </c>
      <c r="I30" s="56">
        <f t="shared" si="0"/>
        <v>2</v>
      </c>
      <c r="J30" s="56">
        <f t="shared" si="1"/>
        <v>129</v>
      </c>
      <c r="K30" s="75">
        <v>0</v>
      </c>
      <c r="L30" s="127" t="s">
        <v>159</v>
      </c>
      <c r="M30" s="126"/>
      <c r="N30" s="78" t="s">
        <v>113</v>
      </c>
      <c r="P30" s="69" t="s">
        <v>113</v>
      </c>
      <c r="Q30" s="78"/>
      <c r="S30" s="69"/>
    </row>
    <row r="31" spans="1:19">
      <c r="A31" s="57" t="s">
        <v>65</v>
      </c>
      <c r="B31" s="17">
        <v>3</v>
      </c>
      <c r="C31" s="22">
        <v>0</v>
      </c>
      <c r="D31" s="22">
        <v>3</v>
      </c>
      <c r="E31" s="22">
        <v>0</v>
      </c>
      <c r="F31" s="80">
        <v>0</v>
      </c>
      <c r="G31" s="77">
        <v>0</v>
      </c>
      <c r="H31" s="77">
        <v>0</v>
      </c>
      <c r="I31" s="56">
        <f t="shared" si="0"/>
        <v>0</v>
      </c>
      <c r="J31" s="56">
        <f t="shared" si="1"/>
        <v>3</v>
      </c>
      <c r="K31" s="75">
        <v>0</v>
      </c>
      <c r="L31" s="127" t="s">
        <v>159</v>
      </c>
      <c r="M31" s="126"/>
      <c r="N31" s="78"/>
      <c r="P31" s="69" t="s">
        <v>113</v>
      </c>
      <c r="Q31" s="78"/>
      <c r="S31" s="69"/>
    </row>
    <row r="32" spans="1:19">
      <c r="A32" s="57" t="s">
        <v>66</v>
      </c>
      <c r="B32" s="17">
        <v>399</v>
      </c>
      <c r="C32" s="22">
        <v>0</v>
      </c>
      <c r="D32" s="22">
        <f>399+6</f>
        <v>405</v>
      </c>
      <c r="E32" s="22">
        <v>0</v>
      </c>
      <c r="F32" s="76">
        <v>0</v>
      </c>
      <c r="G32" s="56">
        <v>5</v>
      </c>
      <c r="H32" s="77">
        <v>0</v>
      </c>
      <c r="I32" s="56">
        <f t="shared" si="0"/>
        <v>5</v>
      </c>
      <c r="J32" s="56">
        <f t="shared" si="1"/>
        <v>410</v>
      </c>
      <c r="K32" s="75">
        <v>0</v>
      </c>
      <c r="L32" s="127" t="s">
        <v>159</v>
      </c>
      <c r="M32" s="126"/>
      <c r="N32" s="78" t="s">
        <v>113</v>
      </c>
      <c r="P32" s="69" t="s">
        <v>113</v>
      </c>
      <c r="Q32" s="78"/>
      <c r="S32" s="69"/>
    </row>
    <row r="33" spans="1:19">
      <c r="A33" s="57" t="s">
        <v>67</v>
      </c>
      <c r="B33" s="79">
        <v>4029</v>
      </c>
      <c r="C33" s="62">
        <v>2</v>
      </c>
      <c r="D33" s="62">
        <f>4029+100</f>
        <v>4129</v>
      </c>
      <c r="E33" s="62">
        <v>2</v>
      </c>
      <c r="F33" s="76">
        <v>0</v>
      </c>
      <c r="G33" s="56">
        <f>46+49</f>
        <v>95</v>
      </c>
      <c r="H33" s="77">
        <v>0</v>
      </c>
      <c r="I33" s="56">
        <f t="shared" si="0"/>
        <v>95</v>
      </c>
      <c r="J33" s="56">
        <f t="shared" si="1"/>
        <v>4224</v>
      </c>
      <c r="K33" s="75">
        <v>2</v>
      </c>
      <c r="L33" s="127" t="s">
        <v>159</v>
      </c>
      <c r="M33" s="126"/>
      <c r="N33" s="98" t="s">
        <v>113</v>
      </c>
      <c r="O33" s="6"/>
      <c r="P33" s="23" t="s">
        <v>113</v>
      </c>
      <c r="Q33" s="78"/>
      <c r="S33" s="69"/>
    </row>
    <row r="34" spans="1:19" s="2" customFormat="1">
      <c r="A34" s="51" t="s">
        <v>32</v>
      </c>
      <c r="B34" s="32">
        <f t="shared" ref="B34:K34" si="2">SUM(B13:B33)</f>
        <v>40279</v>
      </c>
      <c r="C34" s="81">
        <f t="shared" si="2"/>
        <v>136</v>
      </c>
      <c r="D34" s="81">
        <f>SUM(D13:D33)</f>
        <v>41035</v>
      </c>
      <c r="E34" s="81">
        <v>136</v>
      </c>
      <c r="F34" s="197">
        <f t="shared" si="2"/>
        <v>120</v>
      </c>
      <c r="G34" s="58">
        <f t="shared" si="2"/>
        <v>809</v>
      </c>
      <c r="H34" s="82">
        <f>SUM(H13:H33)</f>
        <v>-60</v>
      </c>
      <c r="I34" s="58">
        <f>SUM(I13:I33)</f>
        <v>869</v>
      </c>
      <c r="J34" s="58">
        <f>SUM(J13:J33)</f>
        <v>41904</v>
      </c>
      <c r="K34" s="82">
        <f t="shared" si="2"/>
        <v>136</v>
      </c>
      <c r="L34" s="127" t="s">
        <v>159</v>
      </c>
      <c r="M34" s="126"/>
      <c r="N34" s="85" t="s">
        <v>113</v>
      </c>
      <c r="O34" s="2" t="s">
        <v>113</v>
      </c>
      <c r="P34" s="84" t="s">
        <v>113</v>
      </c>
    </row>
    <row r="35" spans="1:19">
      <c r="A35" s="57" t="s">
        <v>69</v>
      </c>
      <c r="B35" s="79">
        <v>1112</v>
      </c>
      <c r="C35" s="22">
        <v>0</v>
      </c>
      <c r="D35" s="22">
        <f>1112+756</f>
        <v>1868</v>
      </c>
      <c r="E35" s="22">
        <v>0</v>
      </c>
      <c r="F35" s="80">
        <v>0</v>
      </c>
      <c r="G35" s="77">
        <v>4</v>
      </c>
      <c r="H35" s="77">
        <v>-60</v>
      </c>
      <c r="I35" s="77">
        <f>SUM(F35:H35)</f>
        <v>-56</v>
      </c>
      <c r="J35" s="56">
        <f>+D35+I35</f>
        <v>1812</v>
      </c>
      <c r="K35" s="75">
        <v>0</v>
      </c>
      <c r="L35" s="127" t="s">
        <v>159</v>
      </c>
      <c r="M35" s="126"/>
      <c r="N35" s="78"/>
    </row>
    <row r="36" spans="1:19">
      <c r="A36" s="57" t="s">
        <v>68</v>
      </c>
      <c r="B36" s="79">
        <f>+B34-B35</f>
        <v>39167</v>
      </c>
      <c r="C36" s="62">
        <v>136</v>
      </c>
      <c r="D36" s="62">
        <v>39167</v>
      </c>
      <c r="E36" s="62">
        <v>136</v>
      </c>
      <c r="F36" s="198">
        <f>+F34-F35</f>
        <v>120</v>
      </c>
      <c r="G36" s="56">
        <f>+G34-G35</f>
        <v>805</v>
      </c>
      <c r="H36" s="77">
        <f>+H34-H35</f>
        <v>0</v>
      </c>
      <c r="I36" s="56">
        <f>SUM(F36:H36)</f>
        <v>925</v>
      </c>
      <c r="J36" s="56">
        <f>+D36+I36</f>
        <v>40092</v>
      </c>
      <c r="K36" s="75">
        <v>136</v>
      </c>
      <c r="L36" s="127" t="s">
        <v>159</v>
      </c>
      <c r="M36" s="126"/>
      <c r="N36" s="78"/>
    </row>
    <row r="37" spans="1:19" s="2" customFormat="1">
      <c r="A37" s="51" t="s">
        <v>32</v>
      </c>
      <c r="B37" s="32">
        <f t="shared" ref="B37:K37" si="3">+B35+B36</f>
        <v>40279</v>
      </c>
      <c r="C37" s="81">
        <f t="shared" si="3"/>
        <v>136</v>
      </c>
      <c r="D37" s="81">
        <f>SUM(D35:D36)</f>
        <v>41035</v>
      </c>
      <c r="E37" s="81">
        <v>136</v>
      </c>
      <c r="F37" s="197">
        <f t="shared" si="3"/>
        <v>120</v>
      </c>
      <c r="G37" s="58">
        <f t="shared" si="3"/>
        <v>809</v>
      </c>
      <c r="H37" s="82">
        <f t="shared" si="3"/>
        <v>-60</v>
      </c>
      <c r="I37" s="58">
        <f t="shared" si="3"/>
        <v>869</v>
      </c>
      <c r="J37" s="58">
        <f>+J35+J36</f>
        <v>41904</v>
      </c>
      <c r="K37" s="82">
        <f t="shared" si="3"/>
        <v>136</v>
      </c>
      <c r="L37" s="127" t="s">
        <v>161</v>
      </c>
      <c r="M37" s="126"/>
      <c r="N37" s="85"/>
    </row>
    <row r="38" spans="1:19">
      <c r="A38" s="6"/>
      <c r="B38" s="6"/>
      <c r="C38" s="23"/>
      <c r="D38" s="23"/>
      <c r="E38" s="23"/>
      <c r="F38" s="73"/>
      <c r="G38" s="23"/>
      <c r="H38" s="23"/>
      <c r="I38" s="23"/>
      <c r="J38" s="23"/>
      <c r="K38" s="23"/>
      <c r="N38" s="78"/>
    </row>
    <row r="39" spans="1:19">
      <c r="A39" s="1" t="s">
        <v>113</v>
      </c>
      <c r="C39" s="69"/>
      <c r="D39" s="69"/>
      <c r="E39" s="69"/>
      <c r="G39" s="69"/>
      <c r="H39" s="69"/>
      <c r="I39" s="69"/>
      <c r="J39" s="69"/>
      <c r="K39" s="69"/>
      <c r="L39" s="69"/>
      <c r="M39" s="69"/>
      <c r="N39" s="78"/>
    </row>
    <row r="40" spans="1:19">
      <c r="G40" s="69"/>
      <c r="H40" s="69"/>
      <c r="I40" s="69"/>
      <c r="J40" s="69"/>
      <c r="K40" s="69"/>
      <c r="L40" s="69"/>
      <c r="M40" s="69"/>
      <c r="N40" s="78"/>
    </row>
    <row r="41" spans="1:19">
      <c r="H41" s="69"/>
      <c r="I41" s="69"/>
      <c r="J41" s="69"/>
      <c r="K41" s="69"/>
      <c r="L41" s="69"/>
      <c r="M41" s="69"/>
      <c r="N41" s="78"/>
    </row>
  </sheetData>
  <mergeCells count="3">
    <mergeCell ref="D8:E9"/>
    <mergeCell ref="B8:C9"/>
    <mergeCell ref="F8:K9"/>
  </mergeCells>
  <phoneticPr fontId="0" type="noConversion"/>
  <pageMargins left="0.31" right="0.3" top="1" bottom="0.52" header="0.5" footer="0.17"/>
  <pageSetup scale="77" orientation="landscape" r:id="rId1"/>
  <headerFooter scaleWithDoc="0" alignWithMargins="0">
    <oddFooter>&amp;C&amp;"Times New Roman,Regular"Exhibit I:  Detail of Permanent Positions by Category</oddFooter>
  </headerFooter>
  <rowBreaks count="1" manualBreakCount="1">
    <brk id="37"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19</vt:i4>
      </vt:variant>
    </vt:vector>
  </HeadingPairs>
  <TitlesOfParts>
    <vt:vector size="35" baseType="lpstr">
      <vt:lpstr>A. Org. Chart</vt:lpstr>
      <vt:lpstr>B. Summary of Requirements</vt:lpstr>
      <vt:lpstr>C. Increases Offsets</vt:lpstr>
      <vt:lpstr>D. Strategic Goal</vt:lpstr>
      <vt:lpstr>E. ATB Justification</vt:lpstr>
      <vt:lpstr>F. 2011 Crosswalk</vt:lpstr>
      <vt:lpstr>G. 2012 Crosswalk</vt:lpstr>
      <vt:lpstr>H. Summary of Reimb. Resources</vt:lpstr>
      <vt:lpstr>I. Permanent Positons</vt:lpstr>
      <vt:lpstr>J. Financial Analysis</vt:lpstr>
      <vt:lpstr>K. Summary by Grade</vt:lpstr>
      <vt:lpstr>L. Summary by Object Class</vt:lpstr>
      <vt:lpstr>M. Studies</vt:lpstr>
      <vt:lpstr>N. Summary by Appropriation</vt:lpstr>
      <vt:lpstr>O. Summary of Change</vt:lpstr>
      <vt:lpstr>P. PCA Worksheet</vt:lpstr>
      <vt:lpstr>'A. Org. Chart'!Print_Area</vt:lpstr>
      <vt:lpstr>'B. Summary of Requirements'!Print_Area</vt:lpstr>
      <vt:lpstr>'C. Increases Offsets'!Print_Area</vt:lpstr>
      <vt:lpstr>'D. Strategic Goal'!Print_Area</vt:lpstr>
      <vt:lpstr>'E. ATB Justification'!Print_Area</vt:lpstr>
      <vt:lpstr>'F. 2011 Crosswalk'!Print_Area</vt:lpstr>
      <vt:lpstr>'G. 2012 Crosswalk'!Print_Area</vt:lpstr>
      <vt:lpstr>'H. Summary of Reimb. Resources'!Print_Area</vt:lpstr>
      <vt:lpstr>'I. Permanent Positons'!Print_Area</vt:lpstr>
      <vt:lpstr>'J. Financial Analysis'!Print_Area</vt:lpstr>
      <vt:lpstr>'K. Summary by Grade'!Print_Area</vt:lpstr>
      <vt:lpstr>'L. Summary by Object Class'!Print_Area</vt:lpstr>
      <vt:lpstr>'M. Studies'!Print_Area</vt:lpstr>
      <vt:lpstr>'N. Summary by Appropriation'!Print_Area</vt:lpstr>
      <vt:lpstr>'O. Summary of Change'!Print_Area</vt:lpstr>
      <vt:lpstr>'P. PCA Worksheet'!Print_Area</vt:lpstr>
      <vt:lpstr>Print_Area</vt:lpstr>
      <vt:lpstr>'E. ATB Justification'!Print_Titles</vt:lpstr>
      <vt:lpstr>'J. Financial Analysis'!Print_Titles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bop0968</dc:creator>
  <cp:lastModifiedBy>DOJ</cp:lastModifiedBy>
  <cp:lastPrinted>2012-02-08T18:53:22Z</cp:lastPrinted>
  <dcterms:created xsi:type="dcterms:W3CDTF">2006-12-18T16:48:27Z</dcterms:created>
  <dcterms:modified xsi:type="dcterms:W3CDTF">2012-02-08T19:37:35Z</dcterms:modified>
</cp:coreProperties>
</file>