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firstSheet="8" activeTab="12"/>
  </bookViews>
  <sheets>
    <sheet name="A. Organization Chart" sheetId="2" r:id="rId1"/>
    <sheet name="B. Summary of Requirements " sheetId="3" r:id="rId2"/>
    <sheet name="C. Increases Offsets" sheetId="4" r:id="rId3"/>
    <sheet name="D. Strategic Goals &amp; Objectives" sheetId="5" r:id="rId4"/>
    <sheet name="E. ATB Justification" sheetId="6" r:id="rId5"/>
    <sheet name="F. 2011 Crosswalk" sheetId="7" r:id="rId6"/>
    <sheet name="(G) 2012 Crosswalk" sheetId="8" r:id="rId7"/>
    <sheet name="H. Reimbursable Resources" sheetId="9" r:id="rId8"/>
    <sheet name="I. Permanent Positions" sheetId="10" r:id="rId9"/>
    <sheet name="J. Financial Analysis" sheetId="11" r:id="rId10"/>
    <sheet name="K. Summary by Grade" sheetId="12" r:id="rId11"/>
    <sheet name="L. Summary by Object Class" sheetId="13" r:id="rId12"/>
    <sheet name="(M) Studies" sheetId="14" r:id="rId13"/>
  </sheets>
  <externalReferences>
    <externalReference r:id="rId14"/>
    <externalReference r:id="rId15"/>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DL" localSheetId="1">'B. Summary of Requirements '!$A$3:$X$66</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2012 Crosswalk'!$A$1:$R$24</definedName>
    <definedName name="_xlnm.Print_Area" localSheetId="12">'(M) Studies'!$A$1:$J$18</definedName>
    <definedName name="_xlnm.Print_Area" localSheetId="0">'A. Organization Chart'!$A$1:$N$29</definedName>
    <definedName name="_xlnm.Print_Area" localSheetId="1">'B. Summary of Requirements '!$A$1:$X$73</definedName>
    <definedName name="_xlnm.Print_Area" localSheetId="2">'C. Increases Offsets'!$A$1:$K$21</definedName>
    <definedName name="_xlnm.Print_Area" localSheetId="3">'D. Strategic Goals &amp; Objectives'!$A$1:$P$37</definedName>
    <definedName name="_xlnm.Print_Area" localSheetId="4">'E. ATB Justification'!$A$1:$I$36</definedName>
    <definedName name="_xlnm.Print_Area" localSheetId="5">'F. 2011 Crosswalk'!$A$1:$O$31</definedName>
    <definedName name="_xlnm.Print_Area" localSheetId="7">'H. Reimbursable Resources'!$A$1:$M$36</definedName>
    <definedName name="_xlnm.Print_Area" localSheetId="8">'I. Permanent Positions'!$A$1:$K$27</definedName>
    <definedName name="_xlnm.Print_Area" localSheetId="9">'J. Financial Analysis'!$A$1:$G$25</definedName>
    <definedName name="_xlnm.Print_Area" localSheetId="10">'K. Summary by Grade'!$A$1:$I$34</definedName>
    <definedName name="_xlnm.Print_Area" localSheetId="11">'L. Summary by Object Class'!$A$1:$K$45</definedName>
    <definedName name="_xlnm.Print_Area">#REF!</definedName>
    <definedName name="REIMPRO" localSheetId="7">'H. Reimbursable Resources'!$A$1:$M$35</definedName>
    <definedName name="REIMPRO">#REF!</definedName>
    <definedName name="REIMSOR" localSheetId="7">'H. Reimbursable Resources'!$O$38:$AE$49</definedName>
    <definedName name="REIMSOR">#REF!</definedName>
    <definedName name="Z_12C66D54_5067_4346_818B_6EAB1C8A9183_.wvu.Cols" localSheetId="6" hidden="1">'(G) 2012 Crosswalk'!$H:$J</definedName>
    <definedName name="Z_12C66D54_5067_4346_818B_6EAB1C8A9183_.wvu.Cols" localSheetId="11" hidden="1">'L. Summary by Object Class'!$J:$L</definedName>
    <definedName name="Z_12C66D54_5067_4346_818B_6EAB1C8A9183_.wvu.PrintArea" localSheetId="6" hidden="1">'(G) 2012 Crosswalk'!$A$1:$R$24</definedName>
    <definedName name="Z_12C66D54_5067_4346_818B_6EAB1C8A9183_.wvu.PrintArea" localSheetId="12" hidden="1">'(M) Studies'!$A$1:$J$18</definedName>
    <definedName name="Z_12C66D54_5067_4346_818B_6EAB1C8A9183_.wvu.PrintArea" localSheetId="0" hidden="1">'A. Organization Chart'!$A$1:$N$29</definedName>
    <definedName name="Z_12C66D54_5067_4346_818B_6EAB1C8A9183_.wvu.PrintArea" localSheetId="1" hidden="1">'B. Summary of Requirements '!$A$1:$X$73</definedName>
    <definedName name="Z_12C66D54_5067_4346_818B_6EAB1C8A9183_.wvu.PrintArea" localSheetId="2" hidden="1">'C. Increases Offsets'!$A$1:$K$21</definedName>
    <definedName name="Z_12C66D54_5067_4346_818B_6EAB1C8A9183_.wvu.PrintArea" localSheetId="3" hidden="1">'D. Strategic Goals &amp; Objectives'!$A$1:$P$37</definedName>
    <definedName name="Z_12C66D54_5067_4346_818B_6EAB1C8A9183_.wvu.PrintArea" localSheetId="4" hidden="1">'E. ATB Justification'!$A$1:$I$36</definedName>
    <definedName name="Z_12C66D54_5067_4346_818B_6EAB1C8A9183_.wvu.PrintArea" localSheetId="5" hidden="1">'F. 2011 Crosswalk'!$A$1:$O$31</definedName>
    <definedName name="Z_12C66D54_5067_4346_818B_6EAB1C8A9183_.wvu.PrintArea" localSheetId="7" hidden="1">'H. Reimbursable Resources'!$A$1:$M$36</definedName>
    <definedName name="Z_12C66D54_5067_4346_818B_6EAB1C8A9183_.wvu.PrintArea" localSheetId="8" hidden="1">'I. Permanent Positions'!$A$1:$K$27</definedName>
    <definedName name="Z_12C66D54_5067_4346_818B_6EAB1C8A9183_.wvu.PrintArea" localSheetId="9" hidden="1">'J. Financial Analysis'!$A$1:$G$25</definedName>
    <definedName name="Z_12C66D54_5067_4346_818B_6EAB1C8A9183_.wvu.PrintArea" localSheetId="10" hidden="1">'K. Summary by Grade'!$A$1:$I$34</definedName>
    <definedName name="Z_12C66D54_5067_4346_818B_6EAB1C8A9183_.wvu.PrintArea" localSheetId="11" hidden="1">'L. Summary by Object Class'!$A$1:$K$45</definedName>
    <definedName name="Z_12C66D54_5067_4346_818B_6EAB1C8A9183_.wvu.Rows" localSheetId="3" hidden="1">'D. Strategic Goals &amp; Objectives'!$10:$10</definedName>
    <definedName name="Z_3118AF25_8423_420A_806A_487665220C68_.wvu.Cols" localSheetId="6" hidden="1">'(G) 2012 Crosswalk'!$H:$J</definedName>
    <definedName name="Z_3118AF25_8423_420A_806A_487665220C68_.wvu.Cols" localSheetId="11" hidden="1">'L. Summary by Object Class'!$J:$L</definedName>
    <definedName name="Z_3118AF25_8423_420A_806A_487665220C68_.wvu.PrintArea" localSheetId="6" hidden="1">'(G) 2012 Crosswalk'!$A$1:$R$24</definedName>
    <definedName name="Z_3118AF25_8423_420A_806A_487665220C68_.wvu.PrintArea" localSheetId="12" hidden="1">'(M) Studies'!$A$1:$J$18</definedName>
    <definedName name="Z_3118AF25_8423_420A_806A_487665220C68_.wvu.PrintArea" localSheetId="0" hidden="1">'A. Organization Chart'!$A$1:$N$29</definedName>
    <definedName name="Z_3118AF25_8423_420A_806A_487665220C68_.wvu.PrintArea" localSheetId="1" hidden="1">'B. Summary of Requirements '!$A$1:$X$73</definedName>
    <definedName name="Z_3118AF25_8423_420A_806A_487665220C68_.wvu.PrintArea" localSheetId="2" hidden="1">'C. Increases Offsets'!$A$1:$K$21</definedName>
    <definedName name="Z_3118AF25_8423_420A_806A_487665220C68_.wvu.PrintArea" localSheetId="3" hidden="1">'D. Strategic Goals &amp; Objectives'!$A$1:$P$37</definedName>
    <definedName name="Z_3118AF25_8423_420A_806A_487665220C68_.wvu.PrintArea" localSheetId="4" hidden="1">'E. ATB Justification'!$A$1:$I$36</definedName>
    <definedName name="Z_3118AF25_8423_420A_806A_487665220C68_.wvu.PrintArea" localSheetId="5" hidden="1">'F. 2011 Crosswalk'!$A$1:$O$31</definedName>
    <definedName name="Z_3118AF25_8423_420A_806A_487665220C68_.wvu.PrintArea" localSheetId="7" hidden="1">'H. Reimbursable Resources'!$A$1:$M$36</definedName>
    <definedName name="Z_3118AF25_8423_420A_806A_487665220C68_.wvu.PrintArea" localSheetId="8" hidden="1">'I. Permanent Positions'!$A$1:$K$27</definedName>
    <definedName name="Z_3118AF25_8423_420A_806A_487665220C68_.wvu.PrintArea" localSheetId="9" hidden="1">'J. Financial Analysis'!$A$1:$G$25</definedName>
    <definedName name="Z_3118AF25_8423_420A_806A_487665220C68_.wvu.PrintArea" localSheetId="10" hidden="1">'K. Summary by Grade'!$A$1:$I$34</definedName>
    <definedName name="Z_3118AF25_8423_420A_806A_487665220C68_.wvu.PrintArea" localSheetId="11" hidden="1">'L. Summary by Object Class'!$A$1:$K$45</definedName>
    <definedName name="Z_3118AF25_8423_420A_806A_487665220C68_.wvu.Rows" localSheetId="3" hidden="1">'D. Strategic Goals &amp; Objectives'!$10:$10</definedName>
    <definedName name="Z_4148B88B_8ED7_4FDE_9459_DEB244AD0552_.wvu.Cols" localSheetId="6" hidden="1">'(G) 2012 Crosswalk'!$H:$J</definedName>
    <definedName name="Z_4148B88B_8ED7_4FDE_9459_DEB244AD0552_.wvu.Cols" localSheetId="5" hidden="1">'F. 2011 Crosswalk'!#REF!</definedName>
    <definedName name="Z_4148B88B_8ED7_4FDE_9459_DEB244AD0552_.wvu.Cols" localSheetId="11" hidden="1">'L. Summary by Object Class'!$J:$L</definedName>
    <definedName name="Z_4148B88B_8ED7_4FDE_9459_DEB244AD0552_.wvu.PrintArea" localSheetId="6" hidden="1">'(G) 2012 Crosswalk'!$A$1:$R$24</definedName>
    <definedName name="Z_4148B88B_8ED7_4FDE_9459_DEB244AD0552_.wvu.PrintArea" localSheetId="12" hidden="1">'(M) Studies'!$A$1:$J$18</definedName>
    <definedName name="Z_4148B88B_8ED7_4FDE_9459_DEB244AD0552_.wvu.PrintArea" localSheetId="0" hidden="1">'A. Organization Chart'!$A$1:$N$29</definedName>
    <definedName name="Z_4148B88B_8ED7_4FDE_9459_DEB244AD0552_.wvu.PrintArea" localSheetId="1" hidden="1">'B. Summary of Requirements '!$A$1:$X$73</definedName>
    <definedName name="Z_4148B88B_8ED7_4FDE_9459_DEB244AD0552_.wvu.PrintArea" localSheetId="2" hidden="1">'C. Increases Offsets'!$A$1:$K$21</definedName>
    <definedName name="Z_4148B88B_8ED7_4FDE_9459_DEB244AD0552_.wvu.PrintArea" localSheetId="3" hidden="1">'D. Strategic Goals &amp; Objectives'!$A$1:$P$37</definedName>
    <definedName name="Z_4148B88B_8ED7_4FDE_9459_DEB244AD0552_.wvu.PrintArea" localSheetId="4" hidden="1">'E. ATB Justification'!$A$1:$I$36</definedName>
    <definedName name="Z_4148B88B_8ED7_4FDE_9459_DEB244AD0552_.wvu.PrintArea" localSheetId="5" hidden="1">'F. 2011 Crosswalk'!$A$1:$O$31</definedName>
    <definedName name="Z_4148B88B_8ED7_4FDE_9459_DEB244AD0552_.wvu.PrintArea" localSheetId="7" hidden="1">'H. Reimbursable Resources'!$A$1:$M$36</definedName>
    <definedName name="Z_4148B88B_8ED7_4FDE_9459_DEB244AD0552_.wvu.PrintArea" localSheetId="8" hidden="1">'I. Permanent Positions'!$A$1:$K$27</definedName>
    <definedName name="Z_4148B88B_8ED7_4FDE_9459_DEB244AD0552_.wvu.PrintArea" localSheetId="9" hidden="1">'J. Financial Analysis'!$A$1:$G$25</definedName>
    <definedName name="Z_4148B88B_8ED7_4FDE_9459_DEB244AD0552_.wvu.PrintArea" localSheetId="10" hidden="1">'K. Summary by Grade'!$A$1:$I$34</definedName>
    <definedName name="Z_4148B88B_8ED7_4FDE_9459_DEB244AD0552_.wvu.PrintArea" localSheetId="11" hidden="1">'L. Summary by Object Class'!$A$1:$K$45</definedName>
    <definedName name="Z_4148B88B_8ED7_4FDE_9459_DEB244AD0552_.wvu.Rows" localSheetId="3" hidden="1">'D. Strategic Goals &amp; Objectives'!$10:$10</definedName>
    <definedName name="Z_56C0A34E_45B4_448B_85E5_70B3A8E63333_.wvu.Cols" localSheetId="11" hidden="1">'L. Summary by Object Class'!$J:$L</definedName>
    <definedName name="Z_56C0A34E_45B4_448B_85E5_70B3A8E63333_.wvu.PrintArea" localSheetId="6" hidden="1">'(G) 2012 Crosswalk'!$A$1:$R$24</definedName>
    <definedName name="Z_56C0A34E_45B4_448B_85E5_70B3A8E63333_.wvu.PrintArea" localSheetId="12" hidden="1">'(M) Studies'!$A$1:$J$18</definedName>
    <definedName name="Z_56C0A34E_45B4_448B_85E5_70B3A8E63333_.wvu.PrintArea" localSheetId="0" hidden="1">'A. Organization Chart'!$A$1:$N$29</definedName>
    <definedName name="Z_56C0A34E_45B4_448B_85E5_70B3A8E63333_.wvu.PrintArea" localSheetId="1" hidden="1">'B. Summary of Requirements '!$A$1:$X$73</definedName>
    <definedName name="Z_56C0A34E_45B4_448B_85E5_70B3A8E63333_.wvu.PrintArea" localSheetId="2" hidden="1">'C. Increases Offsets'!$A$1:$K$21</definedName>
    <definedName name="Z_56C0A34E_45B4_448B_85E5_70B3A8E63333_.wvu.PrintArea" localSheetId="3" hidden="1">'D. Strategic Goals &amp; Objectives'!$A$1:$P$37</definedName>
    <definedName name="Z_56C0A34E_45B4_448B_85E5_70B3A8E63333_.wvu.PrintArea" localSheetId="4" hidden="1">'E. ATB Justification'!$A$1:$I$36</definedName>
    <definedName name="Z_56C0A34E_45B4_448B_85E5_70B3A8E63333_.wvu.PrintArea" localSheetId="5" hidden="1">'F. 2011 Crosswalk'!$A$1:$O$31</definedName>
    <definedName name="Z_56C0A34E_45B4_448B_85E5_70B3A8E63333_.wvu.PrintArea" localSheetId="7" hidden="1">'H. Reimbursable Resources'!$A$1:$M$36</definedName>
    <definedName name="Z_56C0A34E_45B4_448B_85E5_70B3A8E63333_.wvu.PrintArea" localSheetId="8" hidden="1">'I. Permanent Positions'!$A$1:$K$27</definedName>
    <definedName name="Z_56C0A34E_45B4_448B_85E5_70B3A8E63333_.wvu.PrintArea" localSheetId="9" hidden="1">'J. Financial Analysis'!$A$1:$G$25</definedName>
    <definedName name="Z_56C0A34E_45B4_448B_85E5_70B3A8E63333_.wvu.PrintArea" localSheetId="10" hidden="1">'K. Summary by Grade'!$A$1:$I$34</definedName>
    <definedName name="Z_56C0A34E_45B4_448B_85E5_70B3A8E63333_.wvu.PrintArea" localSheetId="11" hidden="1">'L. Summary by Object Class'!$A$1:$K$45</definedName>
    <definedName name="Z_56C0A34E_45B4_448B_85E5_70B3A8E63333_.wvu.Rows" localSheetId="3" hidden="1">'D. Strategic Goals &amp; Objectives'!$10:$10</definedName>
    <definedName name="Z_87EA6C51_A281_4696_9262_A16F553E7025_.wvu.Cols" localSheetId="6" hidden="1">'(G) 2012 Crosswalk'!$H:$J</definedName>
    <definedName name="Z_87EA6C51_A281_4696_9262_A16F553E7025_.wvu.Cols" localSheetId="11" hidden="1">'L. Summary by Object Class'!$J:$L</definedName>
    <definedName name="Z_87EA6C51_A281_4696_9262_A16F553E7025_.wvu.PrintArea" localSheetId="6" hidden="1">'(G) 2012 Crosswalk'!$A$1:$R$24</definedName>
    <definedName name="Z_87EA6C51_A281_4696_9262_A16F553E7025_.wvu.PrintArea" localSheetId="12" hidden="1">'(M) Studies'!$A$1:$J$18</definedName>
    <definedName name="Z_87EA6C51_A281_4696_9262_A16F553E7025_.wvu.PrintArea" localSheetId="0" hidden="1">'A. Organization Chart'!$A$1:$N$29</definedName>
    <definedName name="Z_87EA6C51_A281_4696_9262_A16F553E7025_.wvu.PrintArea" localSheetId="1" hidden="1">'B. Summary of Requirements '!$A$1:$X$73</definedName>
    <definedName name="Z_87EA6C51_A281_4696_9262_A16F553E7025_.wvu.PrintArea" localSheetId="2" hidden="1">'C. Increases Offsets'!$A$1:$K$21</definedName>
    <definedName name="Z_87EA6C51_A281_4696_9262_A16F553E7025_.wvu.PrintArea" localSheetId="3" hidden="1">'D. Strategic Goals &amp; Objectives'!$A$1:$P$37</definedName>
    <definedName name="Z_87EA6C51_A281_4696_9262_A16F553E7025_.wvu.PrintArea" localSheetId="4" hidden="1">'E. ATB Justification'!$A$1:$I$36</definedName>
    <definedName name="Z_87EA6C51_A281_4696_9262_A16F553E7025_.wvu.PrintArea" localSheetId="5" hidden="1">'F. 2011 Crosswalk'!$A$1:$O$31</definedName>
    <definedName name="Z_87EA6C51_A281_4696_9262_A16F553E7025_.wvu.PrintArea" localSheetId="7" hidden="1">'H. Reimbursable Resources'!$A$1:$M$36</definedName>
    <definedName name="Z_87EA6C51_A281_4696_9262_A16F553E7025_.wvu.PrintArea" localSheetId="8" hidden="1">'I. Permanent Positions'!$A$1:$K$27</definedName>
    <definedName name="Z_87EA6C51_A281_4696_9262_A16F553E7025_.wvu.PrintArea" localSheetId="9" hidden="1">'J. Financial Analysis'!$A$1:$G$25</definedName>
    <definedName name="Z_87EA6C51_A281_4696_9262_A16F553E7025_.wvu.PrintArea" localSheetId="10" hidden="1">'K. Summary by Grade'!$A$1:$I$34</definedName>
    <definedName name="Z_87EA6C51_A281_4696_9262_A16F553E7025_.wvu.PrintArea" localSheetId="11" hidden="1">'L. Summary by Object Class'!$A$1:$K$45</definedName>
    <definedName name="Z_87EA6C51_A281_4696_9262_A16F553E7025_.wvu.Rows" localSheetId="3" hidden="1">'D. Strategic Goals &amp; Objectives'!$10:$10</definedName>
  </definedNames>
  <calcPr calcId="125725"/>
  <customWorkbookViews>
    <customWorkbookView name="mschneck - Personal View" guid="{3118AF25-8423-420A-806A-487665220C68}" mergeInterval="0" personalView="1" maximized="1" xWindow="1" yWindow="1" windowWidth="1680" windowHeight="797" tabRatio="889" activeSheetId="14" showComments="commIndAndComment"/>
    <customWorkbookView name="debjones - Personal View" guid="{56C0A34E-45B4-448B-85E5-70B3A8E63333}" mergeInterval="0" personalView="1" maximized="1" xWindow="1" yWindow="1" windowWidth="1680" windowHeight="820" tabRatio="889" activeSheetId="3" showComments="commIndAndComment"/>
    <customWorkbookView name="matsatt - Personal View" guid="{4148B88B-8ED7-4FDE-9459-DEB244AD0552}" mergeInterval="0" personalView="1" maximized="1" xWindow="1" yWindow="1" windowWidth="1246" windowHeight="743" tabRatio="889" activeSheetId="3"/>
    <customWorkbookView name="mcupertino - Personal View" guid="{12C66D54-5067-4346-818B-6EAB1C8A9183}" mergeInterval="0" personalView="1" maximized="1" xWindow="1" yWindow="1" windowWidth="1280" windowHeight="833" tabRatio="889" activeSheetId="1"/>
    <customWorkbookView name="mcvrkel - Personal View" guid="{87EA6C51-A281-4696-9262-A16F553E7025}" mergeInterval="0" personalView="1" maximized="1" xWindow="1" yWindow="1" windowWidth="1052" windowHeight="655" tabRatio="889" activeSheetId="2"/>
  </customWorkbookViews>
</workbook>
</file>

<file path=xl/calcChain.xml><?xml version="1.0" encoding="utf-8"?>
<calcChain xmlns="http://schemas.openxmlformats.org/spreadsheetml/2006/main">
  <c r="C27" i="13"/>
  <c r="G27"/>
  <c r="E11"/>
  <c r="E27"/>
  <c r="C30"/>
  <c r="C10"/>
  <c r="B16" l="1"/>
  <c r="C21"/>
  <c r="V43" i="3" l="1"/>
  <c r="W43"/>
  <c r="I15" i="10"/>
  <c r="I16"/>
  <c r="I17"/>
  <c r="I18"/>
  <c r="I19"/>
  <c r="I20"/>
  <c r="I21"/>
  <c r="I22"/>
  <c r="I14"/>
  <c r="I13"/>
  <c r="I12"/>
  <c r="C31" i="13"/>
  <c r="C26"/>
  <c r="R17" i="8"/>
  <c r="Q17"/>
  <c r="P17"/>
  <c r="R16"/>
  <c r="R15"/>
  <c r="Q15"/>
  <c r="P15"/>
  <c r="R14"/>
  <c r="Q14"/>
  <c r="P14"/>
  <c r="R13"/>
  <c r="Q13"/>
  <c r="P13"/>
  <c r="R12"/>
  <c r="Q12"/>
  <c r="P12"/>
  <c r="N17"/>
  <c r="M17"/>
  <c r="L17"/>
  <c r="K17"/>
  <c r="G17"/>
  <c r="F17"/>
  <c r="E17"/>
  <c r="D17"/>
  <c r="C17"/>
  <c r="B17"/>
  <c r="M17" i="7"/>
  <c r="N17"/>
  <c r="N19" s="1"/>
  <c r="O17"/>
  <c r="N18"/>
  <c r="O15"/>
  <c r="O16"/>
  <c r="N15"/>
  <c r="M15"/>
  <c r="O14"/>
  <c r="N14"/>
  <c r="M14"/>
  <c r="O13"/>
  <c r="N13"/>
  <c r="M13"/>
  <c r="O12"/>
  <c r="N12"/>
  <c r="M12"/>
  <c r="L17"/>
  <c r="K17"/>
  <c r="J17"/>
  <c r="I17"/>
  <c r="H17"/>
  <c r="G17"/>
  <c r="F17"/>
  <c r="E17"/>
  <c r="D17"/>
  <c r="C17"/>
  <c r="B17"/>
  <c r="D15"/>
  <c r="W68" i="3"/>
  <c r="N72"/>
  <c r="X26"/>
  <c r="W26"/>
  <c r="V26"/>
  <c r="D24" i="10"/>
  <c r="B24"/>
  <c r="D14" i="4"/>
  <c r="I36" i="6"/>
  <c r="I32" i="12"/>
  <c r="I31"/>
  <c r="I30"/>
  <c r="G23" i="13"/>
  <c r="G21"/>
  <c r="G24"/>
  <c r="G22"/>
  <c r="G19"/>
  <c r="G18"/>
  <c r="G25"/>
  <c r="F25" i="12" l="1"/>
  <c r="D21"/>
  <c r="F21" s="1"/>
  <c r="D20"/>
  <c r="F20" s="1"/>
  <c r="D18"/>
  <c r="F18" s="1"/>
  <c r="D17"/>
  <c r="F17" s="1"/>
  <c r="D16"/>
  <c r="F16" s="1"/>
  <c r="D15"/>
  <c r="F15" s="1"/>
  <c r="D28"/>
  <c r="F28" s="1"/>
  <c r="D27"/>
  <c r="F27" s="1"/>
  <c r="D26"/>
  <c r="F26" s="1"/>
  <c r="D25"/>
  <c r="D24"/>
  <c r="F24" s="1"/>
  <c r="D23"/>
  <c r="F23" s="1"/>
  <c r="D22"/>
  <c r="F22" s="1"/>
  <c r="D19"/>
  <c r="F19" s="1"/>
  <c r="D14"/>
  <c r="F14" s="1"/>
  <c r="D13"/>
  <c r="F13" s="1"/>
  <c r="D12"/>
  <c r="F12" s="1"/>
  <c r="B29"/>
  <c r="F24" i="11"/>
  <c r="G24"/>
  <c r="G23"/>
  <c r="F23"/>
  <c r="G22"/>
  <c r="F22"/>
  <c r="G21"/>
  <c r="F21"/>
  <c r="G20"/>
  <c r="F20"/>
  <c r="G19"/>
  <c r="F19"/>
  <c r="G16"/>
  <c r="F16"/>
  <c r="G12"/>
  <c r="F12"/>
  <c r="G11"/>
  <c r="F11"/>
  <c r="D13" i="10"/>
  <c r="J13" s="1"/>
  <c r="D22"/>
  <c r="J22" s="1"/>
  <c r="D21"/>
  <c r="J21" s="1"/>
  <c r="D20"/>
  <c r="J20" s="1"/>
  <c r="D19"/>
  <c r="J19" s="1"/>
  <c r="D18"/>
  <c r="J18" s="1"/>
  <c r="D17"/>
  <c r="J17" s="1"/>
  <c r="D16"/>
  <c r="J16" s="1"/>
  <c r="D15"/>
  <c r="J15" s="1"/>
  <c r="D14"/>
  <c r="J14" s="1"/>
  <c r="D12"/>
  <c r="J12" s="1"/>
  <c r="E13"/>
  <c r="E22"/>
  <c r="E20"/>
  <c r="K20" s="1"/>
  <c r="E19"/>
  <c r="E17"/>
  <c r="E16"/>
  <c r="E15"/>
  <c r="E14"/>
  <c r="K14" s="1"/>
  <c r="E12"/>
  <c r="K12" s="1"/>
  <c r="L33" i="9"/>
  <c r="J19"/>
  <c r="F29" i="12" l="1"/>
  <c r="D29"/>
  <c r="H12"/>
  <c r="J33" i="9"/>
  <c r="M33" s="1"/>
  <c r="G33"/>
  <c r="D33"/>
  <c r="M15"/>
  <c r="L15"/>
  <c r="K15"/>
  <c r="M14"/>
  <c r="L14"/>
  <c r="K14"/>
  <c r="M13"/>
  <c r="L13"/>
  <c r="K13"/>
  <c r="M12"/>
  <c r="L12"/>
  <c r="K12"/>
  <c r="M11"/>
  <c r="L11"/>
  <c r="K11"/>
  <c r="M10"/>
  <c r="L10"/>
  <c r="K10"/>
  <c r="M23"/>
  <c r="L23"/>
  <c r="K23"/>
  <c r="M22"/>
  <c r="L22"/>
  <c r="K22"/>
  <c r="M21"/>
  <c r="L21"/>
  <c r="K21"/>
  <c r="M20"/>
  <c r="L20"/>
  <c r="K20"/>
  <c r="M19"/>
  <c r="L19"/>
  <c r="K19"/>
  <c r="M18"/>
  <c r="L18"/>
  <c r="K18"/>
  <c r="M17"/>
  <c r="L17"/>
  <c r="K17"/>
  <c r="M16"/>
  <c r="L16"/>
  <c r="K16"/>
  <c r="M27"/>
  <c r="L27"/>
  <c r="K27"/>
  <c r="M26"/>
  <c r="L26"/>
  <c r="K26"/>
  <c r="M25"/>
  <c r="L25"/>
  <c r="K25"/>
  <c r="M24"/>
  <c r="L24"/>
  <c r="K24"/>
  <c r="G36" i="6" l="1"/>
  <c r="H36"/>
  <c r="O29" i="5" l="1"/>
  <c r="P35"/>
  <c r="I35"/>
  <c r="O35" s="1"/>
  <c r="F35"/>
  <c r="C35"/>
  <c r="L69" i="3"/>
  <c r="L67"/>
  <c r="E23" i="13"/>
  <c r="E19"/>
  <c r="E25"/>
  <c r="E22"/>
  <c r="C32"/>
  <c r="C23"/>
  <c r="C19"/>
  <c r="C18"/>
  <c r="C24" l="1"/>
  <c r="E24" s="1"/>
  <c r="C14"/>
  <c r="C13"/>
  <c r="O69" i="3" l="1"/>
  <c r="L68"/>
  <c r="O68" s="1"/>
  <c r="L66"/>
  <c r="O66" s="1"/>
  <c r="O67"/>
  <c r="K12" i="4"/>
  <c r="K19"/>
  <c r="N69" i="3"/>
  <c r="M69"/>
  <c r="N67"/>
  <c r="M67"/>
  <c r="N66"/>
  <c r="M66"/>
  <c r="K68"/>
  <c r="N68" s="1"/>
  <c r="J68"/>
  <c r="M68" s="1"/>
  <c r="W72"/>
  <c r="K31" i="9"/>
  <c r="K30"/>
  <c r="K29"/>
  <c r="K28"/>
  <c r="L31"/>
  <c r="L30"/>
  <c r="L29"/>
  <c r="L28"/>
  <c r="M31"/>
  <c r="M30"/>
  <c r="M29"/>
  <c r="M28"/>
  <c r="I32" i="13"/>
  <c r="I31"/>
  <c r="I30"/>
  <c r="I29"/>
  <c r="I28"/>
  <c r="I27"/>
  <c r="I26"/>
  <c r="I25"/>
  <c r="I24"/>
  <c r="I23"/>
  <c r="I22"/>
  <c r="I21"/>
  <c r="I20"/>
  <c r="I19"/>
  <c r="I18"/>
  <c r="H15"/>
  <c r="H14"/>
  <c r="H13"/>
  <c r="H10"/>
  <c r="H11"/>
  <c r="I15"/>
  <c r="I14"/>
  <c r="I13"/>
  <c r="I11"/>
  <c r="I10"/>
  <c r="H14" i="12"/>
  <c r="H15"/>
  <c r="H16"/>
  <c r="H17"/>
  <c r="H18"/>
  <c r="H19"/>
  <c r="H20"/>
  <c r="H21"/>
  <c r="H22"/>
  <c r="H23"/>
  <c r="H24"/>
  <c r="H25"/>
  <c r="H26"/>
  <c r="H27"/>
  <c r="H28"/>
  <c r="H13"/>
  <c r="N22" i="7"/>
  <c r="N23" s="1"/>
  <c r="N21"/>
  <c r="J30" i="5"/>
  <c r="J31"/>
  <c r="J32"/>
  <c r="I32"/>
  <c r="I31"/>
  <c r="I30"/>
  <c r="J20"/>
  <c r="J21"/>
  <c r="J22"/>
  <c r="J23"/>
  <c r="J24"/>
  <c r="J25"/>
  <c r="I25"/>
  <c r="I24"/>
  <c r="I23"/>
  <c r="I22"/>
  <c r="I21"/>
  <c r="I20"/>
  <c r="J14"/>
  <c r="J15"/>
  <c r="J16"/>
  <c r="I15"/>
  <c r="I16"/>
  <c r="I14"/>
  <c r="H29" i="12" l="1"/>
  <c r="V40" i="3"/>
  <c r="W40" l="1"/>
  <c r="X40"/>
  <c r="Q22" i="8"/>
  <c r="Q21"/>
  <c r="Q18"/>
  <c r="O17"/>
  <c r="A55" i="3"/>
  <c r="G12" i="13" l="1"/>
  <c r="F12"/>
  <c r="E12"/>
  <c r="E16" s="1"/>
  <c r="E33" s="1"/>
  <c r="D12"/>
  <c r="D16" s="1"/>
  <c r="C12"/>
  <c r="C16" s="1"/>
  <c r="C33" s="1"/>
  <c r="C39" s="1"/>
  <c r="B12"/>
  <c r="L19" i="8"/>
  <c r="L23" s="1"/>
  <c r="J17"/>
  <c r="I17"/>
  <c r="I19" s="1"/>
  <c r="I23" s="1"/>
  <c r="H17"/>
  <c r="F19"/>
  <c r="F23" s="1"/>
  <c r="C19"/>
  <c r="C23" s="1"/>
  <c r="A5"/>
  <c r="A4"/>
  <c r="X66" i="3"/>
  <c r="W66"/>
  <c r="V66"/>
  <c r="X67"/>
  <c r="X68"/>
  <c r="X69"/>
  <c r="V67"/>
  <c r="V68"/>
  <c r="V69"/>
  <c r="W67"/>
  <c r="W69"/>
  <c r="W37"/>
  <c r="W41" s="1"/>
  <c r="V37"/>
  <c r="V41" s="1"/>
  <c r="W30"/>
  <c r="W31" s="1"/>
  <c r="V30"/>
  <c r="V31" s="1"/>
  <c r="X30"/>
  <c r="X31" s="1"/>
  <c r="A4" i="5"/>
  <c r="N33"/>
  <c r="N37" s="1"/>
  <c r="M33"/>
  <c r="M37" s="1"/>
  <c r="L33"/>
  <c r="L37" s="1"/>
  <c r="K33"/>
  <c r="K37" s="1"/>
  <c r="J33"/>
  <c r="J37" s="1"/>
  <c r="I33"/>
  <c r="I37" s="1"/>
  <c r="G33"/>
  <c r="G37" s="1"/>
  <c r="F33"/>
  <c r="F37" s="1"/>
  <c r="D33"/>
  <c r="D37" s="1"/>
  <c r="C33"/>
  <c r="C37" s="1"/>
  <c r="P32"/>
  <c r="O32"/>
  <c r="P31"/>
  <c r="O31"/>
  <c r="P30"/>
  <c r="O30"/>
  <c r="P29"/>
  <c r="N26"/>
  <c r="M26"/>
  <c r="L26"/>
  <c r="K26"/>
  <c r="J26"/>
  <c r="I26"/>
  <c r="G26"/>
  <c r="F26"/>
  <c r="D26"/>
  <c r="C26"/>
  <c r="P25"/>
  <c r="O25"/>
  <c r="P24"/>
  <c r="O24"/>
  <c r="P23"/>
  <c r="O23"/>
  <c r="P22"/>
  <c r="O22"/>
  <c r="P21"/>
  <c r="O21"/>
  <c r="P20"/>
  <c r="O20"/>
  <c r="N17"/>
  <c r="M17"/>
  <c r="L17"/>
  <c r="K17"/>
  <c r="J17"/>
  <c r="I17"/>
  <c r="G17"/>
  <c r="F17"/>
  <c r="D17"/>
  <c r="C17"/>
  <c r="P16"/>
  <c r="O16"/>
  <c r="P15"/>
  <c r="O15"/>
  <c r="P14"/>
  <c r="O14"/>
  <c r="V17" i="3"/>
  <c r="W17"/>
  <c r="X17"/>
  <c r="X37"/>
  <c r="X41" s="1"/>
  <c r="D70"/>
  <c r="E70"/>
  <c r="E73" s="1"/>
  <c r="F70"/>
  <c r="G70"/>
  <c r="H70"/>
  <c r="H73" s="1"/>
  <c r="I70"/>
  <c r="J70"/>
  <c r="K70"/>
  <c r="K73" s="1"/>
  <c r="L70"/>
  <c r="M70"/>
  <c r="N70"/>
  <c r="N73" s="1"/>
  <c r="O70"/>
  <c r="P70"/>
  <c r="Q70"/>
  <c r="Q73" s="1"/>
  <c r="R70"/>
  <c r="S70"/>
  <c r="T70"/>
  <c r="T73" s="1"/>
  <c r="U70"/>
  <c r="J14" i="4"/>
  <c r="I14"/>
  <c r="G14"/>
  <c r="L28" i="13"/>
  <c r="L22"/>
  <c r="C14" i="11"/>
  <c r="C15" s="1"/>
  <c r="B14"/>
  <c r="B15" s="1"/>
  <c r="H27" i="10"/>
  <c r="I24"/>
  <c r="I26"/>
  <c r="J26" s="1"/>
  <c r="G27"/>
  <c r="C14" i="4"/>
  <c r="E14"/>
  <c r="F14"/>
  <c r="H14"/>
  <c r="I21"/>
  <c r="F21"/>
  <c r="D14" i="11"/>
  <c r="D15" s="1"/>
  <c r="D18" s="1"/>
  <c r="D25" s="1"/>
  <c r="E14"/>
  <c r="E15" s="1"/>
  <c r="E18" s="1"/>
  <c r="E25" s="1"/>
  <c r="B27" i="10"/>
  <c r="B23"/>
  <c r="I23"/>
  <c r="E23"/>
  <c r="B33" i="9"/>
  <c r="E21" i="4"/>
  <c r="C21"/>
  <c r="A5" i="13"/>
  <c r="A4"/>
  <c r="D27" i="10"/>
  <c r="J21" i="4"/>
  <c r="H21"/>
  <c r="G21"/>
  <c r="D21"/>
  <c r="K23" i="10"/>
  <c r="J23"/>
  <c r="H23"/>
  <c r="G23"/>
  <c r="F23"/>
  <c r="D23"/>
  <c r="C23"/>
  <c r="A6" i="12"/>
  <c r="A5"/>
  <c r="A5" i="11"/>
  <c r="A4"/>
  <c r="A6" i="10"/>
  <c r="A5"/>
  <c r="A4" i="6"/>
  <c r="A5" i="7"/>
  <c r="A4"/>
  <c r="A5" i="4"/>
  <c r="J16" i="13"/>
  <c r="K16"/>
  <c r="K18"/>
  <c r="L18"/>
  <c r="L19"/>
  <c r="L20"/>
  <c r="J21"/>
  <c r="L21"/>
  <c r="L23"/>
  <c r="L24"/>
  <c r="L25"/>
  <c r="L26"/>
  <c r="L27"/>
  <c r="L29"/>
  <c r="L30"/>
  <c r="L31"/>
  <c r="L32"/>
  <c r="C27" i="10"/>
  <c r="E27"/>
  <c r="F27"/>
  <c r="E33" i="9"/>
  <c r="H33"/>
  <c r="C23" i="7"/>
  <c r="F23"/>
  <c r="I23"/>
  <c r="I27" i="10" l="1"/>
  <c r="W32" i="3"/>
  <c r="W33" s="1"/>
  <c r="V32"/>
  <c r="V33" s="1"/>
  <c r="B18" i="11"/>
  <c r="B25" s="1"/>
  <c r="F15"/>
  <c r="C18"/>
  <c r="C25" s="1"/>
  <c r="G15"/>
  <c r="K33" i="9"/>
  <c r="K27" i="10"/>
  <c r="K21" i="4"/>
  <c r="X32" i="3"/>
  <c r="X33" s="1"/>
  <c r="X42" s="1"/>
  <c r="X43" s="1"/>
  <c r="H12" i="13"/>
  <c r="H16" s="1"/>
  <c r="I12"/>
  <c r="I16" s="1"/>
  <c r="I33" s="1"/>
  <c r="K33"/>
  <c r="F16"/>
  <c r="G16"/>
  <c r="G33" s="1"/>
  <c r="J33"/>
  <c r="F14" i="11"/>
  <c r="G14"/>
  <c r="J24" i="10"/>
  <c r="J27" s="1"/>
  <c r="P17" i="5"/>
  <c r="P33"/>
  <c r="P37" s="1"/>
  <c r="O26"/>
  <c r="P26"/>
  <c r="O17"/>
  <c r="O33"/>
  <c r="O37" s="1"/>
  <c r="K14" i="4"/>
  <c r="W70" i="3"/>
  <c r="W73" s="1"/>
  <c r="V70"/>
  <c r="X70"/>
  <c r="Q19" i="8"/>
  <c r="Q23" s="1"/>
  <c r="E39" i="13"/>
  <c r="F18" i="11" l="1"/>
  <c r="F25" s="1"/>
  <c r="L16" i="13"/>
  <c r="G39"/>
  <c r="L33"/>
  <c r="G18" i="11"/>
  <c r="G25" s="1"/>
  <c r="W42" i="3"/>
  <c r="V42"/>
</calcChain>
</file>

<file path=xl/sharedStrings.xml><?xml version="1.0" encoding="utf-8"?>
<sst xmlns="http://schemas.openxmlformats.org/spreadsheetml/2006/main" count="909" uniqueCount="284">
  <si>
    <t>end of line</t>
  </si>
  <si>
    <t xml:space="preserve">          Total DIRECT requirements</t>
  </si>
  <si>
    <t>23.1  GSA rent (Reimbursable)</t>
  </si>
  <si>
    <t>25.3 DHS Security (Reimbursable)</t>
  </si>
  <si>
    <t>Financial Analysis of Program Changes</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</si>
  <si>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</si>
  <si>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</si>
  <si>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</si>
  <si>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</si>
  <si>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</si>
  <si>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</si>
  <si>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</si>
  <si>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</si>
  <si>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</si>
  <si>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</si>
  <si>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</si>
  <si>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</si>
  <si>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</si>
  <si>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</si>
  <si>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</si>
  <si>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</si>
  <si>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</si>
  <si>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</si>
  <si>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</si>
  <si>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</si>
  <si>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</si>
  <si>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</si>
  <si>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</si>
  <si>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23.2 Moving/Lease Expirations/Contract Parking</t>
  </si>
  <si>
    <t>Transfers:</t>
  </si>
  <si>
    <t>Total Adjustments to Base and Technical Adjustments</t>
  </si>
  <si>
    <t xml:space="preserve">Total Adjustments to Base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</si>
  <si>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</si>
  <si>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</si>
  <si>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</si>
  <si>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</si>
  <si>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</si>
  <si>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</si>
  <si>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</si>
  <si>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</si>
  <si>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</si>
  <si>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</si>
  <si>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</si>
  <si>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</si>
  <si>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</si>
  <si>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</si>
  <si>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</si>
  <si>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</si>
  <si>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</si>
  <si>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</si>
  <si>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</si>
  <si>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</si>
  <si>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</si>
  <si>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</si>
  <si>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</si>
  <si>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</si>
  <si>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</si>
  <si>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</si>
  <si>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</si>
  <si>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</si>
  <si>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Recoveries of prior year obligations</t>
  </si>
  <si>
    <t>11.3  Other than full-time permanent</t>
  </si>
  <si>
    <t>GS-15</t>
  </si>
  <si>
    <t>GS-13</t>
  </si>
  <si>
    <t>Personnel benefits</t>
  </si>
  <si>
    <t>Equipment</t>
  </si>
  <si>
    <t>Travel and transportation of persons</t>
  </si>
  <si>
    <t>Communication, rents, and utilities</t>
  </si>
  <si>
    <t>Other services</t>
  </si>
  <si>
    <t>Supplies and materials</t>
  </si>
  <si>
    <t>Average GS Salary</t>
  </si>
  <si>
    <t>Average GS Grade</t>
  </si>
  <si>
    <t>Object Classes</t>
  </si>
  <si>
    <t>Other Object Classes:</t>
  </si>
  <si>
    <t>Summary of Requirements by Object Class</t>
  </si>
  <si>
    <t>Overtime</t>
  </si>
  <si>
    <t>Program Changes</t>
  </si>
  <si>
    <t>Total Program Changes</t>
  </si>
  <si>
    <t>Subtotal Increases</t>
  </si>
  <si>
    <t>Attorneys (905)</t>
  </si>
  <si>
    <t>Paralegals / Other Law (900-998)</t>
  </si>
  <si>
    <t>Information &amp; Arts (1000-1099)</t>
  </si>
  <si>
    <t>Business &amp; Industry (1100-1199)</t>
  </si>
  <si>
    <t>Library (1400-1499)</t>
  </si>
  <si>
    <t>Equipment/Facilities Services (1600-1699)</t>
  </si>
  <si>
    <t>Supply Services (2000-2099)</t>
  </si>
  <si>
    <t>Miscellaneous Operations (010-099)</t>
  </si>
  <si>
    <t>M.  Status of Congressionally Requested Studies, Reports, and Evaluations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</si>
  <si>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</si>
  <si>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</si>
  <si>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</si>
  <si>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</si>
  <si>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</si>
  <si>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</si>
  <si>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</si>
  <si>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</si>
  <si>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</si>
  <si>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</si>
  <si>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</si>
  <si>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</si>
  <si>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</si>
  <si>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</si>
  <si>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</si>
  <si>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</si>
  <si>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2012 template</t>
  </si>
  <si>
    <t>FY 2011 CJ Submission</t>
  </si>
  <si>
    <t>23.1  GSA rent</t>
  </si>
  <si>
    <t>25.4  Operation and maintenance of facilities</t>
  </si>
  <si>
    <t>L: Summary of Requirements by Object Class</t>
  </si>
  <si>
    <t>K: Summary of Requirements by Grade</t>
  </si>
  <si>
    <t>Program Increases</t>
  </si>
  <si>
    <t>25.5 Research and development contracts</t>
  </si>
  <si>
    <t>25.7 Operation and maintenance of equipment</t>
  </si>
  <si>
    <t>Justification for Base Adjustments</t>
  </si>
  <si>
    <t>Pay and Benefits</t>
  </si>
  <si>
    <t>POS</t>
  </si>
  <si>
    <t>Total ATB:</t>
  </si>
  <si>
    <t xml:space="preserve">Amount  </t>
  </si>
  <si>
    <t>Grades:</t>
  </si>
  <si>
    <t>(Dollars in Thousands)</t>
  </si>
  <si>
    <t>Salaries and Expenses</t>
  </si>
  <si>
    <t>Total Offsets</t>
  </si>
  <si>
    <t>Total FTE</t>
  </si>
  <si>
    <t>Reimbursable FTE</t>
  </si>
  <si>
    <t>Other FTE</t>
  </si>
  <si>
    <t>Total Compensable FTE</t>
  </si>
  <si>
    <t>Headquarters (Washington, D.C.)</t>
  </si>
  <si>
    <t>Summary of Requirements</t>
  </si>
  <si>
    <t>Reimbursable FTE:</t>
  </si>
  <si>
    <t>Total Program Increases</t>
  </si>
  <si>
    <t>Rescissions</t>
  </si>
  <si>
    <t>Supplementals</t>
  </si>
  <si>
    <t xml:space="preserve">     Subtotal Increases</t>
  </si>
  <si>
    <t>Collections by Source</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</si>
  <si>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</si>
  <si>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</si>
  <si>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</si>
  <si>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</si>
  <si>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</si>
  <si>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</si>
  <si>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</si>
  <si>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</si>
  <si>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</si>
  <si>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</si>
  <si>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</si>
  <si>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</si>
  <si>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</si>
  <si>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</si>
  <si>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</si>
  <si>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</si>
  <si>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</si>
  <si>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r>
      <t xml:space="preserve">   1.1 Prevent, disrupt, and defeat terrorist operations before they occur</t>
    </r>
    <r>
      <rPr>
        <b/>
        <sz val="10"/>
        <rFont val="Times New Roman"/>
        <family val="1"/>
      </rPr>
      <t xml:space="preserve"> </t>
    </r>
  </si>
  <si>
    <t>Subtotal, Goal 1</t>
  </si>
  <si>
    <t>Subtotal, Goal 2</t>
  </si>
  <si>
    <t>Subtotal, Goal 3</t>
  </si>
  <si>
    <t>GRAND TOTAL</t>
  </si>
  <si>
    <t>Crosswalk of 2011 Availability</t>
  </si>
  <si>
    <t>2011 Availability</t>
  </si>
  <si>
    <t>Status of Congressionally Requested Studies, Reports, and Evaluations</t>
  </si>
  <si>
    <t>Carryover</t>
  </si>
  <si>
    <t>Recoveries</t>
  </si>
  <si>
    <t xml:space="preserve">Increase/Decrease </t>
  </si>
  <si>
    <t>A: Organizational Chart</t>
  </si>
  <si>
    <t>B: Summary of Requirements</t>
  </si>
  <si>
    <t>C: Program Increases/Offsets By Decision Unit</t>
  </si>
  <si>
    <t>D: Resources by DOJ Strategic Goal and Strategic Objective</t>
  </si>
  <si>
    <t>E.  Justification for Base Adjustments</t>
  </si>
  <si>
    <t>H: Summary of Reimbursable Resources</t>
  </si>
  <si>
    <t>FY 2013 Request</t>
  </si>
  <si>
    <t>2012 Rescissions</t>
  </si>
  <si>
    <t>2013 Current Services</t>
  </si>
  <si>
    <t>2013 Total Request</t>
  </si>
  <si>
    <t>2012 - 2013 Total Change</t>
  </si>
  <si>
    <t>2013 Adjustments to Base and Technical Adjustments</t>
  </si>
  <si>
    <t>2013 Increases</t>
  </si>
  <si>
    <t>2013 Offsets</t>
  </si>
  <si>
    <t>2013 Request</t>
  </si>
  <si>
    <t>Subtotal Offsets</t>
  </si>
  <si>
    <t>F: Crosswalk of 2011 Availability</t>
  </si>
  <si>
    <t>2012 Availability</t>
  </si>
  <si>
    <t>Crosswalk of 2012 Availability</t>
  </si>
  <si>
    <t>2012 Planned</t>
  </si>
  <si>
    <t xml:space="preserve">  Total, 2013 Program Changes Requested</t>
  </si>
  <si>
    <t xml:space="preserve">     Total, Appropriated Positions</t>
  </si>
  <si>
    <t>2011 Actuals</t>
  </si>
  <si>
    <t>25.3 Purchases of goods &amp; services from Government accounts (Antennas, DHS Sec. Etc.)</t>
  </si>
  <si>
    <t>Increases:</t>
  </si>
  <si>
    <t>2012 
Enacted</t>
  </si>
  <si>
    <t>2012 Enacted</t>
  </si>
  <si>
    <t>FY 2012 Enacted Without Rescissions</t>
  </si>
  <si>
    <t>2011 Enacted</t>
  </si>
  <si>
    <t>2012 
Estimate</t>
  </si>
  <si>
    <t>FY 2013 Program Increases/Offsets By Decision Unit</t>
  </si>
  <si>
    <t>2011 Appropriation Enacted w/Rescissions</t>
  </si>
  <si>
    <t>2011 Enacted w/Rescissions</t>
  </si>
  <si>
    <t>2011 Appropriation Enacted</t>
  </si>
  <si>
    <t>2011
Enacted</t>
  </si>
  <si>
    <t xml:space="preserve">   1.2  Prosecute those involved in terrorist acts</t>
  </si>
  <si>
    <t xml:space="preserve">    1.3  Combat espionage against the United States </t>
  </si>
  <si>
    <t xml:space="preserve">   2.1  Combat the threat, incidence, and prevalence of violent crime</t>
  </si>
  <si>
    <t xml:space="preserve">   2.4 Combat corruption, economic crimes, and international organized crime</t>
  </si>
  <si>
    <t xml:space="preserve">   2.5 Promote and protect Americans' civil rights</t>
  </si>
  <si>
    <t xml:space="preserve">   2.6 Protect the federal fisc and defend the interests of the United States</t>
  </si>
  <si>
    <t xml:space="preserve">   2.3  Combat the threat, trafficking, and use of illegal drugs and the diversion of
          licit drugs</t>
  </si>
  <si>
    <t xml:space="preserve">   2.2  Prevent and intervene in crimes against vulnerable populations, uphold the
          rights of, and improve services to, America's crime victims</t>
  </si>
  <si>
    <t xml:space="preserve">   3.3  Provide for the safe, secure, humane, and cost-effective confinement of 
          detainees awaiting trial and/or sentencing, and those in the custody of the
          Federal Prison System </t>
  </si>
  <si>
    <t>Goal 1: Prevent Terrorism and Promote the Nation's Security
            Consistent with the Rule of Law</t>
  </si>
  <si>
    <t>Goal 2: Prevent Crime, Protect the Rights of the 
             American People, and Enforce Federal Law</t>
  </si>
  <si>
    <t xml:space="preserve">Goal 3: Ensure and Support the Fair, Impartial, Efficient, and 
             Transparent Administration of Justice at the Federal,
             State, Local, Tribal and International Levels        </t>
  </si>
  <si>
    <t>General Administration</t>
  </si>
  <si>
    <t>Transfer of JCON and JCON S/TS to components</t>
  </si>
  <si>
    <t>Transfer of funding from various components for OIP</t>
  </si>
  <si>
    <t>Transfer of funding from various components for PRAO</t>
  </si>
  <si>
    <t>Transfer of funding from ODR for OLP</t>
  </si>
  <si>
    <t>Transfer of funding from EOUSA for OPR</t>
  </si>
  <si>
    <t>Transfer of funding for OTJ</t>
  </si>
  <si>
    <t>Office of Tribal Justice</t>
  </si>
  <si>
    <t>IT Savings</t>
  </si>
  <si>
    <t>Department Leadership</t>
  </si>
  <si>
    <t>Intergov Relations/External Affairs</t>
  </si>
  <si>
    <t>Exec Support/Prof Resp</t>
  </si>
  <si>
    <t>Justice Management Division</t>
  </si>
  <si>
    <t>IR/EA</t>
  </si>
  <si>
    <t>JMD</t>
  </si>
  <si>
    <t>Justice Mgt Division</t>
  </si>
  <si>
    <t xml:space="preserve">Increases:  </t>
  </si>
  <si>
    <t xml:space="preserve">Offsets: </t>
  </si>
  <si>
    <t>Exec Support/Professional Resp</t>
  </si>
  <si>
    <t>Goal 4: Enabling</t>
  </si>
  <si>
    <t xml:space="preserve">   3.1 Promote and strengthen relationships and strategies for the administration of justice with state, local, tribal and international law enforcement</t>
  </si>
  <si>
    <t xml:space="preserve">   3.2 Protect judges, witnesses, and other participants in federal proceedings; 
         apprehend fugitives; and ensure the appearance of criminal defendants for judicial proceedings or confinement</t>
  </si>
  <si>
    <t xml:space="preserve">   3.4  Adjudicate all immigration cases promptly and impartially in accordance with due process</t>
  </si>
  <si>
    <t xml:space="preserve">Transfers from various contributing components for the establishment of the Professional Responsibility Advisory Office (PRAO) as an appropriated account within the General Administration Appropriation.  </t>
  </si>
  <si>
    <t xml:space="preserve">Transfers from various contributing components for the establishment of the Office of Information Policy (OIP) as an appropriated account within the General Administration Appropriation.  </t>
  </si>
  <si>
    <t>Transfer of 3 positions from the Office of Dispute Resolution to the Office of Legal Policy within the General Administration Appropriation in order to achieve efficiencies which will allow the Department to effectively manage the increasing demand for Alternative Dispute Resolution.</t>
  </si>
  <si>
    <t>Office of Tribal Justice.  The Department is requesting that $1,238,235 and four positions/FTE be transferred from the following appropriations to the General Administration appropriation to fund OTJ: $489,144 and two positions/FTE from the Executive Office for U.S. Attorneys appropriation, $597,083 and two positions/FTE from General Legal Activities ($336,425 and one pos/FTE from the Criminal Division and $260,658 and 1 pos/FTE from the Civil Rights Division), and $152,008 from the Justice Management Division within the General Administration appropriation.</t>
  </si>
  <si>
    <t xml:space="preserve">Transfer of 3 positions from the Executive Office of United States Attorneys to the Office of Professional Responsibility within the General Administration Appropriation to permanently fund positions that have been filled by detailees over the last several years.   </t>
  </si>
  <si>
    <r>
      <rPr>
        <u/>
        <sz val="9"/>
        <rFont val="Times New Roman"/>
        <family val="1"/>
      </rPr>
      <t>2013 Pay Raise.</t>
    </r>
    <r>
      <rPr>
        <sz val="9"/>
        <rFont val="Times New Roman"/>
        <family val="1"/>
      </rPr>
      <t xml:space="preserve">  This request provides for a proposed 0.5 percent pay raise to be effective in January of 2013.  The increase only includes the general pay raise.  The amount request, $253,000, represents the pay amounts for 3/4 of the fiscal year plus appropriate benefits ($177,100 for pay and $75,900 for benefits.)</t>
    </r>
  </si>
  <si>
    <r>
      <t>Retirement</t>
    </r>
    <r>
      <rPr>
        <sz val="9"/>
        <color theme="1"/>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$153,000 is necessary to meet our increased retirement obligations as a result of this conversion.</t>
    </r>
  </si>
  <si>
    <r>
      <rPr>
        <u/>
        <sz val="9"/>
        <rFont val="Times New Roman"/>
        <family val="1"/>
      </rPr>
      <t>FERS Rate Increase.</t>
    </r>
    <r>
      <rPr>
        <sz val="9"/>
        <rFont val="Times New Roman"/>
        <family val="1"/>
      </rPr>
      <t xml:space="preserve">  On June 11, 2010, the Board of Actuaries of the Civil Service Retirement System recommended a new set of economic assumptions for the Civil Service Retirement System (CSRS) and the Federal Employees Retirement System (FERS).  In accordance with this change, effective October 1, 2011 (FY 2012), the total Normal Cost of Regular retirement under FERS will increase from the current level of 12.5% of pay to 12.7%.  The total FERS contribution for Law Enforcement retirement will increase from 27.0% to 27.6%.  This will result in new agency contribution rates of 11.9% for normal costs (up from the current 11.7%) and 26.3% for law enforcement personnel (up from the current 25.7%).  The amount requested, $104,000, represents the funds needed to cover this increase.</t>
    </r>
  </si>
  <si>
    <r>
      <t>Employees Compensation Fund.</t>
    </r>
    <r>
      <rPr>
        <sz val="9"/>
        <rFont val="Times New Roman"/>
        <family val="1"/>
      </rPr>
      <t xml:space="preserve">  The -28,000 decrease reflects payments to the Department of Labor for injury benefits paid in the past year under the Federal Employee Compensation Act.  This estimate is based on the first quarter of prior year billing and current year estimates.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</si>
  <si>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$1,598,000 is required to meet our commitment to GSA.  The costs associated with GSA rent were derived through the use of an automated system, which uses the latest inventory data, including rate increases to be effective in FY 2013 for each building currently occupied by Department of Justice components, as well as the costs of new space to be occupied.  GSA provided data on the rate increases.</t>
    </r>
  </si>
  <si>
    <r>
      <t>Changes in Compensable Days</t>
    </r>
    <r>
      <rPr>
        <sz val="9"/>
        <color theme="1"/>
        <rFont val="Times New Roman"/>
        <family val="1"/>
      </rPr>
      <t>.  The decreased cost for one compensable day in FY 2013 compared to FY 2012 is calculated by dividing the FY 2012 estimated personnel compensation $195,600 and applicable benefits $84,600 by 261 compensable days.</t>
    </r>
  </si>
  <si>
    <r>
      <t>Health Insurance.</t>
    </r>
    <r>
      <rPr>
        <sz val="9"/>
        <rFont val="Times New Roman"/>
        <family val="1"/>
      </rPr>
      <t xml:space="preserve">  Effective January 2013, this component's contribution to Federal employees' health insurance premiums increased by 7.3 percent.  Applied against the 2011 estimate of $3,367,106, the additional amount required is $247,000.</t>
    </r>
  </si>
  <si>
    <t>Alcohol, Tobacco, Firearms and Explosives</t>
  </si>
  <si>
    <t>Antitrust</t>
  </si>
  <si>
    <t>Asset Forfeiture Fund</t>
  </si>
  <si>
    <t>Bureau of Prisons</t>
  </si>
  <si>
    <t>Community Relations Service</t>
  </si>
  <si>
    <t>Community Oriented Policing Services (COPS)</t>
  </si>
  <si>
    <t>Department of State</t>
  </si>
  <si>
    <t>Drug Enforcement Administration</t>
  </si>
  <si>
    <t>Executive Office for Immigration Review</t>
  </si>
  <si>
    <t>Federal Bureau of Investigation</t>
  </si>
  <si>
    <t>General Legal Activities</t>
  </si>
  <si>
    <t>National Security Division</t>
  </si>
  <si>
    <t>Office of the Inspector General</t>
  </si>
  <si>
    <t>Office of Justice Programs</t>
  </si>
  <si>
    <t>Office of Legal Counsel</t>
  </si>
  <si>
    <t>Office of the Pardon Attorney</t>
  </si>
  <si>
    <t>Office of Violence Against Women</t>
  </si>
  <si>
    <t>Organized Crime and Drug Enforcement Task Force</t>
  </si>
  <si>
    <t>U.S. Attorneys</t>
  </si>
  <si>
    <t>U.S. Marshals Service</t>
  </si>
  <si>
    <t>U.S. Parole Commission</t>
  </si>
  <si>
    <t>U.S. Trustees</t>
  </si>
  <si>
    <t>Intergovernmental Relations/External Affairs</t>
  </si>
  <si>
    <t>Tribal Justice</t>
  </si>
  <si>
    <t>Executive Level, $145,700 - 199,700</t>
  </si>
  <si>
    <t xml:space="preserve">  </t>
  </si>
  <si>
    <t>1.  The Conference Report associated with the FY 2012 Consolidated and Further Appropriations Act, page 19, directs the Attorney General to submit a report on how DOJ will use the tribal consultation process to further streamline and coordinate programs and funding
opportunities for Native Americans, both within DOJ and with relevant programs of the Department of Interior.  Target response to Committee March 2012.</t>
  </si>
  <si>
    <r>
      <rPr>
        <u/>
        <sz val="9"/>
        <rFont val="Times New Roman"/>
        <family val="1"/>
      </rPr>
      <t>Security Charges.</t>
    </r>
    <r>
      <rPr>
        <sz val="9"/>
        <rFont val="Times New Roman"/>
        <family val="1"/>
      </rPr>
      <t xml:space="preserve">  Guard Service includes those costs paid directly by DOJ and those paid to Department of Homeland Security (DHS).  The requested increase of $73,000 is required to meet our commitment to DHS and other security costs.</t>
    </r>
  </si>
  <si>
    <t>Subtotal Transfers:</t>
  </si>
  <si>
    <t>FY 2011 Enacted Without Balance Rescissions</t>
  </si>
  <si>
    <t>GA-X</t>
  </si>
  <si>
    <t>G: Crosswalk of 2012 Availability</t>
  </si>
  <si>
    <t>Unobligated balance, end of year - Expired</t>
  </si>
  <si>
    <t>Unobligated balance, end of year - Unexpired</t>
  </si>
  <si>
    <t xml:space="preserve">2011 Enacted </t>
  </si>
  <si>
    <t xml:space="preserve">2012 Enacted </t>
  </si>
  <si>
    <t xml:space="preserve">Total 2012 </t>
  </si>
  <si>
    <t>Balance Rescissions</t>
  </si>
  <si>
    <t>A transfer of $433,000 is included in support of the Department’s Justice Consolidated Office Network (JCON) and JCON S/TS programs which will be moved to the Working Capital Fund and provided as a billable service in FY 2013.</t>
  </si>
  <si>
    <t xml:space="preserve">NOTE:  All FTE numbers in this table reflect authorized FTE, which is the total number of FTE available to a component. Because the FY 2013 President’s Budget Appendix builds the FTE request using actual FTE rather than authorized, it may not match the FY 2012 FTE enacted and FY 2013 FTE request reflected in this table.  </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</si>
</sst>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7" formatCode="_(* #,##0_);_(* \(#,##0\);_(* &quot;-&quot;??_);_(@_)"/>
    <numFmt numFmtId="168" formatCode="_(&quot;$&quot;* #,##0_);_(&quot;$&quot;* \(#,##0\);_(&quot;$&quot;* &quot;-&quot;??_);_(@_)"/>
    <numFmt numFmtId="170" formatCode="0_);\(0\)"/>
  </numFmts>
  <fonts count="77">
    <font>
      <sz val="12"/>
      <name val="Arial"/>
    </font>
    <font>
      <u/>
      <sz val="12"/>
      <name val="TimesNewRomanPS"/>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i/>
      <sz val="10"/>
      <name val="Arial"/>
      <family val="2"/>
    </font>
    <font>
      <i/>
      <sz val="10"/>
      <name val="Arial"/>
      <family val="2"/>
    </font>
    <font>
      <sz val="14"/>
      <name val="Arial"/>
      <family val="2"/>
    </font>
    <font>
      <sz val="20"/>
      <name val="Arial"/>
      <family val="2"/>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u/>
      <sz val="12"/>
      <name val="Times New Roman"/>
      <family val="1"/>
    </font>
    <font>
      <b/>
      <sz val="9"/>
      <name val="Times New Roman"/>
      <family val="1"/>
    </font>
    <font>
      <b/>
      <u/>
      <sz val="9"/>
      <name val="Times New Roman"/>
      <family val="1"/>
    </font>
    <font>
      <sz val="16"/>
      <name val="Times New Roman"/>
      <family val="1"/>
    </font>
    <font>
      <u/>
      <sz val="10"/>
      <name val="Times New Roman"/>
      <family val="1"/>
    </font>
    <font>
      <b/>
      <sz val="10"/>
      <name val="Arial"/>
      <family val="2"/>
    </font>
    <font>
      <i/>
      <sz val="10"/>
      <name val="Times New Roman"/>
      <family val="1"/>
    </font>
    <font>
      <b/>
      <u/>
      <sz val="12"/>
      <name val="Times New Roman"/>
      <family val="1"/>
    </font>
    <font>
      <sz val="10"/>
      <name val="Arial"/>
      <family val="2"/>
    </font>
    <font>
      <sz val="12"/>
      <color theme="0"/>
      <name val="Arial"/>
      <family val="2"/>
    </font>
    <font>
      <sz val="16"/>
      <color indexed="8"/>
      <name val="Times New Roman"/>
      <family val="1"/>
    </font>
    <font>
      <u/>
      <sz val="9"/>
      <color theme="1"/>
      <name val="Times New Roman"/>
      <family val="1"/>
    </font>
    <font>
      <sz val="9"/>
      <color theme="1"/>
      <name val="Times New Roman"/>
      <family val="1"/>
    </font>
    <font>
      <sz val="12"/>
      <color theme="1"/>
      <name val="Arial"/>
      <family val="2"/>
    </font>
    <font>
      <sz val="12"/>
      <color rgb="FFFF0000"/>
      <name val="Arial"/>
      <family val="2"/>
    </font>
    <font>
      <sz val="12"/>
      <color rgb="FF000000"/>
      <name val="Times New Roman"/>
      <family val="1"/>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47">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right style="thin">
        <color indexed="8"/>
      </right>
      <top style="hair">
        <color indexed="23"/>
      </top>
      <bottom style="hair">
        <color indexed="8"/>
      </bottom>
      <diagonal/>
    </border>
    <border>
      <left style="thin">
        <color indexed="64"/>
      </left>
      <right/>
      <top style="thin">
        <color indexed="23"/>
      </top>
      <bottom style="thin">
        <color indexed="23"/>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top style="thin">
        <color indexed="23"/>
      </top>
      <bottom style="hair">
        <color indexed="23"/>
      </bottom>
      <diagonal/>
    </border>
    <border>
      <left style="thin">
        <color indexed="23"/>
      </left>
      <right style="thin">
        <color indexed="23"/>
      </right>
      <top style="thin">
        <color indexed="23"/>
      </top>
      <bottom style="hair">
        <color indexed="23"/>
      </bottom>
      <diagonal/>
    </border>
    <border>
      <left style="thin">
        <color indexed="23"/>
      </left>
      <right style="thin">
        <color indexed="64"/>
      </right>
      <top style="thin">
        <color indexed="23"/>
      </top>
      <bottom style="hair">
        <color indexed="23"/>
      </bottom>
      <diagonal/>
    </border>
    <border>
      <left style="thin">
        <color indexed="64"/>
      </left>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8"/>
      </left>
      <right/>
      <top style="hair">
        <color indexed="23"/>
      </top>
      <bottom style="hair">
        <color indexed="23"/>
      </bottom>
      <diagonal/>
    </border>
    <border>
      <left style="thin">
        <color indexed="64"/>
      </left>
      <right/>
      <top style="hair">
        <color indexed="23"/>
      </top>
      <bottom style="thin">
        <color indexed="64"/>
      </bottom>
      <diagonal/>
    </border>
    <border>
      <left style="thin">
        <color indexed="23"/>
      </left>
      <right style="thin">
        <color indexed="23"/>
      </right>
      <top style="hair">
        <color indexed="23"/>
      </top>
      <bottom style="thin">
        <color indexed="64"/>
      </bottom>
      <diagonal/>
    </border>
    <border>
      <left style="thin">
        <color indexed="23"/>
      </left>
      <right style="thin">
        <color indexed="64"/>
      </right>
      <top style="hair">
        <color indexed="23"/>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8"/>
      </top>
      <bottom/>
      <diagonal/>
    </border>
    <border>
      <left/>
      <right style="thin">
        <color indexed="64"/>
      </right>
      <top/>
      <bottom style="thin">
        <color indexed="8"/>
      </bottom>
      <diagonal/>
    </border>
    <border>
      <left/>
      <right style="medium">
        <color indexed="64"/>
      </right>
      <top/>
      <bottom style="hair">
        <color indexed="64"/>
      </bottom>
      <diagonal/>
    </border>
  </borders>
  <cellStyleXfs count="16">
    <xf numFmtId="0" fontId="0" fillId="0" borderId="0"/>
    <xf numFmtId="43" fontId="21" fillId="0" borderId="0" applyFont="0" applyFill="0" applyBorder="0" applyAlignment="0" applyProtection="0"/>
    <xf numFmtId="43" fontId="16" fillId="0" borderId="0" applyFon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0" fontId="15" fillId="0" borderId="0"/>
    <xf numFmtId="0" fontId="69" fillId="0" borderId="0"/>
    <xf numFmtId="0" fontId="16" fillId="0" borderId="0"/>
    <xf numFmtId="0" fontId="21" fillId="0" borderId="0"/>
    <xf numFmtId="0" fontId="21" fillId="0" borderId="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cellStyleXfs>
  <cellXfs count="866">
    <xf numFmtId="0" fontId="0" fillId="0" borderId="0" xfId="0"/>
    <xf numFmtId="165" fontId="2" fillId="0" borderId="0" xfId="0" applyNumberFormat="1" applyFont="1" applyAlignment="1"/>
    <xf numFmtId="165" fontId="2" fillId="0" borderId="0" xfId="0" applyNumberFormat="1" applyFont="1" applyBorder="1" applyAlignment="1"/>
    <xf numFmtId="165" fontId="6" fillId="0" borderId="0" xfId="0" applyNumberFormat="1" applyFont="1"/>
    <xf numFmtId="3" fontId="6" fillId="0" borderId="0" xfId="0" applyNumberFormat="1" applyFont="1" applyAlignment="1"/>
    <xf numFmtId="3" fontId="6" fillId="0" borderId="0" xfId="0" applyNumberFormat="1" applyFont="1" applyAlignment="1">
      <alignment horizontal="fill"/>
    </xf>
    <xf numFmtId="165" fontId="9" fillId="0" borderId="0" xfId="0" applyNumberFormat="1" applyFont="1" applyAlignment="1"/>
    <xf numFmtId="165" fontId="6"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0" fillId="0" borderId="0" xfId="0" applyNumberFormat="1"/>
    <xf numFmtId="165" fontId="0" fillId="0" borderId="0" xfId="0" applyNumberFormat="1" applyBorder="1"/>
    <xf numFmtId="165" fontId="7" fillId="2" borderId="0" xfId="0" applyNumberFormat="1" applyFont="1" applyFill="1" applyAlignment="1"/>
    <xf numFmtId="165" fontId="7" fillId="2" borderId="0" xfId="0" applyNumberFormat="1" applyFont="1" applyFill="1" applyBorder="1" applyAlignment="1"/>
    <xf numFmtId="165" fontId="13" fillId="2" borderId="0" xfId="0" applyNumberFormat="1" applyFont="1" applyFill="1" applyAlignment="1"/>
    <xf numFmtId="165" fontId="6" fillId="0" borderId="0" xfId="0" applyNumberFormat="1" applyFont="1" applyAlignment="1">
      <alignment horizontal="right"/>
    </xf>
    <xf numFmtId="0" fontId="0" fillId="0" borderId="0" xfId="0" applyBorder="1"/>
    <xf numFmtId="3" fontId="5" fillId="2" borderId="0" xfId="0" applyNumberFormat="1" applyFont="1" applyFill="1" applyBorder="1" applyAlignment="1"/>
    <xf numFmtId="165" fontId="3" fillId="0" borderId="0" xfId="0" applyNumberFormat="1" applyFont="1" applyAlignment="1"/>
    <xf numFmtId="165" fontId="19" fillId="2" borderId="0" xfId="0" applyNumberFormat="1" applyFont="1" applyFill="1" applyAlignment="1"/>
    <xf numFmtId="165" fontId="20" fillId="2" borderId="0" xfId="0" applyNumberFormat="1" applyFont="1" applyFill="1" applyAlignment="1">
      <alignment horizontal="centerContinuous"/>
    </xf>
    <xf numFmtId="165" fontId="19" fillId="2" borderId="0" xfId="0" applyNumberFormat="1" applyFont="1" applyFill="1" applyAlignment="1">
      <alignment horizontal="centerContinuous"/>
    </xf>
    <xf numFmtId="165" fontId="6" fillId="0" borderId="0" xfId="0" applyNumberFormat="1" applyFont="1" applyBorder="1"/>
    <xf numFmtId="0" fontId="21" fillId="0" borderId="0" xfId="8"/>
    <xf numFmtId="0" fontId="23" fillId="0" borderId="1" xfId="8" applyFont="1" applyBorder="1" applyAlignment="1">
      <alignment horizontal="center"/>
    </xf>
    <xf numFmtId="0" fontId="23" fillId="0" borderId="2" xfId="8" applyFont="1" applyBorder="1" applyAlignment="1">
      <alignment horizontal="center"/>
    </xf>
    <xf numFmtId="0" fontId="23" fillId="0" borderId="3" xfId="8" applyFont="1" applyBorder="1" applyAlignment="1">
      <alignment horizontal="center"/>
    </xf>
    <xf numFmtId="0" fontId="9" fillId="0" borderId="4" xfId="8" applyFont="1" applyBorder="1"/>
    <xf numFmtId="0" fontId="9" fillId="0" borderId="2" xfId="8" applyFont="1" applyBorder="1"/>
    <xf numFmtId="5" fontId="23" fillId="0" borderId="0" xfId="8" applyNumberFormat="1" applyFont="1" applyBorder="1"/>
    <xf numFmtId="5" fontId="23" fillId="0" borderId="5" xfId="8" applyNumberFormat="1" applyFont="1" applyBorder="1"/>
    <xf numFmtId="0" fontId="9" fillId="0" borderId="6" xfId="8" applyFont="1" applyBorder="1"/>
    <xf numFmtId="0" fontId="9" fillId="0" borderId="3" xfId="8" applyFont="1" applyBorder="1"/>
    <xf numFmtId="0" fontId="0" fillId="0" borderId="0" xfId="0" applyBorder="1" applyAlignment="1">
      <alignment vertical="top" wrapText="1"/>
    </xf>
    <xf numFmtId="0" fontId="31" fillId="0" borderId="0" xfId="0" applyFont="1"/>
    <xf numFmtId="165" fontId="2" fillId="0" borderId="0" xfId="0" applyNumberFormat="1" applyFont="1" applyFill="1" applyAlignment="1"/>
    <xf numFmtId="0" fontId="9" fillId="0" borderId="8" xfId="8" applyFont="1" applyBorder="1"/>
    <xf numFmtId="0" fontId="9" fillId="0" borderId="8" xfId="8" applyFont="1" applyBorder="1" applyAlignment="1">
      <alignment horizontal="center"/>
    </xf>
    <xf numFmtId="0" fontId="9" fillId="0" borderId="4" xfId="8" applyFont="1" applyBorder="1" applyAlignment="1">
      <alignment horizontal="center"/>
    </xf>
    <xf numFmtId="0" fontId="9" fillId="0" borderId="9" xfId="8" applyFont="1" applyBorder="1"/>
    <xf numFmtId="3" fontId="6" fillId="0" borderId="10" xfId="0" applyNumberFormat="1" applyFont="1" applyBorder="1" applyAlignment="1"/>
    <xf numFmtId="0" fontId="21" fillId="0" borderId="0" xfId="8" applyBorder="1"/>
    <xf numFmtId="165" fontId="6" fillId="0" borderId="0" xfId="0" applyNumberFormat="1" applyFont="1" applyFill="1" applyAlignment="1"/>
    <xf numFmtId="165" fontId="7" fillId="3" borderId="0" xfId="0" applyNumberFormat="1" applyFont="1" applyFill="1" applyAlignment="1"/>
    <xf numFmtId="5" fontId="27" fillId="2" borderId="11" xfId="0" applyNumberFormat="1" applyFont="1" applyFill="1" applyBorder="1" applyAlignment="1"/>
    <xf numFmtId="5" fontId="27" fillId="2" borderId="10" xfId="0" applyNumberFormat="1" applyFont="1" applyFill="1" applyBorder="1" applyAlignment="1"/>
    <xf numFmtId="0" fontId="0" fillId="0" borderId="0" xfId="0" applyBorder="1" applyAlignment="1">
      <alignment horizontal="center"/>
    </xf>
    <xf numFmtId="0" fontId="31" fillId="0" borderId="0" xfId="0" applyFont="1" applyBorder="1" applyAlignment="1">
      <alignment horizontal="center"/>
    </xf>
    <xf numFmtId="0" fontId="0" fillId="0" borderId="0" xfId="0" applyAlignment="1">
      <alignment horizontal="center"/>
    </xf>
    <xf numFmtId="0" fontId="21" fillId="0" borderId="13" xfId="8" applyBorder="1"/>
    <xf numFmtId="0" fontId="21" fillId="0" borderId="9" xfId="8" applyBorder="1"/>
    <xf numFmtId="3" fontId="17" fillId="0" borderId="0" xfId="0" applyNumberFormat="1" applyFont="1" applyAlignment="1">
      <alignment horizontal="centerContinuous"/>
    </xf>
    <xf numFmtId="165" fontId="17" fillId="0" borderId="0" xfId="0" applyNumberFormat="1" applyFont="1" applyAlignment="1">
      <alignment horizontal="centerContinuous"/>
    </xf>
    <xf numFmtId="165" fontId="7" fillId="0" borderId="0" xfId="0" applyNumberFormat="1" applyFont="1" applyFill="1" applyBorder="1" applyAlignment="1"/>
    <xf numFmtId="165" fontId="15" fillId="3" borderId="0" xfId="0" applyNumberFormat="1" applyFont="1" applyFill="1" applyAlignment="1"/>
    <xf numFmtId="0" fontId="16" fillId="3" borderId="0" xfId="8" applyFont="1" applyFill="1"/>
    <xf numFmtId="165" fontId="22" fillId="3" borderId="0" xfId="0" applyNumberFormat="1" applyFont="1" applyFill="1" applyAlignment="1">
      <alignment horizontal="centerContinuous"/>
    </xf>
    <xf numFmtId="0" fontId="41" fillId="0" borderId="0" xfId="0" applyFont="1" applyFill="1" applyBorder="1" applyAlignment="1">
      <alignment vertical="top" wrapText="1"/>
    </xf>
    <xf numFmtId="0" fontId="39" fillId="0" borderId="0" xfId="8" applyFont="1" applyFill="1" applyAlignment="1"/>
    <xf numFmtId="0" fontId="38" fillId="0" borderId="0" xfId="8" applyFont="1" applyFill="1" applyAlignment="1"/>
    <xf numFmtId="165" fontId="6" fillId="0" borderId="0" xfId="0" applyNumberFormat="1" applyFont="1" applyBorder="1" applyAlignment="1"/>
    <xf numFmtId="164" fontId="26" fillId="2" borderId="10" xfId="0" applyNumberFormat="1" applyFont="1" applyFill="1" applyBorder="1" applyAlignment="1"/>
    <xf numFmtId="165" fontId="46" fillId="0" borderId="0" xfId="0" applyNumberFormat="1" applyFont="1" applyAlignment="1"/>
    <xf numFmtId="165" fontId="47" fillId="2" borderId="0" xfId="0" applyNumberFormat="1" applyFont="1" applyFill="1" applyAlignment="1"/>
    <xf numFmtId="0" fontId="48" fillId="0" borderId="0" xfId="8" applyFont="1"/>
    <xf numFmtId="170" fontId="27" fillId="2" borderId="14" xfId="0" applyNumberFormat="1" applyFont="1" applyFill="1" applyBorder="1" applyAlignment="1"/>
    <xf numFmtId="0" fontId="51" fillId="0" borderId="0" xfId="0" applyFont="1"/>
    <xf numFmtId="165" fontId="50" fillId="0" borderId="0" xfId="0" applyNumberFormat="1" applyFont="1"/>
    <xf numFmtId="165" fontId="30" fillId="0" borderId="0" xfId="0" applyNumberFormat="1" applyFont="1"/>
    <xf numFmtId="165" fontId="50" fillId="0" borderId="0" xfId="0" applyNumberFormat="1" applyFont="1" applyAlignment="1"/>
    <xf numFmtId="165" fontId="30" fillId="0" borderId="0" xfId="0" applyNumberFormat="1" applyFont="1" applyAlignment="1"/>
    <xf numFmtId="3" fontId="50" fillId="2" borderId="0" xfId="0" applyNumberFormat="1" applyFont="1" applyFill="1" applyAlignment="1"/>
    <xf numFmtId="3" fontId="54" fillId="2" borderId="0" xfId="0" applyNumberFormat="1" applyFont="1" applyFill="1" applyAlignment="1"/>
    <xf numFmtId="3" fontId="54" fillId="2" borderId="0" xfId="0" applyNumberFormat="1" applyFont="1" applyFill="1" applyBorder="1" applyAlignment="1"/>
    <xf numFmtId="0" fontId="30" fillId="0" borderId="0" xfId="0" applyFont="1"/>
    <xf numFmtId="165" fontId="51" fillId="0" borderId="0" xfId="0" applyNumberFormat="1" applyFont="1"/>
    <xf numFmtId="165" fontId="51" fillId="0" borderId="0" xfId="0" applyNumberFormat="1" applyFont="1" applyBorder="1"/>
    <xf numFmtId="165" fontId="55" fillId="0" borderId="0" xfId="0" applyNumberFormat="1" applyFont="1" applyAlignment="1"/>
    <xf numFmtId="165" fontId="56" fillId="0" borderId="0" xfId="0" applyNumberFormat="1" applyFont="1" applyAlignment="1"/>
    <xf numFmtId="3" fontId="53" fillId="0" borderId="0" xfId="0" applyNumberFormat="1" applyFont="1" applyAlignment="1"/>
    <xf numFmtId="3" fontId="52" fillId="0" borderId="0" xfId="0" applyNumberFormat="1" applyFont="1" applyAlignment="1"/>
    <xf numFmtId="0" fontId="51" fillId="0" borderId="0" xfId="8" applyFont="1"/>
    <xf numFmtId="0" fontId="43" fillId="0" borderId="0" xfId="8" applyFont="1"/>
    <xf numFmtId="37" fontId="6" fillId="0" borderId="8" xfId="0" applyNumberFormat="1" applyFont="1" applyBorder="1" applyAlignment="1"/>
    <xf numFmtId="37" fontId="6" fillId="0" borderId="11" xfId="0" applyNumberFormat="1" applyFont="1" applyBorder="1" applyAlignment="1"/>
    <xf numFmtId="37" fontId="6" fillId="0" borderId="16" xfId="0" applyNumberFormat="1" applyFont="1" applyBorder="1" applyAlignment="1"/>
    <xf numFmtId="37" fontId="17" fillId="0" borderId="17" xfId="0" applyNumberFormat="1" applyFont="1" applyBorder="1" applyAlignment="1"/>
    <xf numFmtId="37" fontId="6" fillId="0" borderId="4" xfId="0" applyNumberFormat="1" applyFont="1" applyBorder="1" applyAlignment="1"/>
    <xf numFmtId="37" fontId="6" fillId="0" borderId="9" xfId="0" applyNumberFormat="1" applyFont="1" applyBorder="1" applyAlignment="1"/>
    <xf numFmtId="37" fontId="6" fillId="0" borderId="10" xfId="0" applyNumberFormat="1" applyFont="1" applyBorder="1"/>
    <xf numFmtId="37" fontId="6" fillId="0" borderId="11" xfId="0" applyNumberFormat="1" applyFont="1" applyBorder="1"/>
    <xf numFmtId="37" fontId="6" fillId="0" borderId="6" xfId="0" applyNumberFormat="1" applyFont="1" applyBorder="1"/>
    <xf numFmtId="37" fontId="6" fillId="0" borderId="2" xfId="0" applyNumberFormat="1" applyFont="1" applyBorder="1"/>
    <xf numFmtId="37" fontId="6" fillId="0" borderId="3" xfId="0" applyNumberFormat="1" applyFont="1" applyBorder="1"/>
    <xf numFmtId="37" fontId="23" fillId="0" borderId="7" xfId="8" applyNumberFormat="1" applyFont="1" applyBorder="1"/>
    <xf numFmtId="37" fontId="23" fillId="0" borderId="0" xfId="8" applyNumberFormat="1" applyFont="1" applyBorder="1"/>
    <xf numFmtId="37" fontId="7" fillId="2" borderId="11" xfId="0" applyNumberFormat="1" applyFont="1" applyFill="1" applyBorder="1" applyAlignment="1"/>
    <xf numFmtId="37" fontId="25" fillId="2" borderId="19" xfId="0" applyNumberFormat="1" applyFont="1" applyFill="1" applyBorder="1" applyAlignment="1"/>
    <xf numFmtId="37" fontId="25" fillId="2" borderId="21" xfId="0" applyNumberFormat="1" applyFont="1" applyFill="1" applyBorder="1" applyAlignment="1"/>
    <xf numFmtId="37" fontId="25" fillId="2" borderId="22" xfId="0" applyNumberFormat="1" applyFont="1" applyFill="1" applyBorder="1" applyAlignment="1"/>
    <xf numFmtId="37" fontId="25" fillId="2" borderId="24" xfId="0" applyNumberFormat="1" applyFont="1" applyFill="1" applyBorder="1" applyAlignment="1"/>
    <xf numFmtId="37" fontId="25" fillId="2" borderId="26" xfId="0" applyNumberFormat="1" applyFont="1" applyFill="1" applyBorder="1" applyAlignment="1"/>
    <xf numFmtId="37" fontId="25" fillId="2" borderId="28" xfId="0" applyNumberFormat="1" applyFont="1" applyFill="1" applyBorder="1" applyAlignment="1"/>
    <xf numFmtId="37" fontId="25" fillId="2" borderId="30" xfId="0" applyNumberFormat="1" applyFont="1" applyFill="1" applyBorder="1" applyAlignment="1"/>
    <xf numFmtId="37" fontId="25" fillId="2" borderId="0" xfId="0" applyNumberFormat="1" applyFont="1" applyFill="1" applyBorder="1" applyAlignment="1"/>
    <xf numFmtId="37" fontId="25" fillId="2" borderId="34" xfId="0" applyNumberFormat="1" applyFont="1" applyFill="1" applyBorder="1" applyAlignment="1"/>
    <xf numFmtId="37" fontId="25" fillId="2" borderId="14" xfId="0" applyNumberFormat="1" applyFont="1" applyFill="1" applyBorder="1" applyAlignment="1"/>
    <xf numFmtId="37" fontId="25" fillId="2" borderId="10" xfId="0" applyNumberFormat="1" applyFont="1" applyFill="1" applyBorder="1" applyAlignment="1"/>
    <xf numFmtId="37" fontId="25" fillId="2" borderId="6" xfId="0" applyNumberFormat="1" applyFont="1" applyFill="1" applyBorder="1" applyAlignment="1"/>
    <xf numFmtId="37" fontId="25" fillId="2" borderId="2" xfId="0" applyNumberFormat="1" applyFont="1" applyFill="1" applyBorder="1" applyAlignment="1"/>
    <xf numFmtId="37" fontId="26" fillId="2" borderId="37" xfId="0" applyNumberFormat="1" applyFont="1" applyFill="1" applyBorder="1" applyAlignment="1"/>
    <xf numFmtId="4" fontId="25" fillId="2" borderId="14" xfId="0" applyNumberFormat="1" applyFont="1" applyFill="1" applyBorder="1" applyAlignment="1"/>
    <xf numFmtId="4" fontId="25" fillId="2" borderId="14" xfId="0" applyNumberFormat="1" applyFont="1" applyFill="1" applyBorder="1" applyAlignment="1">
      <alignment horizontal="right"/>
    </xf>
    <xf numFmtId="4" fontId="25" fillId="2" borderId="38" xfId="0" applyNumberFormat="1" applyFont="1" applyFill="1" applyBorder="1" applyAlignment="1">
      <alignment horizontal="right"/>
    </xf>
    <xf numFmtId="4" fontId="25" fillId="2" borderId="38" xfId="0" applyNumberFormat="1" applyFont="1" applyFill="1" applyBorder="1" applyAlignment="1"/>
    <xf numFmtId="4" fontId="6" fillId="0" borderId="14" xfId="0" applyNumberFormat="1" applyFont="1" applyBorder="1" applyAlignment="1"/>
    <xf numFmtId="37" fontId="7" fillId="2" borderId="14" xfId="0" applyNumberFormat="1" applyFont="1" applyFill="1" applyBorder="1" applyAlignment="1"/>
    <xf numFmtId="37" fontId="7" fillId="2" borderId="10" xfId="0" applyNumberFormat="1" applyFont="1" applyFill="1" applyBorder="1" applyAlignment="1"/>
    <xf numFmtId="37" fontId="7" fillId="2" borderId="14" xfId="0" applyNumberFormat="1" applyFont="1" applyFill="1" applyBorder="1" applyAlignment="1">
      <alignment horizontal="right"/>
    </xf>
    <xf numFmtId="37" fontId="7" fillId="0" borderId="14" xfId="0" applyNumberFormat="1" applyFont="1" applyFill="1" applyBorder="1" applyAlignment="1"/>
    <xf numFmtId="37" fontId="7" fillId="0" borderId="10" xfId="0" applyNumberFormat="1" applyFont="1" applyFill="1" applyBorder="1" applyAlignment="1"/>
    <xf numFmtId="37" fontId="7" fillId="0" borderId="11" xfId="0" applyNumberFormat="1" applyFont="1" applyFill="1" applyBorder="1" applyAlignment="1"/>
    <xf numFmtId="37" fontId="8" fillId="2" borderId="14" xfId="0" applyNumberFormat="1" applyFont="1" applyFill="1" applyBorder="1" applyAlignment="1"/>
    <xf numFmtId="37" fontId="8" fillId="2" borderId="10" xfId="0" applyNumberFormat="1" applyFont="1" applyFill="1" applyBorder="1" applyAlignment="1"/>
    <xf numFmtId="37" fontId="8" fillId="2" borderId="11" xfId="0" applyNumberFormat="1" applyFont="1" applyFill="1" applyBorder="1" applyAlignment="1"/>
    <xf numFmtId="37" fontId="7" fillId="2" borderId="7" xfId="0" applyNumberFormat="1" applyFont="1" applyFill="1" applyBorder="1" applyAlignment="1"/>
    <xf numFmtId="37" fontId="7" fillId="2" borderId="0" xfId="0" applyNumberFormat="1" applyFont="1" applyFill="1" applyBorder="1" applyAlignment="1"/>
    <xf numFmtId="37" fontId="7" fillId="2" borderId="37" xfId="0" applyNumberFormat="1" applyFont="1" applyFill="1" applyBorder="1" applyAlignment="1"/>
    <xf numFmtId="37" fontId="7" fillId="2" borderId="40" xfId="0" applyNumberFormat="1" applyFont="1" applyFill="1" applyBorder="1" applyAlignment="1"/>
    <xf numFmtId="0" fontId="23" fillId="0" borderId="41" xfId="8" applyFont="1" applyBorder="1"/>
    <xf numFmtId="0" fontId="21" fillId="0" borderId="40" xfId="8" applyBorder="1"/>
    <xf numFmtId="37" fontId="23" fillId="0" borderId="37" xfId="8" applyNumberFormat="1" applyFont="1" applyBorder="1"/>
    <xf numFmtId="37" fontId="23" fillId="0" borderId="40" xfId="8" applyNumberFormat="1" applyFont="1" applyBorder="1"/>
    <xf numFmtId="5" fontId="23" fillId="0" borderId="40" xfId="8" applyNumberFormat="1" applyFont="1" applyBorder="1"/>
    <xf numFmtId="5" fontId="23" fillId="0" borderId="41" xfId="8" applyNumberFormat="1" applyFont="1" applyBorder="1"/>
    <xf numFmtId="0" fontId="18" fillId="0" borderId="0" xfId="0" applyFont="1"/>
    <xf numFmtId="0" fontId="0" fillId="0" borderId="0" xfId="0" applyAlignment="1">
      <alignment vertical="top"/>
    </xf>
    <xf numFmtId="0" fontId="31" fillId="0" borderId="0" xfId="0" applyFont="1" applyAlignment="1">
      <alignment vertical="top"/>
    </xf>
    <xf numFmtId="0" fontId="31" fillId="0" borderId="0" xfId="0" applyFont="1" applyBorder="1" applyAlignment="1">
      <alignment vertical="top"/>
    </xf>
    <xf numFmtId="0" fontId="31" fillId="0" borderId="0" xfId="0" applyFont="1" applyBorder="1" applyAlignment="1">
      <alignment vertical="top" wrapText="1"/>
    </xf>
    <xf numFmtId="170" fontId="26" fillId="2" borderId="42" xfId="0" applyNumberFormat="1" applyFont="1" applyFill="1" applyBorder="1" applyAlignment="1"/>
    <xf numFmtId="37" fontId="26" fillId="2" borderId="44" xfId="0" applyNumberFormat="1" applyFont="1" applyFill="1" applyBorder="1" applyAlignment="1"/>
    <xf numFmtId="37" fontId="26" fillId="2" borderId="42" xfId="0" applyNumberFormat="1" applyFont="1" applyFill="1" applyBorder="1" applyAlignment="1"/>
    <xf numFmtId="37" fontId="7" fillId="2" borderId="46" xfId="0" applyNumberFormat="1" applyFont="1" applyFill="1" applyBorder="1" applyAlignment="1"/>
    <xf numFmtId="37" fontId="7" fillId="0" borderId="46" xfId="0" applyNumberFormat="1" applyFont="1" applyFill="1" applyBorder="1" applyAlignment="1"/>
    <xf numFmtId="37" fontId="17" fillId="0" borderId="13" xfId="0" applyNumberFormat="1" applyFont="1" applyBorder="1" applyAlignment="1">
      <alignment horizontal="right"/>
    </xf>
    <xf numFmtId="37" fontId="26" fillId="2" borderId="40" xfId="0" applyNumberFormat="1" applyFont="1" applyFill="1" applyBorder="1" applyAlignment="1"/>
    <xf numFmtId="165" fontId="40" fillId="0" borderId="0" xfId="0" applyNumberFormat="1" applyFont="1" applyAlignment="1"/>
    <xf numFmtId="0" fontId="60" fillId="2" borderId="0" xfId="0" applyFont="1" applyFill="1" applyProtection="1">
      <protection hidden="1"/>
    </xf>
    <xf numFmtId="164" fontId="17" fillId="0" borderId="49" xfId="0" applyNumberFormat="1" applyFont="1" applyBorder="1" applyAlignment="1"/>
    <xf numFmtId="3" fontId="26" fillId="2" borderId="50" xfId="0" applyNumberFormat="1" applyFont="1" applyFill="1" applyBorder="1" applyAlignment="1"/>
    <xf numFmtId="1" fontId="17" fillId="0" borderId="16" xfId="0" applyNumberFormat="1" applyFont="1" applyBorder="1" applyAlignment="1">
      <alignment horizontal="right"/>
    </xf>
    <xf numFmtId="37" fontId="6" fillId="0" borderId="16" xfId="0" applyNumberFormat="1" applyFont="1" applyBorder="1" applyAlignment="1">
      <alignment horizontal="right"/>
    </xf>
    <xf numFmtId="37" fontId="17" fillId="0" borderId="17" xfId="0" applyNumberFormat="1" applyFont="1" applyBorder="1" applyAlignment="1">
      <alignment horizontal="right"/>
    </xf>
    <xf numFmtId="0" fontId="14" fillId="0" borderId="0" xfId="0" applyFont="1"/>
    <xf numFmtId="37" fontId="6" fillId="0" borderId="14" xfId="0" applyNumberFormat="1" applyFont="1" applyBorder="1" applyAlignment="1">
      <alignment horizontal="center"/>
    </xf>
    <xf numFmtId="37" fontId="6" fillId="0" borderId="10" xfId="0" applyNumberFormat="1" applyFont="1" applyBorder="1" applyAlignment="1">
      <alignment horizontal="center"/>
    </xf>
    <xf numFmtId="37" fontId="6" fillId="0" borderId="10" xfId="0" applyNumberFormat="1" applyFont="1" applyBorder="1" applyAlignment="1"/>
    <xf numFmtId="3" fontId="6" fillId="0" borderId="11" xfId="0" applyNumberFormat="1" applyFont="1" applyBorder="1" applyAlignment="1"/>
    <xf numFmtId="164" fontId="17" fillId="0" borderId="2" xfId="0" applyNumberFormat="1" applyFont="1" applyBorder="1" applyAlignment="1"/>
    <xf numFmtId="164" fontId="17" fillId="0" borderId="3" xfId="0" applyNumberFormat="1" applyFont="1" applyBorder="1" applyAlignment="1"/>
    <xf numFmtId="3" fontId="6" fillId="0" borderId="2" xfId="0" applyNumberFormat="1" applyFont="1" applyBorder="1" applyAlignment="1"/>
    <xf numFmtId="37" fontId="6" fillId="0" borderId="7" xfId="0" applyNumberFormat="1" applyFont="1" applyBorder="1"/>
    <xf numFmtId="37" fontId="6" fillId="0" borderId="12" xfId="0" applyNumberFormat="1" applyFont="1" applyBorder="1"/>
    <xf numFmtId="0" fontId="26" fillId="2" borderId="58" xfId="0" applyNumberFormat="1" applyFont="1" applyFill="1" applyBorder="1" applyAlignment="1">
      <alignment horizontal="right"/>
    </xf>
    <xf numFmtId="0" fontId="26" fillId="2" borderId="60" xfId="0" applyNumberFormat="1" applyFont="1" applyFill="1" applyBorder="1" applyAlignment="1">
      <alignment horizontal="right"/>
    </xf>
    <xf numFmtId="0" fontId="18" fillId="0" borderId="0" xfId="0" applyNumberFormat="1" applyFont="1" applyAlignment="1"/>
    <xf numFmtId="0" fontId="25" fillId="0" borderId="14" xfId="0" applyNumberFormat="1" applyFont="1" applyFill="1" applyBorder="1" applyAlignment="1">
      <alignment horizontal="left"/>
    </xf>
    <xf numFmtId="0" fontId="25" fillId="2" borderId="14" xfId="0" applyNumberFormat="1" applyFont="1" applyFill="1" applyBorder="1" applyAlignment="1">
      <alignment horizontal="left"/>
    </xf>
    <xf numFmtId="0" fontId="26" fillId="2" borderId="37" xfId="0" applyNumberFormat="1" applyFont="1" applyFill="1" applyBorder="1" applyAlignment="1">
      <alignment horizontal="left"/>
    </xf>
    <xf numFmtId="0" fontId="26" fillId="2" borderId="14" xfId="0" applyNumberFormat="1" applyFont="1" applyFill="1" applyBorder="1" applyAlignment="1">
      <alignment horizontal="left"/>
    </xf>
    <xf numFmtId="0" fontId="26" fillId="2" borderId="38" xfId="0" applyNumberFormat="1" applyFont="1" applyFill="1" applyBorder="1" applyAlignment="1">
      <alignment horizontal="left"/>
    </xf>
    <xf numFmtId="0" fontId="26" fillId="2" borderId="62" xfId="0" applyNumberFormat="1" applyFont="1" applyFill="1" applyBorder="1" applyAlignment="1">
      <alignment horizontal="right"/>
    </xf>
    <xf numFmtId="0" fontId="26" fillId="2" borderId="63" xfId="0" applyNumberFormat="1" applyFont="1" applyFill="1" applyBorder="1" applyAlignment="1">
      <alignment horizontal="right"/>
    </xf>
    <xf numFmtId="0" fontId="7" fillId="2" borderId="65" xfId="0" applyNumberFormat="1" applyFont="1" applyFill="1" applyBorder="1" applyAlignment="1">
      <alignment horizontal="left" indent="1"/>
    </xf>
    <xf numFmtId="0" fontId="7" fillId="2" borderId="12" xfId="0" applyNumberFormat="1" applyFont="1" applyFill="1" applyBorder="1" applyAlignment="1">
      <alignment horizontal="left" indent="1"/>
    </xf>
    <xf numFmtId="0" fontId="8" fillId="2" borderId="12" xfId="0" applyNumberFormat="1" applyFont="1" applyFill="1" applyBorder="1" applyAlignment="1">
      <alignment horizontal="left" indent="2"/>
    </xf>
    <xf numFmtId="0" fontId="7" fillId="2" borderId="46" xfId="0" applyNumberFormat="1" applyFont="1" applyFill="1" applyBorder="1" applyAlignment="1">
      <alignment horizontal="left" indent="1"/>
    </xf>
    <xf numFmtId="0" fontId="7" fillId="2" borderId="66" xfId="0" applyNumberFormat="1" applyFont="1" applyFill="1" applyBorder="1" applyAlignment="1">
      <alignment horizontal="left" indent="2"/>
    </xf>
    <xf numFmtId="0" fontId="7" fillId="2" borderId="12" xfId="0" applyNumberFormat="1" applyFont="1" applyFill="1" applyBorder="1" applyAlignment="1">
      <alignment horizontal="left" indent="2"/>
    </xf>
    <xf numFmtId="0" fontId="27" fillId="2" borderId="12" xfId="0" applyNumberFormat="1" applyFont="1" applyFill="1" applyBorder="1" applyAlignment="1">
      <alignment horizontal="left" indent="3"/>
    </xf>
    <xf numFmtId="0" fontId="7" fillId="0" borderId="12" xfId="0" applyNumberFormat="1" applyFont="1" applyFill="1" applyBorder="1" applyAlignment="1">
      <alignment horizontal="left" indent="2"/>
    </xf>
    <xf numFmtId="0" fontId="27" fillId="2" borderId="62" xfId="0" applyNumberFormat="1" applyFont="1" applyFill="1" applyBorder="1" applyAlignment="1">
      <alignment horizontal="right"/>
    </xf>
    <xf numFmtId="0" fontId="27" fillId="2" borderId="63" xfId="0" applyNumberFormat="1" applyFont="1" applyFill="1" applyBorder="1" applyAlignment="1">
      <alignment horizontal="right"/>
    </xf>
    <xf numFmtId="0" fontId="27" fillId="2" borderId="64" xfId="0" applyNumberFormat="1" applyFont="1" applyFill="1" applyBorder="1" applyAlignment="1">
      <alignment horizontal="right"/>
    </xf>
    <xf numFmtId="37" fontId="25" fillId="2" borderId="12" xfId="0" applyNumberFormat="1" applyFont="1" applyFill="1" applyBorder="1" applyAlignment="1"/>
    <xf numFmtId="0" fontId="6" fillId="0" borderId="14" xfId="0" applyNumberFormat="1" applyFont="1" applyBorder="1" applyAlignment="1"/>
    <xf numFmtId="0" fontId="6" fillId="0" borderId="6" xfId="0" applyNumberFormat="1" applyFont="1" applyBorder="1" applyAlignment="1"/>
    <xf numFmtId="0" fontId="17" fillId="0" borderId="2" xfId="0" applyNumberFormat="1" applyFont="1" applyBorder="1" applyAlignment="1"/>
    <xf numFmtId="0" fontId="6" fillId="0" borderId="67" xfId="0" applyNumberFormat="1" applyFont="1" applyBorder="1" applyAlignment="1"/>
    <xf numFmtId="0" fontId="6" fillId="0" borderId="62" xfId="0" applyNumberFormat="1" applyFont="1" applyBorder="1" applyAlignment="1">
      <alignment horizontal="right"/>
    </xf>
    <xf numFmtId="0" fontId="6" fillId="0" borderId="63" xfId="0" applyNumberFormat="1" applyFont="1" applyBorder="1" applyAlignment="1">
      <alignment horizontal="center"/>
    </xf>
    <xf numFmtId="0" fontId="6" fillId="0" borderId="63" xfId="0" applyNumberFormat="1" applyFont="1" applyBorder="1" applyAlignment="1">
      <alignment horizontal="right"/>
    </xf>
    <xf numFmtId="0" fontId="6" fillId="0" borderId="62" xfId="0" applyNumberFormat="1" applyFont="1" applyBorder="1" applyAlignment="1">
      <alignment horizontal="center"/>
    </xf>
    <xf numFmtId="0" fontId="6" fillId="0" borderId="64" xfId="0" applyNumberFormat="1" applyFont="1" applyBorder="1" applyAlignment="1">
      <alignment horizontal="right"/>
    </xf>
    <xf numFmtId="37" fontId="17" fillId="0" borderId="46" xfId="0" applyNumberFormat="1" applyFont="1" applyBorder="1" applyAlignment="1">
      <alignment horizontal="center"/>
    </xf>
    <xf numFmtId="37" fontId="17" fillId="0" borderId="2" xfId="0" applyNumberFormat="1" applyFont="1" applyBorder="1" applyAlignment="1">
      <alignment horizontal="center"/>
    </xf>
    <xf numFmtId="37" fontId="6" fillId="0" borderId="7" xfId="0" applyNumberFormat="1" applyFont="1" applyBorder="1" applyAlignment="1">
      <alignment horizontal="center"/>
    </xf>
    <xf numFmtId="37" fontId="6" fillId="0" borderId="0" xfId="0" applyNumberFormat="1" applyFont="1" applyAlignment="1">
      <alignment horizontal="center"/>
    </xf>
    <xf numFmtId="37" fontId="6" fillId="0" borderId="6" xfId="0" applyNumberFormat="1" applyFont="1" applyBorder="1" applyAlignment="1">
      <alignment horizontal="center"/>
    </xf>
    <xf numFmtId="37" fontId="6" fillId="0" borderId="2" xfId="0" applyNumberFormat="1" applyFont="1" applyBorder="1" applyAlignment="1">
      <alignment horizontal="center"/>
    </xf>
    <xf numFmtId="37" fontId="6" fillId="0" borderId="7" xfId="0" applyNumberFormat="1" applyFont="1" applyBorder="1" applyAlignment="1"/>
    <xf numFmtId="37" fontId="6" fillId="0" borderId="0" xfId="0" applyNumberFormat="1" applyFont="1" applyAlignment="1"/>
    <xf numFmtId="37" fontId="6" fillId="0" borderId="6" xfId="0" applyNumberFormat="1" applyFont="1" applyBorder="1" applyAlignment="1"/>
    <xf numFmtId="37" fontId="6" fillId="0" borderId="2" xfId="0" applyNumberFormat="1" applyFont="1" applyBorder="1" applyAlignment="1"/>
    <xf numFmtId="37" fontId="6" fillId="0" borderId="14" xfId="0" applyNumberFormat="1" applyFont="1" applyBorder="1" applyAlignment="1"/>
    <xf numFmtId="37" fontId="6" fillId="0" borderId="0" xfId="0" applyNumberFormat="1" applyFont="1" applyBorder="1" applyAlignment="1"/>
    <xf numFmtId="0" fontId="6" fillId="0" borderId="0" xfId="0" applyFont="1"/>
    <xf numFmtId="0" fontId="17" fillId="0" borderId="0" xfId="0" applyFont="1"/>
    <xf numFmtId="5" fontId="7" fillId="2" borderId="10" xfId="0" applyNumberFormat="1" applyFont="1" applyFill="1" applyBorder="1" applyAlignment="1"/>
    <xf numFmtId="5" fontId="7" fillId="2" borderId="11" xfId="0" applyNumberFormat="1" applyFont="1" applyFill="1" applyBorder="1" applyAlignment="1"/>
    <xf numFmtId="0" fontId="7" fillId="2" borderId="70" xfId="0" applyNumberFormat="1" applyFont="1" applyFill="1" applyBorder="1" applyAlignment="1">
      <alignment horizontal="left"/>
    </xf>
    <xf numFmtId="0" fontId="28" fillId="2" borderId="71" xfId="0" applyNumberFormat="1" applyFont="1" applyFill="1" applyBorder="1" applyAlignment="1">
      <alignment horizontal="left" indent="5"/>
    </xf>
    <xf numFmtId="165" fontId="2" fillId="0" borderId="0" xfId="0" applyNumberFormat="1" applyFont="1" applyBorder="1"/>
    <xf numFmtId="0" fontId="44" fillId="0" borderId="0" xfId="0" applyFont="1" applyBorder="1" applyAlignment="1">
      <alignment vertical="top" wrapText="1"/>
    </xf>
    <xf numFmtId="0" fontId="31" fillId="0" borderId="0" xfId="0" applyFont="1" applyBorder="1" applyAlignment="1">
      <alignment horizontal="center" vertical="top"/>
    </xf>
    <xf numFmtId="0" fontId="37" fillId="0" borderId="0" xfId="0" applyFont="1" applyBorder="1" applyAlignment="1">
      <alignment horizontal="center" vertical="top" wrapText="1"/>
    </xf>
    <xf numFmtId="0" fontId="63" fillId="0" borderId="0" xfId="0" applyFont="1" applyBorder="1" applyAlignment="1">
      <alignment horizontal="center"/>
    </xf>
    <xf numFmtId="0" fontId="62" fillId="0" borderId="0" xfId="0" applyFont="1" applyBorder="1" applyAlignment="1">
      <alignment vertical="top" wrapText="1"/>
    </xf>
    <xf numFmtId="3" fontId="31" fillId="0" borderId="0" xfId="0" applyNumberFormat="1" applyFont="1" applyBorder="1" applyAlignment="1">
      <alignment vertical="top" wrapText="1"/>
    </xf>
    <xf numFmtId="1" fontId="31" fillId="0" borderId="0" xfId="0" applyNumberFormat="1" applyFont="1" applyBorder="1" applyAlignment="1">
      <alignment vertical="top"/>
    </xf>
    <xf numFmtId="0" fontId="37" fillId="0" borderId="0" xfId="0" applyFont="1" applyBorder="1" applyAlignment="1">
      <alignment horizontal="center"/>
    </xf>
    <xf numFmtId="0" fontId="40" fillId="3" borderId="0" xfId="0" applyFont="1" applyFill="1" applyBorder="1" applyAlignment="1">
      <alignment vertical="top" wrapText="1"/>
    </xf>
    <xf numFmtId="0" fontId="6" fillId="0" borderId="37" xfId="0" applyNumberFormat="1" applyFont="1" applyBorder="1" applyAlignment="1"/>
    <xf numFmtId="0" fontId="17" fillId="0" borderId="62" xfId="0" applyNumberFormat="1" applyFont="1" applyBorder="1" applyAlignment="1">
      <alignment horizontal="right"/>
    </xf>
    <xf numFmtId="0" fontId="17" fillId="0" borderId="63" xfId="0" applyNumberFormat="1" applyFont="1" applyBorder="1" applyAlignment="1">
      <alignment horizontal="right"/>
    </xf>
    <xf numFmtId="0" fontId="17" fillId="0" borderId="64" xfId="0" applyNumberFormat="1" applyFont="1" applyBorder="1" applyAlignment="1">
      <alignment horizontal="right"/>
    </xf>
    <xf numFmtId="37" fontId="6" fillId="0" borderId="6" xfId="0" applyNumberFormat="1" applyFont="1" applyFill="1" applyBorder="1" applyAlignment="1"/>
    <xf numFmtId="37" fontId="6" fillId="0" borderId="2" xfId="0" applyNumberFormat="1" applyFont="1" applyFill="1" applyBorder="1" applyAlignment="1"/>
    <xf numFmtId="0" fontId="17" fillId="0" borderId="37" xfId="0" applyNumberFormat="1" applyFont="1" applyBorder="1" applyAlignment="1">
      <alignment horizontal="left" indent="3"/>
    </xf>
    <xf numFmtId="37" fontId="17" fillId="0" borderId="6" xfId="0" applyNumberFormat="1" applyFont="1" applyBorder="1" applyAlignment="1"/>
    <xf numFmtId="37" fontId="17" fillId="0" borderId="2" xfId="0" applyNumberFormat="1" applyFont="1" applyBorder="1" applyAlignment="1"/>
    <xf numFmtId="5" fontId="17" fillId="0" borderId="2" xfId="0" applyNumberFormat="1" applyFont="1" applyBorder="1" applyAlignment="1"/>
    <xf numFmtId="5" fontId="17" fillId="0" borderId="40" xfId="0" applyNumberFormat="1" applyFont="1" applyBorder="1" applyAlignment="1"/>
    <xf numFmtId="5" fontId="17" fillId="0" borderId="3" xfId="0" applyNumberFormat="1" applyFont="1" applyBorder="1" applyAlignment="1"/>
    <xf numFmtId="37" fontId="6" fillId="0" borderId="3" xfId="0" applyNumberFormat="1" applyFont="1" applyBorder="1" applyAlignment="1"/>
    <xf numFmtId="37" fontId="6" fillId="0" borderId="37" xfId="0" applyNumberFormat="1" applyFont="1" applyBorder="1" applyAlignment="1"/>
    <xf numFmtId="37" fontId="6" fillId="0" borderId="40" xfId="0" applyNumberFormat="1" applyFont="1" applyBorder="1" applyAlignment="1"/>
    <xf numFmtId="37" fontId="6" fillId="0" borderId="18" xfId="0" applyNumberFormat="1" applyFont="1" applyBorder="1" applyAlignment="1"/>
    <xf numFmtId="0" fontId="6" fillId="0" borderId="66" xfId="0" applyNumberFormat="1" applyFont="1" applyBorder="1" applyAlignment="1"/>
    <xf numFmtId="0" fontId="6" fillId="0" borderId="12" xfId="0" applyNumberFormat="1" applyFont="1" applyBorder="1" applyAlignment="1">
      <alignment horizontal="left" indent="3"/>
    </xf>
    <xf numFmtId="0" fontId="6" fillId="0" borderId="46" xfId="0" applyNumberFormat="1" applyFont="1" applyBorder="1" applyAlignment="1">
      <alignment horizontal="left" indent="3"/>
    </xf>
    <xf numFmtId="5" fontId="6" fillId="0" borderId="2" xfId="0" applyNumberFormat="1" applyFont="1" applyBorder="1" applyAlignment="1"/>
    <xf numFmtId="5" fontId="6" fillId="0" borderId="3" xfId="0" applyNumberFormat="1" applyFont="1" applyBorder="1" applyAlignment="1"/>
    <xf numFmtId="165" fontId="6" fillId="0" borderId="0" xfId="0" applyNumberFormat="1" applyFont="1" applyAlignment="1">
      <alignment horizontal="centerContinuous"/>
    </xf>
    <xf numFmtId="0" fontId="17" fillId="0" borderId="0" xfId="0" applyNumberFormat="1" applyFont="1" applyBorder="1" applyAlignment="1">
      <alignment horizontal="left" indent="5"/>
    </xf>
    <xf numFmtId="37" fontId="17" fillId="0" borderId="0" xfId="0" applyNumberFormat="1" applyFont="1" applyBorder="1" applyAlignment="1"/>
    <xf numFmtId="5" fontId="17" fillId="0" borderId="0" xfId="0" applyNumberFormat="1" applyFont="1" applyBorder="1" applyAlignment="1"/>
    <xf numFmtId="3" fontId="7" fillId="2" borderId="0" xfId="0" applyNumberFormat="1" applyFont="1" applyFill="1" applyAlignment="1"/>
    <xf numFmtId="165" fontId="53" fillId="0" borderId="0" xfId="0" applyNumberFormat="1" applyFont="1" applyAlignment="1"/>
    <xf numFmtId="165" fontId="52" fillId="0" borderId="0" xfId="0" applyNumberFormat="1" applyFont="1" applyAlignment="1"/>
    <xf numFmtId="37" fontId="6" fillId="0" borderId="39" xfId="0" applyNumberFormat="1" applyFont="1" applyBorder="1" applyAlignment="1"/>
    <xf numFmtId="0" fontId="61" fillId="0" borderId="7" xfId="0" applyNumberFormat="1" applyFont="1" applyBorder="1" applyAlignment="1"/>
    <xf numFmtId="0" fontId="61" fillId="0" borderId="0" xfId="0" applyNumberFormat="1" applyFont="1" applyBorder="1" applyAlignment="1"/>
    <xf numFmtId="0" fontId="61" fillId="0" borderId="39" xfId="0" applyNumberFormat="1" applyFont="1" applyBorder="1" applyAlignment="1"/>
    <xf numFmtId="0" fontId="61" fillId="0" borderId="0" xfId="0" applyNumberFormat="1" applyFont="1" applyAlignment="1"/>
    <xf numFmtId="0" fontId="48" fillId="0" borderId="0" xfId="9" applyFont="1"/>
    <xf numFmtId="0" fontId="0" fillId="0" borderId="0" xfId="0" applyAlignment="1"/>
    <xf numFmtId="0" fontId="21" fillId="0" borderId="0" xfId="9"/>
    <xf numFmtId="0" fontId="17" fillId="0" borderId="0" xfId="9" applyFont="1"/>
    <xf numFmtId="0" fontId="23" fillId="0" borderId="0" xfId="9" applyFont="1"/>
    <xf numFmtId="0" fontId="9" fillId="0" borderId="0" xfId="9" applyFont="1"/>
    <xf numFmtId="0" fontId="9" fillId="0" borderId="0" xfId="9" applyFont="1" applyFill="1" applyAlignment="1">
      <alignment vertical="center"/>
    </xf>
    <xf numFmtId="0" fontId="23" fillId="0" borderId="0" xfId="9" applyFont="1" applyFill="1" applyBorder="1" applyAlignment="1">
      <alignment horizontal="centerContinuous"/>
    </xf>
    <xf numFmtId="0" fontId="9" fillId="0" borderId="7" xfId="9" applyFont="1" applyFill="1" applyBorder="1" applyAlignment="1">
      <alignment horizontal="center"/>
    </xf>
    <xf numFmtId="0" fontId="9" fillId="0" borderId="39" xfId="9" applyFont="1" applyFill="1" applyBorder="1" applyAlignment="1">
      <alignment horizontal="center"/>
    </xf>
    <xf numFmtId="0" fontId="9" fillId="0" borderId="0" xfId="9" applyFont="1" applyFill="1"/>
    <xf numFmtId="0" fontId="9" fillId="0" borderId="0" xfId="9" applyFont="1" applyFill="1" applyBorder="1" applyAlignment="1">
      <alignment horizontal="center"/>
    </xf>
    <xf numFmtId="0" fontId="9" fillId="0" borderId="6" xfId="9" applyFont="1" applyFill="1" applyBorder="1" applyAlignment="1">
      <alignment horizontal="center" wrapText="1"/>
    </xf>
    <xf numFmtId="0" fontId="9" fillId="0" borderId="3" xfId="9" applyFont="1" applyFill="1" applyBorder="1" applyAlignment="1">
      <alignment horizontal="center" wrapText="1"/>
    </xf>
    <xf numFmtId="0" fontId="65" fillId="0" borderId="0" xfId="9" applyFont="1" applyFill="1" applyBorder="1" applyAlignment="1">
      <alignment horizontal="center"/>
    </xf>
    <xf numFmtId="0" fontId="9" fillId="0" borderId="1" xfId="9" applyFont="1" applyBorder="1"/>
    <xf numFmtId="37" fontId="9" fillId="0" borderId="7" xfId="9" applyNumberFormat="1" applyFont="1" applyBorder="1"/>
    <xf numFmtId="37" fontId="9" fillId="0" borderId="39" xfId="9" applyNumberFormat="1" applyFont="1" applyBorder="1"/>
    <xf numFmtId="3" fontId="9" fillId="0" borderId="0" xfId="9" applyNumberFormat="1" applyFont="1"/>
    <xf numFmtId="37" fontId="9" fillId="0" borderId="0" xfId="9" applyNumberFormat="1" applyFont="1" applyBorder="1"/>
    <xf numFmtId="37" fontId="9" fillId="0" borderId="67" xfId="9" applyNumberFormat="1" applyFont="1" applyBorder="1"/>
    <xf numFmtId="0" fontId="9" fillId="0" borderId="0" xfId="9" applyFont="1" applyBorder="1"/>
    <xf numFmtId="0" fontId="23" fillId="0" borderId="5" xfId="9" applyFont="1" applyBorder="1"/>
    <xf numFmtId="37" fontId="9" fillId="0" borderId="39" xfId="3" applyNumberFormat="1" applyFont="1" applyBorder="1"/>
    <xf numFmtId="168" fontId="23" fillId="0" borderId="0" xfId="3" applyNumberFormat="1" applyFont="1" applyBorder="1"/>
    <xf numFmtId="0" fontId="9" fillId="0" borderId="5" xfId="9" applyFont="1" applyBorder="1"/>
    <xf numFmtId="3" fontId="9" fillId="0" borderId="7" xfId="1" applyNumberFormat="1" applyFont="1" applyBorder="1"/>
    <xf numFmtId="3" fontId="9" fillId="0" borderId="5" xfId="1" applyNumberFormat="1" applyFont="1" applyBorder="1"/>
    <xf numFmtId="167" fontId="9" fillId="0" borderId="0" xfId="1" applyNumberFormat="1" applyFont="1" applyBorder="1"/>
    <xf numFmtId="167" fontId="23" fillId="0" borderId="0" xfId="1" applyNumberFormat="1" applyFont="1" applyBorder="1"/>
    <xf numFmtId="0" fontId="66" fillId="0" borderId="0" xfId="9" applyFont="1"/>
    <xf numFmtId="170" fontId="9" fillId="0" borderId="0" xfId="9" applyNumberFormat="1" applyFont="1"/>
    <xf numFmtId="37" fontId="9" fillId="0" borderId="0" xfId="9" applyNumberFormat="1" applyFont="1"/>
    <xf numFmtId="37" fontId="9" fillId="0" borderId="7" xfId="9" applyNumberFormat="1" applyFont="1" applyBorder="1" applyAlignment="1"/>
    <xf numFmtId="37" fontId="9" fillId="0" borderId="39" xfId="9" applyNumberFormat="1" applyFont="1" applyBorder="1" applyAlignment="1"/>
    <xf numFmtId="37" fontId="23" fillId="0" borderId="37" xfId="1" applyNumberFormat="1" applyFont="1" applyBorder="1"/>
    <xf numFmtId="0" fontId="9" fillId="0" borderId="0" xfId="9" applyNumberFormat="1" applyFont="1"/>
    <xf numFmtId="0" fontId="23" fillId="0" borderId="73" xfId="9" applyFont="1" applyBorder="1" applyAlignment="1">
      <alignment horizontal="left"/>
    </xf>
    <xf numFmtId="0" fontId="23" fillId="0" borderId="74" xfId="9" applyFont="1" applyBorder="1" applyAlignment="1">
      <alignment horizontal="left"/>
    </xf>
    <xf numFmtId="167" fontId="23" fillId="0" borderId="0" xfId="9" applyNumberFormat="1" applyFont="1" applyBorder="1" applyAlignment="1">
      <alignment horizontal="left"/>
    </xf>
    <xf numFmtId="168" fontId="23" fillId="0" borderId="0" xfId="3" applyNumberFormat="1" applyFont="1" applyBorder="1" applyAlignment="1">
      <alignment horizontal="left"/>
    </xf>
    <xf numFmtId="0" fontId="66" fillId="0" borderId="0" xfId="9" applyFont="1" applyAlignment="1">
      <alignment horizontal="left"/>
    </xf>
    <xf numFmtId="0" fontId="66" fillId="0" borderId="0" xfId="9" applyFont="1" applyBorder="1" applyAlignment="1">
      <alignment horizontal="left"/>
    </xf>
    <xf numFmtId="0" fontId="23" fillId="0" borderId="0" xfId="9" applyFont="1" applyBorder="1" applyAlignment="1">
      <alignment horizontal="left"/>
    </xf>
    <xf numFmtId="0" fontId="70" fillId="0" borderId="0" xfId="0" applyFont="1"/>
    <xf numFmtId="0" fontId="7" fillId="2" borderId="14" xfId="0" applyNumberFormat="1" applyFont="1" applyFill="1" applyBorder="1" applyAlignment="1">
      <alignment horizontal="left" indent="1"/>
    </xf>
    <xf numFmtId="0" fontId="27" fillId="0" borderId="68" xfId="0" applyNumberFormat="1" applyFont="1" applyFill="1" applyBorder="1" applyAlignment="1">
      <alignment horizontal="left" indent="2"/>
    </xf>
    <xf numFmtId="37" fontId="27" fillId="0" borderId="68" xfId="0" applyNumberFormat="1" applyFont="1" applyFill="1" applyBorder="1" applyAlignment="1"/>
    <xf numFmtId="37" fontId="27" fillId="0" borderId="77" xfId="0" applyNumberFormat="1" applyFont="1" applyFill="1" applyBorder="1" applyAlignment="1"/>
    <xf numFmtId="37" fontId="27" fillId="0" borderId="78" xfId="0" applyNumberFormat="1" applyFont="1" applyFill="1" applyBorder="1" applyAlignment="1"/>
    <xf numFmtId="0" fontId="27" fillId="0" borderId="79" xfId="0" applyNumberFormat="1" applyFont="1" applyFill="1" applyBorder="1" applyAlignment="1">
      <alignment horizontal="left" indent="2"/>
    </xf>
    <xf numFmtId="37" fontId="27" fillId="0" borderId="65" xfId="0" applyNumberFormat="1" applyFont="1" applyFill="1" applyBorder="1" applyAlignment="1"/>
    <xf numFmtId="37" fontId="27" fillId="0" borderId="80" xfId="0" applyNumberFormat="1" applyFont="1" applyFill="1" applyBorder="1" applyAlignment="1"/>
    <xf numFmtId="37" fontId="27" fillId="0" borderId="81" xfId="0" applyNumberFormat="1" applyFont="1" applyFill="1" applyBorder="1" applyAlignment="1"/>
    <xf numFmtId="37" fontId="6" fillId="0" borderId="13" xfId="0" applyNumberFormat="1" applyFont="1" applyBorder="1" applyAlignment="1"/>
    <xf numFmtId="1" fontId="6" fillId="0" borderId="16" xfId="0" applyNumberFormat="1" applyFont="1" applyBorder="1" applyAlignment="1">
      <alignment horizontal="right"/>
    </xf>
    <xf numFmtId="3" fontId="6" fillId="0" borderId="49" xfId="0" applyNumberFormat="1" applyFont="1" applyBorder="1" applyAlignment="1"/>
    <xf numFmtId="37" fontId="7" fillId="2" borderId="18" xfId="0" applyNumberFormat="1" applyFont="1" applyFill="1" applyBorder="1" applyAlignment="1"/>
    <xf numFmtId="3" fontId="18" fillId="0" borderId="0" xfId="5" applyNumberFormat="1" applyFont="1" applyAlignment="1"/>
    <xf numFmtId="0" fontId="16" fillId="0" borderId="0" xfId="7"/>
    <xf numFmtId="0" fontId="15" fillId="2" borderId="0" xfId="10" applyFont="1" applyFill="1" applyAlignment="1">
      <alignment horizontal="center"/>
    </xf>
    <xf numFmtId="0" fontId="16" fillId="2" borderId="0" xfId="10" applyFont="1" applyFill="1"/>
    <xf numFmtId="0" fontId="14" fillId="2" borderId="0" xfId="10" applyFont="1" applyFill="1"/>
    <xf numFmtId="0" fontId="68" fillId="2" borderId="0" xfId="10" applyFont="1" applyFill="1" applyAlignment="1">
      <alignment horizontal="center"/>
    </xf>
    <xf numFmtId="0" fontId="15" fillId="2" borderId="0" xfId="10" applyFont="1" applyFill="1" applyAlignment="1">
      <alignment wrapText="1"/>
    </xf>
    <xf numFmtId="0" fontId="16" fillId="2" borderId="0" xfId="7" applyFill="1"/>
    <xf numFmtId="37" fontId="7" fillId="2" borderId="12" xfId="0" applyNumberFormat="1" applyFont="1" applyFill="1" applyBorder="1" applyAlignment="1"/>
    <xf numFmtId="3" fontId="15" fillId="0" borderId="0" xfId="0" applyNumberFormat="1" applyFont="1" applyAlignment="1"/>
    <xf numFmtId="3" fontId="30" fillId="0" borderId="0" xfId="0" applyNumberFormat="1" applyFont="1" applyAlignment="1"/>
    <xf numFmtId="0" fontId="0" fillId="0" borderId="0" xfId="0" applyBorder="1" applyAlignment="1">
      <alignment vertical="top" wrapText="1"/>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37" fontId="6" fillId="0" borderId="4" xfId="0" applyNumberFormat="1" applyFont="1" applyFill="1" applyBorder="1" applyAlignment="1"/>
    <xf numFmtId="5" fontId="17" fillId="0" borderId="4" xfId="0" applyNumberFormat="1" applyFont="1" applyBorder="1" applyAlignment="1"/>
    <xf numFmtId="37" fontId="6" fillId="0" borderId="41" xfId="0" applyNumberFormat="1" applyFont="1" applyBorder="1" applyAlignment="1"/>
    <xf numFmtId="5" fontId="6" fillId="0" borderId="4" xfId="0" applyNumberFormat="1" applyFont="1" applyBorder="1" applyAlignment="1"/>
    <xf numFmtId="0" fontId="17" fillId="0" borderId="86" xfId="0" applyNumberFormat="1" applyFont="1" applyBorder="1" applyAlignment="1">
      <alignment horizontal="center"/>
    </xf>
    <xf numFmtId="0" fontId="17" fillId="0" borderId="63" xfId="0" applyNumberFormat="1" applyFont="1" applyBorder="1" applyAlignment="1">
      <alignment horizontal="center"/>
    </xf>
    <xf numFmtId="0" fontId="26" fillId="2" borderId="59" xfId="0" applyNumberFormat="1" applyFont="1" applyFill="1" applyBorder="1" applyAlignment="1">
      <alignment horizontal="center"/>
    </xf>
    <xf numFmtId="37" fontId="25" fillId="2" borderId="20" xfId="0" applyNumberFormat="1" applyFont="1" applyFill="1" applyBorder="1" applyAlignment="1">
      <alignment horizontal="center"/>
    </xf>
    <xf numFmtId="37" fontId="25" fillId="2" borderId="25" xfId="0" applyNumberFormat="1" applyFont="1" applyFill="1" applyBorder="1" applyAlignment="1">
      <alignment horizontal="center"/>
    </xf>
    <xf numFmtId="37" fontId="25" fillId="2" borderId="27" xfId="0" applyNumberFormat="1" applyFont="1" applyFill="1" applyBorder="1" applyAlignment="1">
      <alignment horizontal="center"/>
    </xf>
    <xf numFmtId="37" fontId="25" fillId="2" borderId="33" xfId="0" applyNumberFormat="1" applyFont="1" applyFill="1" applyBorder="1" applyAlignment="1">
      <alignment horizontal="center"/>
    </xf>
    <xf numFmtId="37" fontId="25" fillId="2" borderId="35" xfId="0" applyNumberFormat="1" applyFont="1" applyFill="1" applyBorder="1" applyAlignment="1">
      <alignment horizontal="center"/>
    </xf>
    <xf numFmtId="37" fontId="25" fillId="2" borderId="51" xfId="0" applyNumberFormat="1" applyFont="1" applyFill="1" applyBorder="1" applyAlignment="1">
      <alignment horizontal="center"/>
    </xf>
    <xf numFmtId="5" fontId="26" fillId="2" borderId="43" xfId="0" applyNumberFormat="1" applyFont="1" applyFill="1" applyBorder="1" applyAlignment="1">
      <alignment horizontal="center"/>
    </xf>
    <xf numFmtId="3" fontId="5" fillId="2" borderId="0" xfId="0" applyNumberFormat="1" applyFont="1" applyFill="1" applyBorder="1" applyAlignment="1">
      <alignment horizontal="center"/>
    </xf>
    <xf numFmtId="37" fontId="25" fillId="2" borderId="21" xfId="0" applyNumberFormat="1" applyFont="1" applyFill="1" applyBorder="1" applyAlignment="1">
      <alignment horizontal="center"/>
    </xf>
    <xf numFmtId="37" fontId="25" fillId="2" borderId="28" xfId="0" applyNumberFormat="1" applyFont="1" applyFill="1" applyBorder="1" applyAlignment="1">
      <alignment horizontal="center"/>
    </xf>
    <xf numFmtId="37" fontId="25" fillId="2" borderId="0" xfId="0" applyNumberFormat="1" applyFont="1" applyFill="1" applyBorder="1" applyAlignment="1">
      <alignment horizontal="center"/>
    </xf>
    <xf numFmtId="5" fontId="26" fillId="2" borderId="44" xfId="0" applyNumberFormat="1" applyFont="1" applyFill="1" applyBorder="1" applyAlignment="1">
      <alignment horizontal="center"/>
    </xf>
    <xf numFmtId="0" fontId="26" fillId="2" borderId="61" xfId="0" applyNumberFormat="1" applyFont="1" applyFill="1" applyBorder="1" applyAlignment="1">
      <alignment horizontal="center"/>
    </xf>
    <xf numFmtId="37" fontId="25" fillId="2" borderId="23" xfId="0" applyNumberFormat="1" applyFont="1" applyFill="1" applyBorder="1" applyAlignment="1">
      <alignment horizontal="center"/>
    </xf>
    <xf numFmtId="37" fontId="25" fillId="2" borderId="29" xfId="0" applyNumberFormat="1" applyFont="1" applyFill="1" applyBorder="1" applyAlignment="1">
      <alignment horizontal="center"/>
    </xf>
    <xf numFmtId="37" fontId="25" fillId="2" borderId="31" xfId="0" applyNumberFormat="1" applyFont="1" applyFill="1" applyBorder="1" applyAlignment="1">
      <alignment horizontal="center"/>
    </xf>
    <xf numFmtId="37" fontId="25" fillId="2" borderId="32" xfId="0" applyNumberFormat="1" applyFont="1" applyFill="1" applyBorder="1" applyAlignment="1">
      <alignment horizontal="center"/>
    </xf>
    <xf numFmtId="37" fontId="25" fillId="2" borderId="36" xfId="0" applyNumberFormat="1" applyFont="1" applyFill="1" applyBorder="1" applyAlignment="1">
      <alignment horizontal="center"/>
    </xf>
    <xf numFmtId="5" fontId="26" fillId="2" borderId="45" xfId="0" applyNumberFormat="1" applyFont="1" applyFill="1" applyBorder="1" applyAlignment="1">
      <alignment horizontal="center"/>
    </xf>
    <xf numFmtId="0" fontId="45" fillId="0" borderId="0" xfId="0" applyFont="1" applyAlignment="1">
      <alignment horizontal="center"/>
    </xf>
    <xf numFmtId="0" fontId="71" fillId="2" borderId="19" xfId="0" applyNumberFormat="1" applyFont="1" applyFill="1" applyBorder="1" applyAlignment="1">
      <alignment horizontal="left"/>
    </xf>
    <xf numFmtId="0" fontId="71" fillId="2" borderId="53" xfId="0" applyNumberFormat="1" applyFont="1" applyFill="1" applyBorder="1" applyAlignment="1">
      <alignment horizontal="left"/>
    </xf>
    <xf numFmtId="0" fontId="71" fillId="2" borderId="24" xfId="0" applyNumberFormat="1" applyFont="1" applyFill="1" applyBorder="1" applyAlignment="1">
      <alignment horizontal="left"/>
    </xf>
    <xf numFmtId="0" fontId="71" fillId="2" borderId="54" xfId="0" applyNumberFormat="1" applyFont="1" applyFill="1" applyBorder="1" applyAlignment="1">
      <alignment horizontal="left"/>
    </xf>
    <xf numFmtId="0" fontId="71" fillId="2" borderId="55" xfId="0" applyNumberFormat="1" applyFont="1" applyFill="1" applyBorder="1" applyAlignment="1">
      <alignment horizontal="left"/>
    </xf>
    <xf numFmtId="0" fontId="71" fillId="2" borderId="56" xfId="0" applyNumberFormat="1" applyFont="1" applyFill="1" applyBorder="1" applyAlignment="1">
      <alignment horizontal="left"/>
    </xf>
    <xf numFmtId="0" fontId="35" fillId="2" borderId="57" xfId="0" applyNumberFormat="1" applyFont="1" applyFill="1" applyBorder="1" applyAlignment="1">
      <alignment horizontal="left"/>
    </xf>
    <xf numFmtId="5" fontId="7" fillId="2" borderId="47" xfId="0" applyNumberFormat="1" applyFont="1" applyFill="1" applyBorder="1" applyAlignment="1"/>
    <xf numFmtId="5" fontId="7" fillId="2" borderId="48" xfId="0" applyNumberFormat="1" applyFont="1" applyFill="1" applyBorder="1" applyAlignment="1"/>
    <xf numFmtId="0" fontId="23" fillId="0" borderId="0" xfId="8" applyFont="1" applyBorder="1"/>
    <xf numFmtId="0" fontId="0" fillId="0" borderId="69" xfId="0" applyNumberFormat="1" applyBorder="1" applyAlignment="1">
      <alignment horizontal="left" indent="4"/>
    </xf>
    <xf numFmtId="37" fontId="6" fillId="0" borderId="5" xfId="0" applyNumberFormat="1" applyFont="1" applyBorder="1" applyAlignment="1"/>
    <xf numFmtId="0" fontId="3" fillId="0" borderId="12" xfId="0" applyNumberFormat="1" applyFont="1" applyBorder="1" applyAlignment="1">
      <alignment horizontal="left" indent="4"/>
    </xf>
    <xf numFmtId="37" fontId="17" fillId="0" borderId="4" xfId="0" applyNumberFormat="1" applyFont="1" applyBorder="1" applyAlignment="1">
      <alignment horizontal="right"/>
    </xf>
    <xf numFmtId="0" fontId="28" fillId="2" borderId="60" xfId="0" applyNumberFormat="1" applyFont="1" applyFill="1" applyBorder="1" applyAlignment="1">
      <alignment horizontal="left" indent="5"/>
    </xf>
    <xf numFmtId="37" fontId="28" fillId="2" borderId="119" xfId="0" applyNumberFormat="1" applyFont="1" applyFill="1" applyBorder="1" applyAlignment="1"/>
    <xf numFmtId="37" fontId="29" fillId="0" borderId="40" xfId="0" applyNumberFormat="1" applyFont="1" applyBorder="1"/>
    <xf numFmtId="37" fontId="28" fillId="2" borderId="118" xfId="0" applyNumberFormat="1" applyFont="1" applyFill="1" applyBorder="1" applyAlignment="1"/>
    <xf numFmtId="37" fontId="29" fillId="0" borderId="41" xfId="0" applyNumberFormat="1" applyFont="1" applyBorder="1"/>
    <xf numFmtId="37" fontId="28" fillId="2" borderId="72" xfId="0" applyNumberFormat="1" applyFont="1" applyFill="1" applyBorder="1" applyAlignment="1"/>
    <xf numFmtId="0" fontId="7" fillId="2" borderId="121" xfId="0" applyNumberFormat="1" applyFont="1" applyFill="1" applyBorder="1" applyAlignment="1">
      <alignment horizontal="left"/>
    </xf>
    <xf numFmtId="37" fontId="9" fillId="0" borderId="96" xfId="0" applyNumberFormat="1" applyFont="1" applyBorder="1"/>
    <xf numFmtId="37" fontId="9" fillId="0" borderId="120" xfId="0" applyNumberFormat="1" applyFont="1" applyBorder="1"/>
    <xf numFmtId="37" fontId="7" fillId="2" borderId="120" xfId="0" applyNumberFormat="1" applyFont="1" applyFill="1" applyBorder="1" applyAlignment="1"/>
    <xf numFmtId="37" fontId="7" fillId="2" borderId="96" xfId="0" applyNumberFormat="1" applyFont="1" applyFill="1" applyBorder="1" applyAlignment="1"/>
    <xf numFmtId="0" fontId="7" fillId="2" borderId="122" xfId="0" applyNumberFormat="1" applyFont="1" applyFill="1" applyBorder="1" applyAlignment="1">
      <alignment horizontal="left"/>
    </xf>
    <xf numFmtId="37" fontId="7" fillId="2" borderId="123" xfId="0" applyNumberFormat="1" applyFont="1" applyFill="1" applyBorder="1" applyAlignment="1"/>
    <xf numFmtId="37" fontId="7" fillId="2" borderId="124" xfId="0" applyNumberFormat="1" applyFont="1" applyFill="1" applyBorder="1" applyAlignment="1"/>
    <xf numFmtId="0" fontId="7" fillId="2" borderId="125" xfId="0" applyNumberFormat="1" applyFont="1" applyFill="1" applyBorder="1" applyAlignment="1">
      <alignment horizontal="left"/>
    </xf>
    <xf numFmtId="37" fontId="7" fillId="2" borderId="126" xfId="0" applyNumberFormat="1" applyFont="1" applyFill="1" applyBorder="1" applyAlignment="1"/>
    <xf numFmtId="37" fontId="7" fillId="2" borderId="127" xfId="0" applyNumberFormat="1" applyFont="1" applyFill="1" applyBorder="1" applyAlignment="1"/>
    <xf numFmtId="0" fontId="9" fillId="0" borderId="125" xfId="0" applyNumberFormat="1" applyFont="1" applyBorder="1" applyAlignment="1"/>
    <xf numFmtId="0" fontId="7" fillId="2" borderId="128" xfId="0" applyNumberFormat="1" applyFont="1" applyFill="1" applyBorder="1" applyAlignment="1">
      <alignment horizontal="left"/>
    </xf>
    <xf numFmtId="0" fontId="7" fillId="2" borderId="129" xfId="0" applyNumberFormat="1" applyFont="1" applyFill="1" applyBorder="1" applyAlignment="1">
      <alignment horizontal="left"/>
    </xf>
    <xf numFmtId="37" fontId="7" fillId="2" borderId="130" xfId="0" applyNumberFormat="1" applyFont="1" applyFill="1" applyBorder="1" applyAlignment="1"/>
    <xf numFmtId="37" fontId="7" fillId="2" borderId="131" xfId="0" applyNumberFormat="1" applyFont="1" applyFill="1" applyBorder="1" applyAlignment="1"/>
    <xf numFmtId="0" fontId="7" fillId="2" borderId="132" xfId="0" applyNumberFormat="1" applyFont="1" applyFill="1" applyBorder="1" applyAlignment="1">
      <alignment horizontal="left"/>
    </xf>
    <xf numFmtId="37" fontId="9" fillId="0" borderId="117" xfId="0" applyNumberFormat="1" applyFont="1" applyBorder="1"/>
    <xf numFmtId="37" fontId="9" fillId="0" borderId="133" xfId="0" applyNumberFormat="1" applyFont="1" applyBorder="1"/>
    <xf numFmtId="37" fontId="7" fillId="2" borderId="133" xfId="0" applyNumberFormat="1" applyFont="1" applyFill="1" applyBorder="1" applyAlignment="1"/>
    <xf numFmtId="37" fontId="7" fillId="2" borderId="117" xfId="0" applyNumberFormat="1" applyFont="1" applyFill="1" applyBorder="1" applyAlignment="1"/>
    <xf numFmtId="37" fontId="9" fillId="0" borderId="47" xfId="0" applyNumberFormat="1" applyFont="1" applyBorder="1"/>
    <xf numFmtId="37" fontId="9" fillId="0" borderId="9" xfId="0" applyNumberFormat="1" applyFont="1" applyBorder="1"/>
    <xf numFmtId="37" fontId="7" fillId="2" borderId="9" xfId="0" applyNumberFormat="1" applyFont="1" applyFill="1" applyBorder="1" applyAlignment="1"/>
    <xf numFmtId="37" fontId="7" fillId="2" borderId="47" xfId="0" applyNumberFormat="1" applyFont="1" applyFill="1" applyBorder="1" applyAlignment="1"/>
    <xf numFmtId="165" fontId="3" fillId="0" borderId="0" xfId="0" applyNumberFormat="1" applyFont="1"/>
    <xf numFmtId="165" fontId="52" fillId="0" borderId="0" xfId="0" applyNumberFormat="1" applyFont="1"/>
    <xf numFmtId="0" fontId="3" fillId="0" borderId="0" xfId="0" applyFont="1"/>
    <xf numFmtId="165" fontId="3" fillId="3" borderId="0" xfId="0" applyNumberFormat="1" applyFont="1" applyFill="1"/>
    <xf numFmtId="0" fontId="26" fillId="2" borderId="137" xfId="0" applyNumberFormat="1" applyFont="1" applyFill="1" applyBorder="1" applyAlignment="1">
      <alignment horizontal="right"/>
    </xf>
    <xf numFmtId="5" fontId="25" fillId="2" borderId="138" xfId="0" applyNumberFormat="1" applyFont="1" applyFill="1" applyBorder="1" applyAlignment="1"/>
    <xf numFmtId="5" fontId="25" fillId="2" borderId="139" xfId="0" applyNumberFormat="1" applyFont="1" applyFill="1" applyBorder="1" applyAlignment="1"/>
    <xf numFmtId="5" fontId="25" fillId="2" borderId="140" xfId="0" applyNumberFormat="1" applyFont="1" applyFill="1" applyBorder="1" applyAlignment="1"/>
    <xf numFmtId="5" fontId="26" fillId="2" borderId="141" xfId="0" applyNumberFormat="1" applyFont="1" applyFill="1" applyBorder="1" applyAlignment="1"/>
    <xf numFmtId="5" fontId="25" fillId="2" borderId="142" xfId="0" applyNumberFormat="1" applyFont="1" applyFill="1" applyBorder="1" applyAlignment="1"/>
    <xf numFmtId="5" fontId="25" fillId="2" borderId="143" xfId="0" applyNumberFormat="1" applyFont="1" applyFill="1" applyBorder="1" applyAlignment="1"/>
    <xf numFmtId="0" fontId="23" fillId="0" borderId="5" xfId="9" applyFont="1" applyBorder="1" applyAlignment="1">
      <alignment vertical="top" wrapText="1"/>
    </xf>
    <xf numFmtId="0" fontId="9" fillId="0" borderId="5" xfId="0" applyFont="1" applyBorder="1" applyAlignment="1">
      <alignment vertical="top" wrapText="1"/>
    </xf>
    <xf numFmtId="0" fontId="9" fillId="0" borderId="5" xfId="0" applyFont="1" applyBorder="1" applyAlignment="1">
      <alignment vertical="top"/>
    </xf>
    <xf numFmtId="0" fontId="23" fillId="0" borderId="4" xfId="9" applyFont="1" applyBorder="1" applyAlignment="1">
      <alignment vertical="top"/>
    </xf>
    <xf numFmtId="0" fontId="9" fillId="0" borderId="5" xfId="9" applyFont="1" applyBorder="1" applyAlignment="1">
      <alignment vertical="top"/>
    </xf>
    <xf numFmtId="37" fontId="9" fillId="0" borderId="7" xfId="1" applyNumberFormat="1" applyFont="1" applyBorder="1"/>
    <xf numFmtId="37" fontId="9" fillId="0" borderId="39" xfId="1" applyNumberFormat="1" applyFont="1" applyBorder="1"/>
    <xf numFmtId="37" fontId="9" fillId="0" borderId="0" xfId="1" applyNumberFormat="1" applyFont="1" applyBorder="1"/>
    <xf numFmtId="37" fontId="23" fillId="0" borderId="18" xfId="1" applyNumberFormat="1" applyFont="1" applyBorder="1"/>
    <xf numFmtId="3" fontId="23" fillId="0" borderId="67" xfId="1" applyNumberFormat="1" applyFont="1" applyBorder="1"/>
    <xf numFmtId="3" fontId="23" fillId="0" borderId="1" xfId="1" applyNumberFormat="1" applyFont="1" applyBorder="1"/>
    <xf numFmtId="37" fontId="23" fillId="0" borderId="67" xfId="1" applyNumberFormat="1" applyFont="1" applyBorder="1"/>
    <xf numFmtId="37" fontId="23" fillId="0" borderId="1" xfId="1" applyNumberFormat="1" applyFont="1" applyBorder="1"/>
    <xf numFmtId="37" fontId="23" fillId="0" borderId="40" xfId="1" applyNumberFormat="1" applyFont="1" applyBorder="1"/>
    <xf numFmtId="37" fontId="9" fillId="0" borderId="6" xfId="9" applyNumberFormat="1" applyFont="1" applyBorder="1"/>
    <xf numFmtId="37" fontId="9" fillId="0" borderId="3" xfId="9" applyNumberFormat="1" applyFont="1" applyBorder="1"/>
    <xf numFmtId="0" fontId="0" fillId="0" borderId="69" xfId="0" applyNumberFormat="1" applyBorder="1" applyAlignment="1">
      <alignment horizontal="left" indent="2"/>
    </xf>
    <xf numFmtId="0" fontId="6" fillId="0" borderId="12" xfId="0" applyNumberFormat="1" applyFont="1" applyBorder="1" applyAlignment="1">
      <alignment horizontal="left" indent="2"/>
    </xf>
    <xf numFmtId="0" fontId="15" fillId="0" borderId="69" xfId="0" applyNumberFormat="1" applyFont="1" applyBorder="1" applyAlignment="1">
      <alignment horizontal="left" indent="2"/>
    </xf>
    <xf numFmtId="0" fontId="75" fillId="0" borderId="69" xfId="0" applyNumberFormat="1" applyFont="1" applyBorder="1" applyAlignment="1">
      <alignment horizontal="left" indent="2"/>
    </xf>
    <xf numFmtId="3" fontId="53" fillId="0" borderId="0" xfId="0" applyNumberFormat="1" applyFont="1" applyAlignment="1"/>
    <xf numFmtId="37" fontId="3" fillId="0" borderId="11" xfId="0" applyNumberFormat="1" applyFont="1" applyBorder="1"/>
    <xf numFmtId="37" fontId="3" fillId="0" borderId="9" xfId="0" applyNumberFormat="1" applyFont="1" applyBorder="1"/>
    <xf numFmtId="0" fontId="0" fillId="0" borderId="69" xfId="0" applyNumberFormat="1" applyBorder="1" applyAlignment="1">
      <alignment horizontal="left" indent="2"/>
    </xf>
    <xf numFmtId="37" fontId="3" fillId="0" borderId="8" xfId="5" applyNumberFormat="1" applyFont="1" applyBorder="1" applyAlignment="1"/>
    <xf numFmtId="37" fontId="3" fillId="0" borderId="11" xfId="5" applyNumberFormat="1" applyFont="1" applyBorder="1" applyAlignment="1"/>
    <xf numFmtId="37" fontId="3" fillId="0" borderId="8" xfId="5" applyNumberFormat="1" applyFont="1" applyBorder="1" applyAlignment="1"/>
    <xf numFmtId="37" fontId="3" fillId="0" borderId="11" xfId="5" applyNumberFormat="1" applyFont="1" applyBorder="1" applyAlignment="1"/>
    <xf numFmtId="37" fontId="3" fillId="0" borderId="5" xfId="5" applyNumberFormat="1" applyFont="1" applyBorder="1" applyAlignment="1"/>
    <xf numFmtId="0" fontId="3" fillId="0" borderId="13" xfId="5" applyNumberFormat="1" applyFont="1" applyBorder="1" applyAlignment="1"/>
    <xf numFmtId="3" fontId="3" fillId="0" borderId="10" xfId="5" applyNumberFormat="1" applyFont="1" applyBorder="1" applyAlignment="1"/>
    <xf numFmtId="37" fontId="3" fillId="0" borderId="14" xfId="5" applyNumberFormat="1" applyFont="1" applyBorder="1" applyAlignment="1">
      <alignment horizontal="center"/>
    </xf>
    <xf numFmtId="37" fontId="3" fillId="0" borderId="10" xfId="5" applyNumberFormat="1" applyFont="1" applyBorder="1" applyAlignment="1">
      <alignment horizontal="center"/>
    </xf>
    <xf numFmtId="37" fontId="3" fillId="0" borderId="10" xfId="5" applyNumberFormat="1" applyFont="1" applyBorder="1" applyAlignment="1"/>
    <xf numFmtId="164" fontId="3" fillId="0" borderId="10" xfId="5" applyNumberFormat="1" applyFont="1" applyBorder="1" applyAlignment="1"/>
    <xf numFmtId="37" fontId="3" fillId="0" borderId="8" xfId="5" applyNumberFormat="1" applyFont="1" applyBorder="1" applyAlignment="1"/>
    <xf numFmtId="37" fontId="3" fillId="0" borderId="11" xfId="5" applyNumberFormat="1" applyFont="1" applyBorder="1" applyAlignment="1"/>
    <xf numFmtId="37" fontId="3" fillId="0" borderId="4" xfId="5" applyNumberFormat="1" applyFont="1" applyBorder="1" applyAlignment="1"/>
    <xf numFmtId="37" fontId="3" fillId="0" borderId="10" xfId="5" applyNumberFormat="1" applyFont="1" applyBorder="1" applyAlignment="1"/>
    <xf numFmtId="37" fontId="3" fillId="0" borderId="7" xfId="5" applyNumberFormat="1" applyFont="1" applyBorder="1" applyAlignment="1"/>
    <xf numFmtId="37" fontId="3" fillId="0" borderId="6" xfId="5" applyNumberFormat="1" applyFont="1" applyBorder="1" applyAlignment="1"/>
    <xf numFmtId="37" fontId="3" fillId="0" borderId="2" xfId="5" applyNumberFormat="1" applyFont="1" applyBorder="1" applyAlignment="1"/>
    <xf numFmtId="37" fontId="3" fillId="0" borderId="14" xfId="5" applyNumberFormat="1" applyFont="1" applyBorder="1" applyAlignment="1"/>
    <xf numFmtId="37" fontId="3" fillId="0" borderId="0" xfId="5" applyNumberFormat="1" applyFont="1" applyBorder="1" applyAlignment="1"/>
    <xf numFmtId="0" fontId="3" fillId="0" borderId="37" xfId="5" applyNumberFormat="1" applyFont="1" applyBorder="1" applyAlignment="1"/>
    <xf numFmtId="0" fontId="17" fillId="0" borderId="62" xfId="5" applyNumberFormat="1" applyFont="1" applyBorder="1" applyAlignment="1">
      <alignment horizontal="right"/>
    </xf>
    <xf numFmtId="0" fontId="17" fillId="0" borderId="63" xfId="5" applyNumberFormat="1" applyFont="1" applyBorder="1" applyAlignment="1">
      <alignment horizontal="right"/>
    </xf>
    <xf numFmtId="0" fontId="17" fillId="0" borderId="64" xfId="5" applyNumberFormat="1" applyFont="1" applyBorder="1" applyAlignment="1">
      <alignment horizontal="right"/>
    </xf>
    <xf numFmtId="37" fontId="3" fillId="0" borderId="6" xfId="5" applyNumberFormat="1" applyFont="1" applyFill="1" applyBorder="1" applyAlignment="1"/>
    <xf numFmtId="37" fontId="3" fillId="0" borderId="2" xfId="5" applyNumberFormat="1" applyFont="1" applyFill="1" applyBorder="1" applyAlignment="1"/>
    <xf numFmtId="0" fontId="17" fillId="0" borderId="37" xfId="5" applyNumberFormat="1" applyFont="1" applyBorder="1" applyAlignment="1">
      <alignment horizontal="left" indent="3"/>
    </xf>
    <xf numFmtId="37" fontId="17" fillId="0" borderId="6" xfId="5" applyNumberFormat="1" applyFont="1" applyBorder="1" applyAlignment="1"/>
    <xf numFmtId="37" fontId="17" fillId="0" borderId="2" xfId="5" applyNumberFormat="1" applyFont="1" applyBorder="1" applyAlignment="1"/>
    <xf numFmtId="5" fontId="17" fillId="0" borderId="2" xfId="5" applyNumberFormat="1" applyFont="1" applyBorder="1" applyAlignment="1"/>
    <xf numFmtId="5" fontId="17" fillId="0" borderId="40" xfId="5" applyNumberFormat="1" applyFont="1" applyBorder="1" applyAlignment="1"/>
    <xf numFmtId="5" fontId="17" fillId="0" borderId="3" xfId="5" applyNumberFormat="1" applyFont="1" applyBorder="1" applyAlignment="1"/>
    <xf numFmtId="37" fontId="3" fillId="0" borderId="3" xfId="5" applyNumberFormat="1" applyFont="1" applyBorder="1" applyAlignment="1"/>
    <xf numFmtId="37" fontId="3" fillId="0" borderId="37" xfId="5" applyNumberFormat="1" applyFont="1" applyBorder="1" applyAlignment="1"/>
    <xf numFmtId="37" fontId="3" fillId="0" borderId="40" xfId="5" applyNumberFormat="1" applyFont="1" applyBorder="1" applyAlignment="1"/>
    <xf numFmtId="37" fontId="3" fillId="0" borderId="18" xfId="5" applyNumberFormat="1" applyFont="1" applyBorder="1" applyAlignment="1"/>
    <xf numFmtId="5" fontId="17" fillId="0" borderId="4" xfId="5" applyNumberFormat="1" applyFont="1" applyBorder="1" applyAlignment="1"/>
    <xf numFmtId="37" fontId="3" fillId="0" borderId="41" xfId="5" applyNumberFormat="1" applyFont="1" applyBorder="1" applyAlignment="1"/>
    <xf numFmtId="0" fontId="17" fillId="0" borderId="86" xfId="5" applyNumberFormat="1" applyFont="1" applyBorder="1" applyAlignment="1">
      <alignment horizontal="center"/>
    </xf>
    <xf numFmtId="0" fontId="17" fillId="0" borderId="63" xfId="5" applyNumberFormat="1" applyFont="1" applyBorder="1" applyAlignment="1">
      <alignment horizontal="center"/>
    </xf>
    <xf numFmtId="37" fontId="17" fillId="0" borderId="37" xfId="5" applyNumberFormat="1" applyFont="1" applyBorder="1" applyAlignment="1"/>
    <xf numFmtId="37" fontId="17" fillId="0" borderId="40" xfId="5" applyNumberFormat="1" applyFont="1" applyBorder="1" applyAlignment="1"/>
    <xf numFmtId="0" fontId="3" fillId="0" borderId="65" xfId="5" applyNumberFormat="1" applyFont="1" applyBorder="1" applyAlignment="1">
      <alignment horizontal="left"/>
    </xf>
    <xf numFmtId="0" fontId="3" fillId="0" borderId="12" xfId="5" applyNumberFormat="1" applyFont="1" applyBorder="1" applyAlignment="1">
      <alignment horizontal="left"/>
    </xf>
    <xf numFmtId="0" fontId="37" fillId="0" borderId="0" xfId="0" applyFont="1" applyBorder="1" applyAlignment="1">
      <alignment vertical="top" wrapText="1"/>
    </xf>
    <xf numFmtId="0" fontId="18" fillId="0" borderId="0" xfId="0" applyNumberFormat="1" applyFont="1" applyAlignment="1"/>
    <xf numFmtId="0" fontId="17" fillId="0" borderId="67" xfId="0" applyNumberFormat="1" applyFont="1" applyBorder="1" applyAlignment="1"/>
    <xf numFmtId="0" fontId="6" fillId="0" borderId="83" xfId="0" applyNumberFormat="1" applyFont="1" applyBorder="1" applyAlignment="1">
      <alignment horizontal="center"/>
    </xf>
    <xf numFmtId="0" fontId="17" fillId="0" borderId="3" xfId="0" applyNumberFormat="1" applyFont="1" applyBorder="1" applyAlignment="1">
      <alignment horizontal="left" indent="5"/>
    </xf>
    <xf numFmtId="0" fontId="3" fillId="0" borderId="0" xfId="0" applyNumberFormat="1" applyFont="1" applyAlignment="1"/>
    <xf numFmtId="0" fontId="23" fillId="0" borderId="41" xfId="9" applyFont="1" applyBorder="1" applyAlignment="1">
      <alignment vertical="top" wrapText="1"/>
    </xf>
    <xf numFmtId="0" fontId="0" fillId="0" borderId="0" xfId="0" applyBorder="1" applyAlignment="1">
      <alignment vertical="top" wrapText="1"/>
    </xf>
    <xf numFmtId="0" fontId="31" fillId="0" borderId="0" xfId="0" applyFont="1" applyBorder="1" applyAlignment="1">
      <alignment horizontal="center"/>
    </xf>
    <xf numFmtId="0" fontId="37" fillId="0" borderId="0" xfId="0" applyFont="1" applyBorder="1" applyAlignment="1">
      <alignment vertical="top" wrapText="1"/>
    </xf>
    <xf numFmtId="0" fontId="0" fillId="0" borderId="0" xfId="0" applyAlignment="1">
      <alignment vertical="top"/>
    </xf>
    <xf numFmtId="0" fontId="31" fillId="0" borderId="0" xfId="0" applyFont="1" applyBorder="1" applyAlignment="1">
      <alignment vertical="top" wrapText="1"/>
    </xf>
    <xf numFmtId="0" fontId="37" fillId="0" borderId="0" xfId="0" applyFont="1" applyBorder="1" applyAlignment="1">
      <alignment horizontal="center" vertical="top" wrapText="1"/>
    </xf>
    <xf numFmtId="0" fontId="31" fillId="0" borderId="0" xfId="0" applyFont="1" applyBorder="1" applyAlignment="1">
      <alignment horizontal="left" vertical="top" wrapText="1"/>
    </xf>
    <xf numFmtId="3" fontId="31" fillId="0" borderId="0" xfId="0" applyNumberFormat="1" applyFont="1" applyBorder="1" applyAlignment="1">
      <alignment vertical="top" wrapText="1"/>
    </xf>
    <xf numFmtId="0" fontId="9" fillId="0" borderId="5" xfId="0" applyFont="1" applyBorder="1" applyAlignment="1">
      <alignment vertical="top" wrapText="1"/>
    </xf>
    <xf numFmtId="0" fontId="72" fillId="0" borderId="0" xfId="0" applyFont="1" applyBorder="1" applyAlignment="1">
      <alignment vertical="top" wrapText="1"/>
    </xf>
    <xf numFmtId="0" fontId="74" fillId="0" borderId="0" xfId="0" applyFont="1" applyBorder="1" applyAlignment="1">
      <alignment vertical="top" wrapText="1"/>
    </xf>
    <xf numFmtId="0" fontId="37" fillId="0" borderId="0" xfId="0" applyNumberFormat="1" applyFont="1" applyBorder="1" applyAlignment="1">
      <alignment vertical="top" wrapText="1"/>
    </xf>
    <xf numFmtId="37" fontId="9" fillId="0" borderId="63" xfId="9" applyNumberFormat="1" applyFont="1" applyBorder="1"/>
    <xf numFmtId="37" fontId="23" fillId="0" borderId="92" xfId="1" applyNumberFormat="1" applyFont="1" applyBorder="1"/>
    <xf numFmtId="3" fontId="23" fillId="0" borderId="0" xfId="1" applyNumberFormat="1" applyFont="1" applyBorder="1"/>
    <xf numFmtId="37" fontId="23" fillId="0" borderId="0" xfId="1" applyNumberFormat="1" applyFont="1" applyBorder="1"/>
    <xf numFmtId="0" fontId="23" fillId="0" borderId="0" xfId="9" applyFont="1" applyBorder="1"/>
    <xf numFmtId="0" fontId="23" fillId="0" borderId="0" xfId="9" applyFont="1" applyBorder="1" applyAlignment="1">
      <alignment vertical="top"/>
    </xf>
    <xf numFmtId="0" fontId="31" fillId="0" borderId="0" xfId="5" applyFont="1" applyBorder="1" applyAlignment="1">
      <alignment vertical="top" wrapText="1"/>
    </xf>
    <xf numFmtId="3" fontId="31" fillId="0" borderId="0" xfId="5" applyNumberFormat="1" applyFont="1" applyBorder="1" applyAlignment="1">
      <alignment vertical="top" wrapText="1"/>
    </xf>
    <xf numFmtId="0" fontId="3" fillId="0" borderId="65" xfId="0" applyNumberFormat="1" applyFont="1" applyBorder="1" applyAlignment="1">
      <alignment horizontal="left"/>
    </xf>
    <xf numFmtId="0" fontId="3" fillId="0" borderId="12" xfId="0" applyNumberFormat="1" applyFont="1" applyBorder="1" applyAlignment="1">
      <alignment horizontal="left"/>
    </xf>
    <xf numFmtId="0" fontId="3" fillId="0" borderId="14" xfId="0" applyNumberFormat="1" applyFont="1" applyBorder="1" applyAlignment="1">
      <alignment horizontal="left"/>
    </xf>
    <xf numFmtId="0" fontId="3" fillId="0" borderId="68" xfId="0" applyNumberFormat="1" applyFont="1" applyBorder="1" applyAlignment="1">
      <alignment horizontal="left"/>
    </xf>
    <xf numFmtId="0" fontId="3" fillId="0" borderId="6" xfId="0" applyNumberFormat="1" applyFont="1" applyBorder="1" applyAlignment="1">
      <alignment horizontal="left"/>
    </xf>
    <xf numFmtId="0" fontId="6" fillId="0" borderId="41" xfId="0" applyNumberFormat="1" applyFont="1" applyBorder="1" applyAlignment="1"/>
    <xf numFmtId="165" fontId="3" fillId="0" borderId="78" xfId="0" applyNumberFormat="1" applyFont="1" applyBorder="1" applyAlignment="1"/>
    <xf numFmtId="165" fontId="3" fillId="0" borderId="82" xfId="0" applyNumberFormat="1" applyFont="1" applyBorder="1" applyAlignment="1"/>
    <xf numFmtId="37" fontId="6" fillId="0" borderId="12" xfId="0" applyNumberFormat="1" applyFont="1" applyFill="1" applyBorder="1" applyAlignment="1"/>
    <xf numFmtId="37" fontId="6" fillId="0" borderId="69" xfId="0" applyNumberFormat="1" applyFont="1" applyFill="1" applyBorder="1" applyAlignment="1"/>
    <xf numFmtId="165" fontId="3" fillId="0" borderId="11" xfId="0" applyNumberFormat="1" applyFont="1" applyBorder="1" applyAlignment="1"/>
    <xf numFmtId="37" fontId="6" fillId="0" borderId="7" xfId="0" applyNumberFormat="1" applyFont="1" applyFill="1" applyBorder="1" applyAlignment="1"/>
    <xf numFmtId="37" fontId="6" fillId="0" borderId="12" xfId="0" applyNumberFormat="1" applyFont="1" applyBorder="1" applyAlignment="1"/>
    <xf numFmtId="37" fontId="6" fillId="0" borderId="82" xfId="0" applyNumberFormat="1" applyFont="1" applyFill="1" applyBorder="1" applyAlignment="1"/>
    <xf numFmtId="37" fontId="6" fillId="0" borderId="0" xfId="0" applyNumberFormat="1" applyFont="1" applyFill="1" applyBorder="1" applyAlignment="1"/>
    <xf numFmtId="37" fontId="6" fillId="0" borderId="69" xfId="0" applyNumberFormat="1" applyFont="1" applyBorder="1" applyAlignment="1"/>
    <xf numFmtId="37" fontId="6" fillId="0" borderId="82" xfId="0" applyNumberFormat="1" applyFont="1" applyBorder="1" applyAlignment="1"/>
    <xf numFmtId="0" fontId="61" fillId="0" borderId="83" xfId="0" applyNumberFormat="1" applyFont="1" applyBorder="1" applyAlignment="1"/>
    <xf numFmtId="165" fontId="3" fillId="0" borderId="81" xfId="0" applyNumberFormat="1" applyFont="1" applyBorder="1" applyAlignment="1"/>
    <xf numFmtId="165" fontId="3" fillId="0" borderId="48" xfId="0" applyNumberFormat="1" applyFont="1" applyBorder="1" applyAlignment="1"/>
    <xf numFmtId="0" fontId="59" fillId="2" borderId="0" xfId="10" applyFont="1" applyFill="1"/>
    <xf numFmtId="0" fontId="31" fillId="0" borderId="0" xfId="0" applyFont="1" applyBorder="1" applyAlignment="1">
      <alignment vertical="top" wrapText="1"/>
    </xf>
    <xf numFmtId="0" fontId="0" fillId="0" borderId="0" xfId="0" applyBorder="1" applyAlignment="1">
      <alignment vertical="top" wrapText="1"/>
    </xf>
    <xf numFmtId="0" fontId="42" fillId="0" borderId="0" xfId="0" applyFont="1" applyBorder="1" applyAlignment="1">
      <alignment vertical="top" wrapText="1"/>
    </xf>
    <xf numFmtId="3" fontId="31" fillId="0" borderId="0" xfId="0" applyNumberFormat="1" applyFont="1" applyBorder="1" applyAlignment="1">
      <alignment horizontal="right" vertical="top" wrapText="1"/>
    </xf>
    <xf numFmtId="5" fontId="25" fillId="2" borderId="146" xfId="0" applyNumberFormat="1" applyFont="1" applyFill="1" applyBorder="1" applyAlignment="1"/>
    <xf numFmtId="0" fontId="0" fillId="0" borderId="0" xfId="0"/>
    <xf numFmtId="0" fontId="3" fillId="0" borderId="68" xfId="5" applyNumberFormat="1" applyFont="1" applyBorder="1" applyAlignment="1">
      <alignment horizontal="left"/>
    </xf>
    <xf numFmtId="0" fontId="3" fillId="0" borderId="9" xfId="5" applyNumberFormat="1" applyFont="1" applyBorder="1" applyAlignment="1">
      <alignment horizontal="left"/>
    </xf>
    <xf numFmtId="37" fontId="3" fillId="0" borderId="12" xfId="5" applyNumberFormat="1" applyFont="1" applyFill="1" applyBorder="1" applyAlignment="1"/>
    <xf numFmtId="37" fontId="3" fillId="0" borderId="69" xfId="5" applyNumberFormat="1" applyFont="1" applyFill="1" applyBorder="1" applyAlignment="1"/>
    <xf numFmtId="37" fontId="3" fillId="0" borderId="82" xfId="5" applyNumberFormat="1" applyFont="1" applyFill="1" applyBorder="1" applyAlignment="1"/>
    <xf numFmtId="37" fontId="3" fillId="0" borderId="7" xfId="5" applyNumberFormat="1" applyFont="1" applyFill="1" applyBorder="1" applyAlignment="1"/>
    <xf numFmtId="37" fontId="3" fillId="0" borderId="46" xfId="5" applyNumberFormat="1" applyFont="1" applyFill="1" applyBorder="1" applyAlignment="1"/>
    <xf numFmtId="37" fontId="3" fillId="0" borderId="0" xfId="5" applyNumberFormat="1" applyFont="1" applyFill="1" applyBorder="1" applyAlignment="1"/>
    <xf numFmtId="37" fontId="3" fillId="0" borderId="47" xfId="5" applyNumberFormat="1" applyFont="1" applyFill="1" applyBorder="1" applyAlignment="1"/>
    <xf numFmtId="37" fontId="3" fillId="0" borderId="48" xfId="5" applyNumberFormat="1" applyFont="1" applyFill="1" applyBorder="1" applyAlignment="1"/>
    <xf numFmtId="37" fontId="3" fillId="0" borderId="5" xfId="5" applyNumberFormat="1" applyFont="1" applyFill="1" applyBorder="1" applyAlignment="1"/>
    <xf numFmtId="37" fontId="3" fillId="0" borderId="9" xfId="5" applyNumberFormat="1" applyFont="1" applyFill="1" applyBorder="1" applyAlignment="1"/>
    <xf numFmtId="37" fontId="3" fillId="0" borderId="12" xfId="5" applyNumberFormat="1" applyFont="1" applyBorder="1" applyAlignment="1"/>
    <xf numFmtId="37" fontId="3" fillId="0" borderId="69" xfId="5" applyNumberFormat="1" applyFont="1" applyBorder="1" applyAlignment="1"/>
    <xf numFmtId="37" fontId="3" fillId="0" borderId="39" xfId="5" applyNumberFormat="1" applyFont="1" applyFill="1" applyBorder="1" applyAlignment="1"/>
    <xf numFmtId="0" fontId="3" fillId="0" borderId="6" xfId="5" applyNumberFormat="1" applyFont="1" applyBorder="1" applyAlignment="1">
      <alignment horizontal="left"/>
    </xf>
    <xf numFmtId="0" fontId="3" fillId="0" borderId="13" xfId="5" applyNumberFormat="1" applyFont="1" applyBorder="1" applyAlignment="1">
      <alignment horizontal="left"/>
    </xf>
    <xf numFmtId="37" fontId="6" fillId="0" borderId="13" xfId="0" applyNumberFormat="1" applyFont="1" applyFill="1" applyBorder="1" applyAlignment="1"/>
    <xf numFmtId="37" fontId="3" fillId="0" borderId="6" xfId="0" applyNumberFormat="1" applyFont="1" applyFill="1" applyBorder="1" applyAlignment="1"/>
    <xf numFmtId="37" fontId="3" fillId="0" borderId="2" xfId="0" applyNumberFormat="1" applyFont="1" applyFill="1" applyBorder="1" applyAlignment="1"/>
    <xf numFmtId="37" fontId="3" fillId="0" borderId="12" xfId="0" applyNumberFormat="1" applyFont="1" applyFill="1" applyBorder="1" applyAlignment="1"/>
    <xf numFmtId="37" fontId="6" fillId="0" borderId="48" xfId="0" applyNumberFormat="1" applyFont="1" applyBorder="1" applyAlignment="1"/>
    <xf numFmtId="0" fontId="0" fillId="0" borderId="0" xfId="0" applyNumberFormat="1" applyBorder="1" applyAlignment="1"/>
    <xf numFmtId="37" fontId="23" fillId="0" borderId="75" xfId="9" applyNumberFormat="1" applyFont="1" applyBorder="1" applyAlignment="1">
      <alignment horizontal="right"/>
    </xf>
    <xf numFmtId="5" fontId="23" fillId="0" borderId="76" xfId="3" applyNumberFormat="1" applyFont="1" applyBorder="1" applyAlignment="1">
      <alignment horizontal="right"/>
    </xf>
    <xf numFmtId="0" fontId="23" fillId="0" borderId="74" xfId="9" applyFont="1" applyBorder="1" applyAlignment="1">
      <alignment horizontal="right"/>
    </xf>
    <xf numFmtId="0" fontId="3" fillId="0" borderId="8" xfId="5" applyNumberFormat="1" applyFont="1" applyBorder="1" applyAlignment="1"/>
    <xf numFmtId="0" fontId="23" fillId="0" borderId="5" xfId="8" applyFont="1" applyBorder="1" applyAlignment="1">
      <alignment horizontal="left"/>
    </xf>
    <xf numFmtId="0" fontId="9" fillId="0" borderId="13" xfId="8" applyFont="1" applyBorder="1"/>
    <xf numFmtId="0" fontId="3" fillId="0" borderId="0" xfId="0" applyNumberFormat="1" applyFont="1" applyBorder="1" applyAlignment="1"/>
    <xf numFmtId="0" fontId="3" fillId="0" borderId="69" xfId="0" applyNumberFormat="1" applyFont="1" applyBorder="1" applyAlignment="1">
      <alignment horizontal="left" indent="2"/>
    </xf>
    <xf numFmtId="0" fontId="47" fillId="0" borderId="0" xfId="0" applyFont="1" applyBorder="1" applyAlignment="1"/>
    <xf numFmtId="0" fontId="57" fillId="0" borderId="0" xfId="0" applyFont="1" applyBorder="1" applyAlignment="1"/>
    <xf numFmtId="0" fontId="14" fillId="3" borderId="0" xfId="0" applyFont="1" applyFill="1" applyAlignment="1">
      <alignment vertical="top" wrapText="1"/>
    </xf>
    <xf numFmtId="0" fontId="6" fillId="0" borderId="10" xfId="0" applyNumberFormat="1" applyFont="1" applyBorder="1" applyAlignment="1">
      <alignment horizontal="left"/>
    </xf>
    <xf numFmtId="0" fontId="6" fillId="0" borderId="11" xfId="0" applyNumberFormat="1" applyFont="1" applyBorder="1" applyAlignment="1">
      <alignment horizontal="left"/>
    </xf>
    <xf numFmtId="0" fontId="6" fillId="0" borderId="12" xfId="0" applyNumberFormat="1" applyFont="1" applyBorder="1" applyAlignment="1">
      <alignment horizontal="left" indent="4"/>
    </xf>
    <xf numFmtId="0" fontId="0" fillId="0" borderId="69" xfId="0" applyNumberFormat="1" applyBorder="1" applyAlignment="1">
      <alignment horizontal="left" indent="4"/>
    </xf>
    <xf numFmtId="0" fontId="6" fillId="0" borderId="12" xfId="0" applyNumberFormat="1" applyFont="1" applyBorder="1" applyAlignment="1"/>
    <xf numFmtId="0" fontId="0" fillId="0" borderId="69" xfId="0" applyNumberFormat="1" applyBorder="1" applyAlignment="1"/>
    <xf numFmtId="0" fontId="3" fillId="0" borderId="12" xfId="0" applyNumberFormat="1" applyFont="1" applyBorder="1" applyAlignment="1">
      <alignment horizontal="left" indent="2"/>
    </xf>
    <xf numFmtId="0" fontId="0" fillId="0" borderId="69" xfId="0" applyNumberFormat="1" applyBorder="1" applyAlignment="1">
      <alignment horizontal="left" indent="2"/>
    </xf>
    <xf numFmtId="0" fontId="6" fillId="0" borderId="12" xfId="0" applyNumberFormat="1" applyFont="1" applyFill="1" applyBorder="1" applyAlignment="1">
      <alignment horizontal="left" indent="4"/>
    </xf>
    <xf numFmtId="0" fontId="6" fillId="0" borderId="12" xfId="0" applyNumberFormat="1" applyFont="1" applyBorder="1" applyAlignment="1">
      <alignment horizontal="left" indent="2"/>
    </xf>
    <xf numFmtId="0" fontId="3" fillId="0" borderId="37" xfId="0" applyNumberFormat="1" applyFont="1" applyBorder="1" applyAlignment="1"/>
    <xf numFmtId="0" fontId="0" fillId="0" borderId="40" xfId="0" applyNumberFormat="1" applyBorder="1" applyAlignment="1"/>
    <xf numFmtId="0" fontId="3" fillId="0" borderId="67" xfId="0" applyNumberFormat="1" applyFont="1" applyBorder="1" applyAlignment="1">
      <alignment horizontal="center" vertical="center" wrapText="1"/>
    </xf>
    <xf numFmtId="0" fontId="57" fillId="0" borderId="92" xfId="0" applyNumberFormat="1" applyFont="1" applyBorder="1" applyAlignment="1">
      <alignment vertical="center"/>
    </xf>
    <xf numFmtId="0" fontId="57" fillId="0" borderId="83" xfId="0" applyNumberFormat="1" applyFont="1" applyBorder="1" applyAlignment="1">
      <alignment vertical="center"/>
    </xf>
    <xf numFmtId="0" fontId="57" fillId="0" borderId="6" xfId="0" applyNumberFormat="1" applyFont="1" applyBorder="1" applyAlignment="1">
      <alignment vertical="center"/>
    </xf>
    <xf numFmtId="0" fontId="57" fillId="0" borderId="2" xfId="0" applyNumberFormat="1" applyFont="1" applyBorder="1" applyAlignment="1">
      <alignment vertical="center"/>
    </xf>
    <xf numFmtId="0" fontId="57" fillId="0" borderId="3" xfId="0" applyNumberFormat="1" applyFont="1" applyBorder="1" applyAlignment="1">
      <alignment vertical="center"/>
    </xf>
    <xf numFmtId="0" fontId="57" fillId="0" borderId="92" xfId="0" applyNumberFormat="1" applyFont="1" applyBorder="1" applyAlignment="1">
      <alignment horizontal="center" vertical="center" wrapText="1"/>
    </xf>
    <xf numFmtId="0" fontId="57" fillId="0" borderId="83" xfId="0" applyNumberFormat="1" applyFont="1" applyBorder="1" applyAlignment="1">
      <alignment horizontal="center" vertical="center" wrapText="1"/>
    </xf>
    <xf numFmtId="0" fontId="57" fillId="0" borderId="6" xfId="0" applyNumberFormat="1" applyFont="1" applyBorder="1" applyAlignment="1">
      <alignment horizontal="center" vertical="center" wrapText="1"/>
    </xf>
    <xf numFmtId="0" fontId="57" fillId="0" borderId="2" xfId="0" applyNumberFormat="1" applyFont="1" applyBorder="1" applyAlignment="1">
      <alignment horizontal="center" vertical="center" wrapText="1"/>
    </xf>
    <xf numFmtId="0" fontId="57" fillId="0" borderId="3" xfId="0" applyNumberFormat="1" applyFont="1" applyBorder="1" applyAlignment="1">
      <alignment horizontal="center" vertical="center" wrapText="1"/>
    </xf>
    <xf numFmtId="0" fontId="57" fillId="0" borderId="92" xfId="0" applyNumberFormat="1" applyFont="1" applyBorder="1" applyAlignment="1">
      <alignment vertical="center" wrapText="1"/>
    </xf>
    <xf numFmtId="0" fontId="57" fillId="0" borderId="6" xfId="0" applyNumberFormat="1" applyFont="1" applyBorder="1" applyAlignment="1">
      <alignment vertical="center" wrapText="1"/>
    </xf>
    <xf numFmtId="0" fontId="57" fillId="0" borderId="2" xfId="0" applyNumberFormat="1" applyFont="1" applyBorder="1" applyAlignment="1">
      <alignment vertical="center" wrapText="1"/>
    </xf>
    <xf numFmtId="0" fontId="6" fillId="0" borderId="92" xfId="0" applyNumberFormat="1" applyFont="1" applyBorder="1" applyAlignment="1">
      <alignment horizontal="center"/>
    </xf>
    <xf numFmtId="0" fontId="6" fillId="0" borderId="83" xfId="0" applyNumberFormat="1" applyFont="1" applyBorder="1" applyAlignment="1">
      <alignment horizontal="center"/>
    </xf>
    <xf numFmtId="0" fontId="6" fillId="0" borderId="2" xfId="0" applyNumberFormat="1" applyFont="1" applyBorder="1" applyAlignment="1">
      <alignment horizontal="left"/>
    </xf>
    <xf numFmtId="0" fontId="6" fillId="0" borderId="3" xfId="0" applyNumberFormat="1" applyFont="1" applyBorder="1" applyAlignment="1">
      <alignment horizontal="left"/>
    </xf>
    <xf numFmtId="0" fontId="3" fillId="0" borderId="12" xfId="0" applyNumberFormat="1" applyFont="1" applyBorder="1" applyAlignment="1">
      <alignment horizontal="left" indent="4"/>
    </xf>
    <xf numFmtId="0" fontId="6" fillId="0" borderId="69" xfId="0" applyNumberFormat="1" applyFont="1" applyBorder="1" applyAlignment="1">
      <alignment horizontal="left" indent="4"/>
    </xf>
    <xf numFmtId="0" fontId="6" fillId="0" borderId="82" xfId="0" applyNumberFormat="1" applyFont="1" applyBorder="1" applyAlignment="1">
      <alignment horizontal="left" indent="4"/>
    </xf>
    <xf numFmtId="0" fontId="32" fillId="0" borderId="0" xfId="0" applyNumberFormat="1" applyFont="1" applyAlignment="1">
      <alignment horizontal="center"/>
    </xf>
    <xf numFmtId="0" fontId="0" fillId="0" borderId="0" xfId="0" applyNumberFormat="1" applyAlignment="1">
      <alignment horizontal="center"/>
    </xf>
    <xf numFmtId="0" fontId="33" fillId="0" borderId="0" xfId="0" applyNumberFormat="1" applyFont="1" applyAlignment="1">
      <alignment horizontal="center"/>
    </xf>
    <xf numFmtId="0" fontId="0" fillId="0" borderId="0" xfId="0"/>
    <xf numFmtId="0" fontId="3" fillId="0" borderId="14" xfId="0" applyNumberFormat="1" applyFont="1" applyBorder="1" applyAlignment="1">
      <alignment horizontal="left" indent="4"/>
    </xf>
    <xf numFmtId="0" fontId="0" fillId="0" borderId="10" xfId="0" applyNumberFormat="1" applyBorder="1" applyAlignment="1">
      <alignment horizontal="left" indent="4"/>
    </xf>
    <xf numFmtId="0" fontId="17" fillId="0" borderId="37" xfId="0" applyNumberFormat="1" applyFont="1" applyBorder="1" applyAlignment="1"/>
    <xf numFmtId="0" fontId="17" fillId="0" borderId="12" xfId="0" applyNumberFormat="1" applyFont="1" applyBorder="1" applyAlignment="1">
      <alignment horizontal="left"/>
    </xf>
    <xf numFmtId="0" fontId="17" fillId="0" borderId="69" xfId="0" applyNumberFormat="1" applyFont="1" applyBorder="1" applyAlignment="1">
      <alignment horizontal="left"/>
    </xf>
    <xf numFmtId="0" fontId="17" fillId="0" borderId="82" xfId="0" applyNumberFormat="1" applyFont="1" applyBorder="1" applyAlignment="1">
      <alignment horizontal="left"/>
    </xf>
    <xf numFmtId="0" fontId="76" fillId="0" borderId="92" xfId="0" applyFont="1" applyBorder="1" applyAlignment="1">
      <alignment wrapText="1"/>
    </xf>
    <xf numFmtId="0" fontId="3" fillId="0" borderId="92" xfId="0" applyFont="1" applyBorder="1" applyAlignment="1">
      <alignment wrapText="1"/>
    </xf>
    <xf numFmtId="0" fontId="3" fillId="0" borderId="10" xfId="5" applyNumberFormat="1" applyFont="1" applyBorder="1" applyAlignment="1"/>
    <xf numFmtId="0" fontId="3" fillId="0" borderId="69" xfId="5" applyNumberFormat="1" applyFont="1" applyBorder="1" applyAlignment="1"/>
    <xf numFmtId="0" fontId="0" fillId="0" borderId="0" xfId="0" applyNumberFormat="1" applyBorder="1" applyAlignment="1">
      <alignment horizontal="center"/>
    </xf>
    <xf numFmtId="0" fontId="17" fillId="0" borderId="67" xfId="0" applyNumberFormat="1" applyFont="1" applyBorder="1" applyAlignment="1"/>
    <xf numFmtId="0" fontId="57" fillId="0" borderId="92" xfId="0" applyNumberFormat="1" applyFont="1" applyBorder="1" applyAlignment="1"/>
    <xf numFmtId="0" fontId="57" fillId="0" borderId="7" xfId="0" applyNumberFormat="1" applyFont="1" applyBorder="1" applyAlignment="1"/>
    <xf numFmtId="0" fontId="57" fillId="0" borderId="0" xfId="0" applyNumberFormat="1" applyFont="1" applyBorder="1" applyAlignment="1"/>
    <xf numFmtId="0" fontId="57" fillId="0" borderId="62" xfId="0" applyNumberFormat="1" applyFont="1" applyBorder="1" applyAlignment="1"/>
    <xf numFmtId="0" fontId="57" fillId="0" borderId="63" xfId="0" applyNumberFormat="1" applyFont="1" applyBorder="1" applyAlignment="1"/>
    <xf numFmtId="0" fontId="18" fillId="0" borderId="0" xfId="0" applyNumberFormat="1" applyFont="1" applyAlignment="1"/>
    <xf numFmtId="0" fontId="59" fillId="0" borderId="0" xfId="0" applyNumberFormat="1" applyFont="1" applyAlignment="1"/>
    <xf numFmtId="0" fontId="17" fillId="0" borderId="84" xfId="0" applyNumberFormat="1" applyFont="1" applyBorder="1" applyAlignment="1"/>
    <xf numFmtId="0" fontId="0" fillId="0" borderId="85" xfId="0" applyNumberFormat="1" applyBorder="1" applyAlignment="1"/>
    <xf numFmtId="3" fontId="6" fillId="0" borderId="0" xfId="0" applyNumberFormat="1" applyFont="1" applyAlignment="1">
      <alignment horizontal="center"/>
    </xf>
    <xf numFmtId="3" fontId="9" fillId="0" borderId="0" xfId="0" applyNumberFormat="1" applyFont="1" applyAlignment="1">
      <alignment horizontal="center"/>
    </xf>
    <xf numFmtId="3" fontId="33" fillId="0" borderId="0" xfId="0" applyNumberFormat="1" applyFont="1" applyAlignment="1">
      <alignment horizontal="center"/>
    </xf>
    <xf numFmtId="165" fontId="17" fillId="0" borderId="1" xfId="0" applyNumberFormat="1" applyFont="1" applyBorder="1" applyAlignment="1">
      <alignment horizontal="right"/>
    </xf>
    <xf numFmtId="0" fontId="0" fillId="0" borderId="86" xfId="0" applyBorder="1" applyAlignment="1"/>
    <xf numFmtId="165" fontId="17" fillId="0" borderId="1" xfId="0" applyNumberFormat="1" applyFont="1" applyBorder="1" applyAlignment="1">
      <alignment horizontal="center"/>
    </xf>
    <xf numFmtId="165" fontId="17" fillId="0" borderId="37" xfId="0" applyNumberFormat="1" applyFont="1" applyBorder="1" applyAlignment="1">
      <alignment horizontal="center"/>
    </xf>
    <xf numFmtId="165" fontId="17" fillId="0" borderId="40" xfId="0" applyNumberFormat="1" applyFont="1" applyBorder="1" applyAlignment="1">
      <alignment horizontal="center"/>
    </xf>
    <xf numFmtId="165" fontId="17" fillId="0" borderId="18" xfId="0" applyNumberFormat="1" applyFont="1" applyBorder="1" applyAlignment="1">
      <alignment horizontal="center"/>
    </xf>
    <xf numFmtId="165" fontId="17" fillId="0" borderId="1" xfId="0" applyNumberFormat="1" applyFont="1" applyBorder="1" applyAlignment="1">
      <alignment horizontal="center" wrapText="1"/>
    </xf>
    <xf numFmtId="0" fontId="0" fillId="0" borderId="86" xfId="0" applyBorder="1" applyAlignment="1">
      <alignment horizontal="center" wrapText="1"/>
    </xf>
    <xf numFmtId="3" fontId="9" fillId="0" borderId="39" xfId="0" applyNumberFormat="1" applyFont="1" applyBorder="1" applyAlignment="1">
      <alignment horizontal="center"/>
    </xf>
    <xf numFmtId="3" fontId="9" fillId="0" borderId="63" xfId="0" applyNumberFormat="1" applyFont="1" applyBorder="1" applyAlignment="1">
      <alignment horizontal="center"/>
    </xf>
    <xf numFmtId="3" fontId="9" fillId="0" borderId="64" xfId="0" applyNumberFormat="1" applyFont="1" applyBorder="1" applyAlignment="1">
      <alignment horizontal="center"/>
    </xf>
    <xf numFmtId="0" fontId="3" fillId="0" borderId="52" xfId="0" applyNumberFormat="1" applyFont="1" applyBorder="1" applyAlignment="1"/>
    <xf numFmtId="0" fontId="0" fillId="0" borderId="89" xfId="0" applyNumberFormat="1" applyBorder="1" applyAlignment="1"/>
    <xf numFmtId="0" fontId="6" fillId="0" borderId="14" xfId="0" applyNumberFormat="1" applyFont="1" applyBorder="1" applyAlignment="1">
      <alignment horizontal="left" indent="4"/>
    </xf>
    <xf numFmtId="0" fontId="17" fillId="0" borderId="90" xfId="0" applyNumberFormat="1" applyFont="1" applyBorder="1" applyAlignment="1">
      <alignment horizontal="left" indent="2"/>
    </xf>
    <xf numFmtId="0" fontId="0" fillId="0" borderId="91" xfId="0" applyNumberFormat="1" applyBorder="1" applyAlignment="1">
      <alignment horizontal="left" indent="2"/>
    </xf>
    <xf numFmtId="0" fontId="15" fillId="3" borderId="0" xfId="0" applyFont="1" applyFill="1" applyBorder="1" applyAlignment="1">
      <alignment vertical="top" wrapText="1"/>
    </xf>
    <xf numFmtId="0" fontId="0" fillId="3" borderId="0" xfId="0" applyFill="1" applyBorder="1" applyAlignment="1"/>
    <xf numFmtId="0" fontId="15" fillId="3" borderId="0" xfId="8" applyFont="1" applyFill="1" applyAlignment="1">
      <alignment horizontal="left" wrapText="1"/>
    </xf>
    <xf numFmtId="0" fontId="0" fillId="3" borderId="0" xfId="0" applyFill="1" applyAlignment="1"/>
    <xf numFmtId="0" fontId="15" fillId="3" borderId="0" xfId="8" applyFont="1" applyFill="1" applyAlignment="1">
      <alignment horizontal="left"/>
    </xf>
    <xf numFmtId="0" fontId="23" fillId="0" borderId="1" xfId="8" applyFont="1" applyBorder="1" applyAlignment="1">
      <alignment wrapText="1"/>
    </xf>
    <xf numFmtId="0" fontId="0" fillId="0" borderId="5" xfId="0" applyBorder="1" applyAlignment="1">
      <alignment wrapText="1"/>
    </xf>
    <xf numFmtId="0" fontId="23" fillId="0" borderId="37" xfId="8" applyFont="1" applyBorder="1" applyAlignment="1">
      <alignment horizontal="center"/>
    </xf>
    <xf numFmtId="0" fontId="23" fillId="0" borderId="40" xfId="8" applyFont="1" applyBorder="1" applyAlignment="1">
      <alignment horizontal="center"/>
    </xf>
    <xf numFmtId="0" fontId="23" fillId="0" borderId="18" xfId="8" applyFont="1" applyBorder="1" applyAlignment="1">
      <alignment horizontal="center"/>
    </xf>
    <xf numFmtId="0" fontId="23" fillId="0" borderId="1" xfId="8" applyFont="1" applyBorder="1" applyAlignment="1">
      <alignment horizontal="center" wrapText="1"/>
    </xf>
    <xf numFmtId="0" fontId="0" fillId="0" borderId="4" xfId="0" applyBorder="1" applyAlignment="1">
      <alignment horizontal="center" wrapText="1"/>
    </xf>
    <xf numFmtId="0" fontId="0" fillId="0" borderId="40" xfId="0" applyBorder="1" applyAlignment="1">
      <alignment horizontal="center"/>
    </xf>
    <xf numFmtId="0" fontId="0" fillId="0" borderId="18" xfId="0" applyBorder="1" applyAlignment="1">
      <alignment horizontal="center"/>
    </xf>
    <xf numFmtId="0" fontId="23" fillId="0" borderId="1" xfId="8" applyFont="1" applyBorder="1" applyAlignment="1"/>
    <xf numFmtId="0" fontId="0" fillId="0" borderId="4" xfId="0" applyBorder="1" applyAlignment="1"/>
    <xf numFmtId="3" fontId="18" fillId="0" borderId="0" xfId="0" applyNumberFormat="1" applyFont="1" applyAlignment="1"/>
    <xf numFmtId="0" fontId="59" fillId="0" borderId="0" xfId="0" applyFont="1" applyAlignment="1"/>
    <xf numFmtId="0" fontId="32" fillId="0" borderId="0" xfId="8" applyFont="1" applyAlignment="1">
      <alignment horizontal="center"/>
    </xf>
    <xf numFmtId="0" fontId="58" fillId="0" borderId="0" xfId="0" applyFont="1" applyAlignment="1">
      <alignment horizontal="center"/>
    </xf>
    <xf numFmtId="3" fontId="33" fillId="0" borderId="0" xfId="8" applyNumberFormat="1" applyFont="1" applyAlignment="1">
      <alignment horizontal="center"/>
    </xf>
    <xf numFmtId="0" fontId="58" fillId="0" borderId="0" xfId="0" applyFont="1" applyBorder="1" applyAlignment="1">
      <alignment horizontal="center"/>
    </xf>
    <xf numFmtId="0" fontId="33" fillId="0" borderId="0" xfId="8" applyFont="1" applyAlignment="1">
      <alignment horizontal="center"/>
    </xf>
    <xf numFmtId="3" fontId="18" fillId="0" borderId="0" xfId="0" applyNumberFormat="1" applyFont="1" applyAlignment="1">
      <alignment horizontal="center"/>
    </xf>
    <xf numFmtId="0" fontId="21" fillId="0" borderId="0" xfId="8" applyAlignment="1">
      <alignment horizontal="center"/>
    </xf>
    <xf numFmtId="0" fontId="16" fillId="0" borderId="0" xfId="8" applyFont="1" applyAlignment="1">
      <alignment horizontal="center"/>
    </xf>
    <xf numFmtId="0" fontId="21" fillId="0" borderId="2" xfId="8" applyBorder="1" applyAlignment="1">
      <alignment horizontal="center"/>
    </xf>
    <xf numFmtId="0" fontId="18" fillId="0" borderId="0" xfId="9" applyFont="1" applyAlignment="1"/>
    <xf numFmtId="0" fontId="64" fillId="0" borderId="0" xfId="0" applyFont="1" applyBorder="1" applyAlignment="1"/>
    <xf numFmtId="0" fontId="17" fillId="0" borderId="0" xfId="9" applyFont="1" applyAlignment="1">
      <alignment horizontal="center"/>
    </xf>
    <xf numFmtId="0" fontId="0" fillId="0" borderId="0" xfId="0" applyBorder="1" applyAlignment="1">
      <alignment horizontal="center"/>
    </xf>
    <xf numFmtId="3" fontId="17" fillId="0" borderId="0" xfId="9" applyNumberFormat="1" applyFont="1" applyAlignment="1">
      <alignment horizontal="center"/>
    </xf>
    <xf numFmtId="0" fontId="9" fillId="0" borderId="0" xfId="9" applyFont="1" applyAlignment="1">
      <alignment horizontal="center"/>
    </xf>
    <xf numFmtId="0" fontId="62" fillId="0" borderId="93" xfId="9" applyFont="1" applyFill="1" applyBorder="1" applyAlignment="1">
      <alignment horizontal="center" vertical="center" wrapText="1"/>
    </xf>
    <xf numFmtId="0" fontId="0" fillId="0" borderId="94" xfId="0" applyBorder="1" applyAlignment="1">
      <alignment horizontal="center" vertical="center" wrapText="1"/>
    </xf>
    <xf numFmtId="0" fontId="0" fillId="0" borderId="6" xfId="0" applyBorder="1" applyAlignment="1">
      <alignment vertical="center" wrapText="1"/>
    </xf>
    <xf numFmtId="0" fontId="0" fillId="0" borderId="3" xfId="0" applyBorder="1" applyAlignment="1">
      <alignment vertical="center" wrapText="1"/>
    </xf>
    <xf numFmtId="0" fontId="67"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3" fillId="0" borderId="37" xfId="9" applyFont="1" applyFill="1" applyBorder="1" applyAlignment="1">
      <alignment horizontal="center"/>
    </xf>
    <xf numFmtId="0" fontId="23" fillId="0" borderId="92" xfId="9" applyFont="1" applyFill="1" applyBorder="1" applyAlignment="1"/>
    <xf numFmtId="0" fontId="9" fillId="0" borderId="2" xfId="9" applyFont="1" applyFill="1" applyBorder="1" applyAlignment="1"/>
    <xf numFmtId="0" fontId="0" fillId="0" borderId="6" xfId="0" applyBorder="1" applyAlignment="1">
      <alignment horizontal="center" vertical="center" wrapText="1"/>
    </xf>
    <xf numFmtId="0" fontId="0" fillId="0" borderId="3" xfId="0" applyBorder="1" applyAlignment="1">
      <alignment horizontal="center" vertical="center" wrapText="1"/>
    </xf>
    <xf numFmtId="1" fontId="23" fillId="0" borderId="93" xfId="9" applyNumberFormat="1" applyFont="1" applyFill="1" applyBorder="1" applyAlignment="1">
      <alignment horizontal="center" vertical="center" wrapText="1"/>
    </xf>
    <xf numFmtId="1" fontId="23" fillId="0" borderId="95" xfId="9" applyNumberFormat="1" applyFont="1" applyFill="1" applyBorder="1" applyAlignment="1">
      <alignment horizontal="center" vertical="center" wrapText="1"/>
    </xf>
    <xf numFmtId="0" fontId="0" fillId="0" borderId="96" xfId="0" applyBorder="1" applyAlignment="1">
      <alignment horizontal="center" vertical="center" wrapText="1"/>
    </xf>
    <xf numFmtId="0" fontId="0" fillId="0" borderId="97" xfId="0" applyBorder="1" applyAlignment="1">
      <alignment horizontal="center" vertical="center" wrapText="1"/>
    </xf>
    <xf numFmtId="0" fontId="23" fillId="0" borderId="6" xfId="9" applyFont="1" applyFill="1" applyBorder="1" applyAlignment="1">
      <alignment horizontal="center"/>
    </xf>
    <xf numFmtId="0" fontId="23" fillId="0" borderId="3" xfId="9" applyFont="1" applyFill="1" applyBorder="1" applyAlignment="1">
      <alignment horizontal="center"/>
    </xf>
    <xf numFmtId="0" fontId="31" fillId="0" borderId="0" xfId="0" applyFont="1" applyAlignment="1">
      <alignment wrapText="1"/>
    </xf>
    <xf numFmtId="0" fontId="0" fillId="0" borderId="0" xfId="0" applyAlignment="1">
      <alignment wrapText="1"/>
    </xf>
    <xf numFmtId="0" fontId="72" fillId="0" borderId="0" xfId="0" applyFont="1" applyFill="1" applyBorder="1" applyAlignment="1">
      <alignment vertical="top" wrapText="1"/>
    </xf>
    <xf numFmtId="0" fontId="74" fillId="0" borderId="0" xfId="0" applyFont="1" applyBorder="1" applyAlignment="1">
      <alignment vertical="top" wrapText="1"/>
    </xf>
    <xf numFmtId="0" fontId="42" fillId="0" borderId="0" xfId="0" applyFont="1" applyBorder="1" applyAlignment="1">
      <alignment vertical="top" wrapText="1"/>
    </xf>
    <xf numFmtId="0" fontId="0" fillId="0" borderId="0" xfId="0" applyBorder="1" applyAlignment="1">
      <alignment vertical="top" wrapText="1"/>
    </xf>
    <xf numFmtId="0" fontId="37" fillId="0" borderId="0" xfId="0" applyFont="1" applyBorder="1" applyAlignment="1">
      <alignment horizontal="center" vertical="top"/>
    </xf>
    <xf numFmtId="0" fontId="0" fillId="0" borderId="0" xfId="0" applyBorder="1" applyAlignment="1">
      <alignment horizontal="center" vertical="top"/>
    </xf>
    <xf numFmtId="0" fontId="37" fillId="0" borderId="0" xfId="0" applyNumberFormat="1" applyFont="1" applyBorder="1" applyAlignment="1">
      <alignment vertical="top" wrapText="1"/>
    </xf>
    <xf numFmtId="0" fontId="37" fillId="0" borderId="0" xfId="0" applyFont="1" applyBorder="1" applyAlignment="1">
      <alignment vertical="top" wrapText="1"/>
    </xf>
    <xf numFmtId="0" fontId="31" fillId="0" borderId="0" xfId="0" applyNumberFormat="1" applyFont="1" applyBorder="1" applyAlignment="1">
      <alignment vertical="top" wrapText="1"/>
    </xf>
    <xf numFmtId="0" fontId="15" fillId="0" borderId="0" xfId="0" applyFont="1" applyAlignment="1">
      <alignment vertical="top" wrapText="1"/>
    </xf>
    <xf numFmtId="0" fontId="72" fillId="0" borderId="0" xfId="0" applyFont="1" applyBorder="1" applyAlignment="1">
      <alignment vertical="top" wrapText="1"/>
    </xf>
    <xf numFmtId="0" fontId="31" fillId="0" borderId="0" xfId="0" applyFont="1" applyBorder="1" applyAlignment="1">
      <alignment horizontal="left" vertical="top" wrapText="1"/>
    </xf>
    <xf numFmtId="0" fontId="31" fillId="0" borderId="0" xfId="9" applyFont="1" applyBorder="1" applyAlignment="1">
      <alignment horizontal="center"/>
    </xf>
    <xf numFmtId="0" fontId="31" fillId="0" borderId="0" xfId="0" applyFont="1" applyBorder="1" applyAlignment="1">
      <alignment vertical="top" wrapText="1"/>
    </xf>
    <xf numFmtId="0" fontId="37" fillId="0" borderId="0" xfId="0" applyFont="1" applyBorder="1" applyAlignment="1">
      <alignment horizontal="center"/>
    </xf>
    <xf numFmtId="0" fontId="31" fillId="0" borderId="0" xfId="5" applyFont="1" applyBorder="1" applyAlignment="1">
      <alignment vertical="top" wrapText="1"/>
    </xf>
    <xf numFmtId="0" fontId="15" fillId="0" borderId="0" xfId="5" applyBorder="1" applyAlignment="1">
      <alignment vertical="top" wrapText="1"/>
    </xf>
    <xf numFmtId="0" fontId="18" fillId="0" borderId="0" xfId="9" applyFont="1" applyAlignment="1">
      <alignment horizontal="left"/>
    </xf>
    <xf numFmtId="0" fontId="0" fillId="0" borderId="0" xfId="0" applyBorder="1" applyAlignment="1">
      <alignment horizontal="left"/>
    </xf>
    <xf numFmtId="0" fontId="6" fillId="0" borderId="0" xfId="9" applyFont="1" applyAlignment="1">
      <alignment horizontal="center"/>
    </xf>
    <xf numFmtId="0" fontId="6" fillId="0" borderId="0" xfId="9" applyFont="1" applyBorder="1" applyAlignment="1">
      <alignment horizontal="center"/>
    </xf>
    <xf numFmtId="0" fontId="31" fillId="0" borderId="0" xfId="5" applyNumberFormat="1" applyFont="1" applyBorder="1" applyAlignment="1">
      <alignment vertical="top" wrapText="1"/>
    </xf>
    <xf numFmtId="0" fontId="0" fillId="0" borderId="0" xfId="0" applyAlignment="1">
      <alignment vertical="top" wrapText="1"/>
    </xf>
    <xf numFmtId="165" fontId="10" fillId="0" borderId="0" xfId="0" applyNumberFormat="1" applyFont="1" applyAlignment="1">
      <alignment horizontal="center"/>
    </xf>
    <xf numFmtId="0" fontId="6" fillId="0" borderId="0" xfId="0" applyFont="1" applyAlignment="1">
      <alignment horizontal="center"/>
    </xf>
    <xf numFmtId="165" fontId="12" fillId="0" borderId="0" xfId="0" applyNumberFormat="1" applyFont="1" applyAlignment="1">
      <alignment horizontal="center"/>
    </xf>
    <xf numFmtId="0" fontId="6" fillId="0" borderId="0" xfId="0" applyFont="1" applyBorder="1" applyAlignment="1">
      <alignment horizontal="center"/>
    </xf>
    <xf numFmtId="165" fontId="22" fillId="3" borderId="0" xfId="0" applyNumberFormat="1" applyFont="1" applyFill="1" applyAlignment="1">
      <alignment horizontal="center" wrapText="1"/>
    </xf>
    <xf numFmtId="0" fontId="15" fillId="0" borderId="0" xfId="0" applyFont="1" applyAlignment="1">
      <alignment wrapText="1"/>
    </xf>
    <xf numFmtId="0" fontId="17" fillId="0" borderId="67" xfId="5" applyNumberFormat="1" applyFont="1" applyBorder="1" applyAlignment="1">
      <alignment horizontal="center" vertical="center" wrapText="1"/>
    </xf>
    <xf numFmtId="0" fontId="3" fillId="0" borderId="92" xfId="5" applyNumberFormat="1" applyFont="1" applyBorder="1" applyAlignment="1">
      <alignment horizontal="center" vertical="center" wrapText="1"/>
    </xf>
    <xf numFmtId="0" fontId="3" fillId="0" borderId="83" xfId="5" applyNumberFormat="1" applyFont="1" applyBorder="1" applyAlignment="1">
      <alignment horizontal="center" vertical="center" wrapText="1"/>
    </xf>
    <xf numFmtId="0" fontId="3" fillId="0" borderId="7" xfId="5" applyNumberFormat="1" applyFont="1" applyBorder="1" applyAlignment="1">
      <alignment horizontal="center" vertical="center" wrapText="1"/>
    </xf>
    <xf numFmtId="0" fontId="3" fillId="0" borderId="0" xfId="5" applyNumberFormat="1" applyFont="1" applyBorder="1" applyAlignment="1">
      <alignment horizontal="center" vertical="center" wrapText="1"/>
    </xf>
    <xf numFmtId="0" fontId="3" fillId="0" borderId="39" xfId="5" applyNumberFormat="1" applyFont="1" applyBorder="1" applyAlignment="1">
      <alignment horizontal="center" vertical="center" wrapText="1"/>
    </xf>
    <xf numFmtId="0" fontId="17" fillId="0" borderId="67" xfId="5" applyNumberFormat="1" applyFont="1" applyBorder="1" applyAlignment="1">
      <alignment horizontal="center"/>
    </xf>
    <xf numFmtId="0" fontId="17" fillId="0" borderId="7" xfId="5" applyNumberFormat="1" applyFont="1" applyBorder="1" applyAlignment="1">
      <alignment horizontal="center"/>
    </xf>
    <xf numFmtId="0" fontId="17" fillId="0" borderId="62" xfId="5" applyNumberFormat="1" applyFont="1" applyBorder="1" applyAlignment="1">
      <alignment horizontal="center"/>
    </xf>
    <xf numFmtId="165" fontId="6" fillId="0" borderId="0" xfId="0" applyNumberFormat="1" applyFont="1" applyAlignment="1">
      <alignment horizontal="center"/>
    </xf>
    <xf numFmtId="165" fontId="6" fillId="0" borderId="2" xfId="0" applyNumberFormat="1" applyFont="1" applyBorder="1" applyAlignment="1">
      <alignment horizontal="center"/>
    </xf>
    <xf numFmtId="165" fontId="9" fillId="0" borderId="0" xfId="0" applyNumberFormat="1" applyFont="1" applyAlignment="1">
      <alignment horizontal="center"/>
    </xf>
    <xf numFmtId="0" fontId="17" fillId="0" borderId="1" xfId="5" applyNumberFormat="1" applyFont="1" applyBorder="1" applyAlignment="1">
      <alignment horizontal="center" vertical="center" wrapText="1"/>
    </xf>
    <xf numFmtId="0" fontId="17" fillId="0" borderId="5" xfId="5" applyNumberFormat="1" applyFont="1" applyBorder="1" applyAlignment="1">
      <alignment horizontal="center" vertical="center" wrapText="1"/>
    </xf>
    <xf numFmtId="0" fontId="17" fillId="0" borderId="67" xfId="5" applyNumberFormat="1" applyFont="1" applyBorder="1" applyAlignment="1">
      <alignment horizontal="center" vertical="center"/>
    </xf>
    <xf numFmtId="0" fontId="3" fillId="0" borderId="92" xfId="5" applyNumberFormat="1" applyFont="1" applyBorder="1" applyAlignment="1">
      <alignment horizontal="center" vertical="center"/>
    </xf>
    <xf numFmtId="0" fontId="3" fillId="0" borderId="83" xfId="5" applyNumberFormat="1" applyFont="1" applyBorder="1" applyAlignment="1">
      <alignment horizontal="center" vertical="center"/>
    </xf>
    <xf numFmtId="0" fontId="3" fillId="0" borderId="7" xfId="5" applyNumberFormat="1" applyFont="1" applyBorder="1" applyAlignment="1">
      <alignment horizontal="center" vertical="center"/>
    </xf>
    <xf numFmtId="0" fontId="3" fillId="0" borderId="0" xfId="5" applyNumberFormat="1" applyFont="1" applyBorder="1" applyAlignment="1">
      <alignment horizontal="center" vertical="center"/>
    </xf>
    <xf numFmtId="0" fontId="3" fillId="0" borderId="39" xfId="5" applyNumberFormat="1" applyFont="1" applyBorder="1" applyAlignment="1">
      <alignment horizontal="center" vertical="center"/>
    </xf>
    <xf numFmtId="0" fontId="17" fillId="0" borderId="67" xfId="0" applyNumberFormat="1" applyFont="1" applyBorder="1" applyAlignment="1">
      <alignment horizontal="center" vertical="center"/>
    </xf>
    <xf numFmtId="0" fontId="6" fillId="0" borderId="92" xfId="0" applyNumberFormat="1" applyFont="1" applyBorder="1" applyAlignment="1">
      <alignment horizontal="center" vertical="center"/>
    </xf>
    <xf numFmtId="0" fontId="6" fillId="0" borderId="83"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39" xfId="0" applyNumberFormat="1" applyFont="1" applyBorder="1" applyAlignment="1">
      <alignment horizontal="center" vertical="center"/>
    </xf>
    <xf numFmtId="0" fontId="17" fillId="0" borderId="67" xfId="0" applyNumberFormat="1" applyFont="1" applyBorder="1" applyAlignment="1">
      <alignment horizontal="center" vertical="center" wrapText="1"/>
    </xf>
    <xf numFmtId="0" fontId="6" fillId="0" borderId="92" xfId="0" applyNumberFormat="1" applyFont="1" applyBorder="1" applyAlignment="1">
      <alignment horizontal="center" vertical="center" wrapText="1"/>
    </xf>
    <xf numFmtId="0" fontId="6" fillId="0" borderId="83"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39"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83" xfId="0" applyNumberFormat="1" applyFont="1" applyBorder="1" applyAlignment="1">
      <alignment horizontal="center" vertical="center" wrapText="1"/>
    </xf>
    <xf numFmtId="0" fontId="17" fillId="0" borderId="39" xfId="0" applyNumberFormat="1" applyFont="1" applyBorder="1" applyAlignment="1">
      <alignment horizontal="center" vertical="center" wrapText="1"/>
    </xf>
    <xf numFmtId="0" fontId="17" fillId="0" borderId="67" xfId="0" applyNumberFormat="1" applyFont="1" applyBorder="1" applyAlignment="1">
      <alignment horizontal="center"/>
    </xf>
    <xf numFmtId="0" fontId="17" fillId="0" borderId="7" xfId="0" applyNumberFormat="1" applyFont="1" applyBorder="1" applyAlignment="1">
      <alignment horizontal="center"/>
    </xf>
    <xf numFmtId="0" fontId="17" fillId="0" borderId="62" xfId="0" applyNumberFormat="1" applyFont="1" applyBorder="1" applyAlignment="1">
      <alignment horizontal="center"/>
    </xf>
    <xf numFmtId="0" fontId="17" fillId="0" borderId="37" xfId="0" applyNumberFormat="1" applyFont="1" applyBorder="1" applyAlignment="1">
      <alignment horizontal="center"/>
    </xf>
    <xf numFmtId="0" fontId="6" fillId="0" borderId="40" xfId="0" applyNumberFormat="1" applyFont="1" applyBorder="1" applyAlignment="1">
      <alignment horizontal="center"/>
    </xf>
    <xf numFmtId="0" fontId="6" fillId="0" borderId="18" xfId="0" applyNumberFormat="1" applyFont="1" applyBorder="1" applyAlignment="1">
      <alignment horizontal="center"/>
    </xf>
    <xf numFmtId="0" fontId="6" fillId="0" borderId="0" xfId="0" applyNumberFormat="1" applyFont="1" applyAlignment="1">
      <alignment horizontal="center"/>
    </xf>
    <xf numFmtId="0" fontId="6" fillId="0" borderId="0" xfId="0" applyNumberFormat="1" applyFont="1" applyBorder="1" applyAlignment="1">
      <alignment horizontal="center"/>
    </xf>
    <xf numFmtId="165" fontId="50" fillId="0" borderId="0" xfId="0" applyNumberFormat="1" applyFont="1" applyAlignment="1">
      <alignment horizontal="left"/>
    </xf>
    <xf numFmtId="0" fontId="46" fillId="0" borderId="0" xfId="0" applyFont="1" applyBorder="1" applyAlignment="1">
      <alignment horizontal="center"/>
    </xf>
    <xf numFmtId="165" fontId="40" fillId="3" borderId="0" xfId="0" applyNumberFormat="1" applyFont="1" applyFill="1" applyAlignment="1">
      <alignment vertical="top" wrapText="1"/>
    </xf>
    <xf numFmtId="165" fontId="40" fillId="3" borderId="0" xfId="0" applyNumberFormat="1" applyFont="1" applyFill="1" applyBorder="1" applyAlignment="1">
      <alignment vertical="top" wrapText="1"/>
    </xf>
    <xf numFmtId="0" fontId="40" fillId="3" borderId="0" xfId="0" applyFont="1" applyFill="1" applyBorder="1" applyAlignment="1">
      <alignment wrapText="1"/>
    </xf>
    <xf numFmtId="0" fontId="40" fillId="3" borderId="0" xfId="0" applyFont="1" applyFill="1" applyBorder="1" applyAlignment="1">
      <alignment vertical="top" wrapText="1"/>
    </xf>
    <xf numFmtId="165" fontId="45" fillId="0" borderId="92" xfId="0" applyNumberFormat="1" applyFont="1" applyBorder="1" applyAlignment="1">
      <alignment horizontal="center"/>
    </xf>
    <xf numFmtId="0" fontId="6" fillId="0" borderId="0" xfId="0" applyNumberFormat="1" applyFont="1" applyBorder="1" applyAlignment="1"/>
    <xf numFmtId="0" fontId="10" fillId="0" borderId="0" xfId="0" applyNumberFormat="1" applyFont="1" applyAlignment="1">
      <alignment horizontal="center"/>
    </xf>
    <xf numFmtId="0" fontId="12" fillId="0" borderId="0" xfId="0" applyNumberFormat="1" applyFont="1" applyAlignment="1">
      <alignment horizontal="center"/>
    </xf>
    <xf numFmtId="0" fontId="12" fillId="0" borderId="0" xfId="0" applyNumberFormat="1" applyFont="1" applyBorder="1" applyAlignment="1">
      <alignment horizontal="center"/>
    </xf>
    <xf numFmtId="3" fontId="18" fillId="0" borderId="0" xfId="0" applyNumberFormat="1" applyFont="1" applyBorder="1" applyAlignment="1">
      <alignment horizontal="center"/>
    </xf>
    <xf numFmtId="0" fontId="27" fillId="2" borderId="98" xfId="0" applyNumberFormat="1" applyFont="1" applyFill="1" applyBorder="1" applyAlignment="1">
      <alignment horizontal="center" wrapText="1"/>
    </xf>
    <xf numFmtId="0" fontId="6" fillId="0" borderId="15" xfId="0" applyNumberFormat="1" applyFont="1" applyBorder="1" applyAlignment="1">
      <alignment horizontal="center" wrapText="1"/>
    </xf>
    <xf numFmtId="165" fontId="6" fillId="0" borderId="0" xfId="0" applyNumberFormat="1" applyFont="1" applyBorder="1" applyAlignment="1">
      <alignment horizontal="center"/>
    </xf>
    <xf numFmtId="165" fontId="7" fillId="2" borderId="88" xfId="0" applyNumberFormat="1" applyFont="1" applyFill="1" applyBorder="1" applyAlignment="1">
      <alignment horizontal="center"/>
    </xf>
    <xf numFmtId="0" fontId="27" fillId="2" borderId="134" xfId="0" applyNumberFormat="1" applyFont="1" applyFill="1" applyBorder="1" applyAlignment="1">
      <alignment horizontal="center" wrapText="1"/>
    </xf>
    <xf numFmtId="0" fontId="6" fillId="0" borderId="135" xfId="0" applyNumberFormat="1" applyFont="1" applyBorder="1" applyAlignment="1">
      <alignment horizontal="center" wrapText="1"/>
    </xf>
    <xf numFmtId="0" fontId="27" fillId="2" borderId="99" xfId="0" applyNumberFormat="1" applyFont="1" applyFill="1" applyBorder="1" applyAlignment="1">
      <alignment horizontal="center" wrapText="1"/>
    </xf>
    <xf numFmtId="0" fontId="27" fillId="2" borderId="100" xfId="0" applyNumberFormat="1" applyFont="1" applyFill="1" applyBorder="1" applyAlignment="1">
      <alignment horizontal="center" wrapText="1"/>
    </xf>
    <xf numFmtId="0" fontId="27" fillId="2" borderId="101" xfId="0" applyNumberFormat="1" applyFont="1" applyFill="1" applyBorder="1" applyAlignment="1">
      <alignment horizontal="center" vertical="center"/>
    </xf>
    <xf numFmtId="0" fontId="27" fillId="2" borderId="102" xfId="0" applyNumberFormat="1" applyFont="1" applyFill="1" applyBorder="1" applyAlignment="1">
      <alignment horizontal="center" vertical="center"/>
    </xf>
    <xf numFmtId="0" fontId="27" fillId="2" borderId="103" xfId="0" applyNumberFormat="1" applyFont="1" applyFill="1" applyBorder="1" applyAlignment="1">
      <alignment horizontal="center" vertical="center"/>
    </xf>
    <xf numFmtId="0" fontId="27" fillId="2" borderId="109" xfId="0" applyNumberFormat="1" applyFont="1" applyFill="1" applyBorder="1" applyAlignment="1">
      <alignment horizontal="center" wrapText="1"/>
    </xf>
    <xf numFmtId="0" fontId="6" fillId="0" borderId="7" xfId="0" applyNumberFormat="1" applyFont="1" applyBorder="1" applyAlignment="1">
      <alignment wrapText="1"/>
    </xf>
    <xf numFmtId="0" fontId="6" fillId="0" borderId="87" xfId="0" applyNumberFormat="1" applyFont="1" applyBorder="1" applyAlignment="1">
      <alignment wrapText="1"/>
    </xf>
    <xf numFmtId="0" fontId="27" fillId="2" borderId="104" xfId="0" applyNumberFormat="1" applyFont="1" applyFill="1" applyBorder="1" applyAlignment="1">
      <alignment horizontal="center" vertical="center" wrapText="1"/>
    </xf>
    <xf numFmtId="0" fontId="6" fillId="0" borderId="105" xfId="0" applyNumberFormat="1" applyFont="1" applyBorder="1" applyAlignment="1">
      <alignment horizontal="center" vertical="center" wrapText="1"/>
    </xf>
    <xf numFmtId="0" fontId="6" fillId="0" borderId="106" xfId="0" applyNumberFormat="1" applyFont="1" applyBorder="1" applyAlignment="1">
      <alignment horizontal="center" wrapText="1"/>
    </xf>
    <xf numFmtId="0" fontId="27" fillId="2" borderId="107" xfId="0" applyNumberFormat="1" applyFont="1" applyFill="1" applyBorder="1" applyAlignment="1">
      <alignment horizontal="center" wrapText="1"/>
    </xf>
    <xf numFmtId="0" fontId="6" fillId="0" borderId="108" xfId="0" applyNumberFormat="1" applyFont="1" applyBorder="1" applyAlignment="1">
      <alignment horizontal="center" wrapText="1"/>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0" fontId="9" fillId="0" borderId="0" xfId="0" applyNumberFormat="1" applyFont="1" applyAlignment="1">
      <alignment horizontal="center"/>
    </xf>
    <xf numFmtId="0" fontId="34" fillId="2" borderId="26" xfId="0" applyNumberFormat="1" applyFont="1" applyFill="1" applyBorder="1" applyAlignment="1">
      <alignment horizontal="center" wrapText="1"/>
    </xf>
    <xf numFmtId="0" fontId="24" fillId="0" borderId="29" xfId="0" applyNumberFormat="1" applyFont="1" applyBorder="1" applyAlignment="1">
      <alignment wrapText="1"/>
    </xf>
    <xf numFmtId="0" fontId="24" fillId="0" borderId="110" xfId="0" applyNumberFormat="1" applyFont="1" applyBorder="1" applyAlignment="1">
      <alignment wrapText="1"/>
    </xf>
    <xf numFmtId="0" fontId="24" fillId="0" borderId="111" xfId="0" applyNumberFormat="1" applyFont="1" applyBorder="1" applyAlignment="1">
      <alignment wrapText="1"/>
    </xf>
    <xf numFmtId="3" fontId="7" fillId="2" borderId="88" xfId="0" applyNumberFormat="1" applyFont="1" applyFill="1" applyBorder="1" applyAlignment="1">
      <alignment horizontal="center"/>
    </xf>
    <xf numFmtId="3" fontId="49" fillId="2" borderId="112" xfId="0" applyNumberFormat="1" applyFont="1" applyFill="1" applyBorder="1" applyAlignment="1">
      <alignment horizontal="center"/>
    </xf>
    <xf numFmtId="0" fontId="45" fillId="0" borderId="112" xfId="0" applyFont="1" applyBorder="1" applyAlignment="1">
      <alignment horizontal="center"/>
    </xf>
    <xf numFmtId="0" fontId="26" fillId="2" borderId="113" xfId="0" applyNumberFormat="1" applyFont="1" applyFill="1" applyBorder="1" applyAlignment="1">
      <alignment wrapText="1"/>
    </xf>
    <xf numFmtId="0" fontId="6" fillId="0" borderId="114" xfId="0" applyNumberFormat="1" applyFont="1" applyBorder="1" applyAlignment="1">
      <alignment wrapText="1"/>
    </xf>
    <xf numFmtId="0" fontId="6" fillId="0" borderId="115" xfId="0" applyNumberFormat="1" applyFont="1" applyBorder="1" applyAlignment="1">
      <alignment wrapText="1"/>
    </xf>
    <xf numFmtId="0" fontId="24" fillId="0" borderId="144" xfId="0" applyNumberFormat="1" applyFont="1" applyBorder="1" applyAlignment="1">
      <alignment wrapText="1"/>
    </xf>
    <xf numFmtId="0" fontId="10" fillId="0" borderId="28" xfId="0" applyNumberFormat="1" applyFont="1" applyBorder="1" applyAlignment="1">
      <alignment horizontal="center" wrapText="1"/>
    </xf>
    <xf numFmtId="0" fontId="10" fillId="0" borderId="27" xfId="0" applyNumberFormat="1" applyFont="1" applyBorder="1" applyAlignment="1">
      <alignment horizontal="center" wrapText="1"/>
    </xf>
    <xf numFmtId="0" fontId="34" fillId="2" borderId="0" xfId="0" applyNumberFormat="1" applyFont="1" applyFill="1" applyBorder="1" applyAlignment="1">
      <alignment horizontal="center"/>
    </xf>
    <xf numFmtId="0" fontId="34" fillId="2" borderId="33" xfId="0" applyNumberFormat="1" applyFont="1" applyFill="1" applyBorder="1" applyAlignment="1">
      <alignment horizontal="center"/>
    </xf>
    <xf numFmtId="0" fontId="34" fillId="2" borderId="110" xfId="0" applyNumberFormat="1" applyFont="1" applyFill="1" applyBorder="1" applyAlignment="1">
      <alignment horizontal="center" wrapText="1"/>
    </xf>
    <xf numFmtId="0" fontId="24" fillId="0" borderId="145" xfId="0" applyNumberFormat="1" applyFont="1" applyBorder="1" applyAlignment="1">
      <alignment horizontal="center" wrapText="1"/>
    </xf>
    <xf numFmtId="165" fontId="47" fillId="2" borderId="0" xfId="0" applyNumberFormat="1" applyFont="1" applyFill="1" applyAlignment="1">
      <alignment horizontal="center"/>
    </xf>
    <xf numFmtId="165" fontId="7" fillId="2" borderId="0" xfId="0" applyNumberFormat="1" applyFont="1" applyFill="1" applyAlignment="1">
      <alignment horizontal="center"/>
    </xf>
    <xf numFmtId="0" fontId="26" fillId="2" borderId="93" xfId="0" applyNumberFormat="1" applyFont="1" applyFill="1" applyBorder="1" applyAlignment="1">
      <alignment horizontal="center" vertical="center" wrapText="1"/>
    </xf>
    <xf numFmtId="0" fontId="6" fillId="0" borderId="94"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136" xfId="0" applyNumberFormat="1" applyFont="1" applyBorder="1" applyAlignment="1">
      <alignment horizontal="center" vertical="center" wrapText="1"/>
    </xf>
    <xf numFmtId="0" fontId="6" fillId="0" borderId="36" xfId="0" applyNumberFormat="1" applyFont="1" applyBorder="1" applyAlignment="1">
      <alignment horizontal="center" vertical="center" wrapText="1"/>
    </xf>
    <xf numFmtId="0" fontId="26" fillId="2" borderId="116" xfId="0" applyNumberFormat="1" applyFont="1" applyFill="1" applyBorder="1" applyAlignment="1">
      <alignment wrapText="1"/>
    </xf>
    <xf numFmtId="0" fontId="6" fillId="0" borderId="5" xfId="0" applyNumberFormat="1" applyFont="1" applyBorder="1" applyAlignment="1">
      <alignment wrapText="1"/>
    </xf>
    <xf numFmtId="0" fontId="6" fillId="0" borderId="86" xfId="0" applyNumberFormat="1" applyFont="1" applyBorder="1" applyAlignment="1">
      <alignment wrapText="1"/>
    </xf>
    <xf numFmtId="165" fontId="7" fillId="2" borderId="63" xfId="0" applyNumberFormat="1" applyFont="1" applyFill="1" applyBorder="1" applyAlignment="1">
      <alignment horizontal="center"/>
    </xf>
    <xf numFmtId="0" fontId="36" fillId="2" borderId="0" xfId="0" applyNumberFormat="1" applyFont="1" applyFill="1" applyAlignment="1">
      <alignment horizontal="center"/>
    </xf>
    <xf numFmtId="0" fontId="35" fillId="2" borderId="0" xfId="0" applyNumberFormat="1" applyFont="1" applyFill="1" applyAlignment="1">
      <alignment horizontal="center"/>
    </xf>
    <xf numFmtId="0" fontId="35" fillId="2" borderId="0" xfId="0" applyNumberFormat="1" applyFont="1" applyFill="1" applyAlignment="1"/>
    <xf numFmtId="0" fontId="6" fillId="0" borderId="0" xfId="0" applyNumberFormat="1" applyFont="1" applyAlignment="1"/>
    <xf numFmtId="165" fontId="34" fillId="2" borderId="0" xfId="0" applyNumberFormat="1" applyFont="1" applyFill="1" applyAlignment="1">
      <alignment horizontal="center"/>
    </xf>
    <xf numFmtId="0" fontId="0" fillId="0" borderId="0" xfId="0" applyNumberFormat="1" applyBorder="1" applyAlignment="1"/>
    <xf numFmtId="3" fontId="18" fillId="0" borderId="0" xfId="0" applyNumberFormat="1" applyFont="1" applyBorder="1" applyAlignment="1"/>
    <xf numFmtId="0" fontId="0" fillId="0" borderId="0" xfId="0" applyBorder="1" applyAlignment="1"/>
    <xf numFmtId="0" fontId="10" fillId="0" borderId="0" xfId="0" applyNumberFormat="1" applyFont="1" applyBorder="1" applyAlignment="1">
      <alignment horizontal="center"/>
    </xf>
    <xf numFmtId="0" fontId="3" fillId="3" borderId="0" xfId="0" applyFont="1" applyFill="1" applyBorder="1" applyAlignment="1">
      <alignment vertical="top" wrapText="1"/>
    </xf>
    <xf numFmtId="165" fontId="46" fillId="0" borderId="0" xfId="0" applyNumberFormat="1" applyFont="1" applyBorder="1" applyAlignment="1">
      <alignment horizontal="center"/>
    </xf>
    <xf numFmtId="0" fontId="45" fillId="0" borderId="0" xfId="0" applyFont="1" applyBorder="1" applyAlignment="1">
      <alignment horizontal="center"/>
    </xf>
    <xf numFmtId="0" fontId="3" fillId="3" borderId="0" xfId="0" applyNumberFormat="1" applyFont="1" applyFill="1" applyAlignment="1">
      <alignment horizontal="left" wrapText="1"/>
    </xf>
    <xf numFmtId="0" fontId="7" fillId="2" borderId="67" xfId="0" applyNumberFormat="1" applyFont="1" applyFill="1" applyBorder="1" applyAlignment="1"/>
    <xf numFmtId="0" fontId="0" fillId="0" borderId="62" xfId="0" applyNumberFormat="1" applyBorder="1" applyAlignment="1"/>
    <xf numFmtId="0" fontId="9" fillId="0" borderId="0" xfId="0" applyNumberFormat="1" applyFont="1" applyBorder="1" applyAlignment="1">
      <alignment horizontal="center"/>
    </xf>
    <xf numFmtId="0" fontId="27" fillId="2" borderId="37" xfId="0" applyNumberFormat="1" applyFont="1" applyFill="1" applyBorder="1" applyAlignment="1">
      <alignment horizontal="center" vertical="center" wrapText="1"/>
    </xf>
    <xf numFmtId="0" fontId="0" fillId="0" borderId="40" xfId="0" applyNumberFormat="1" applyBorder="1" applyAlignment="1">
      <alignment horizontal="center" vertical="center" wrapText="1"/>
    </xf>
    <xf numFmtId="0" fontId="27" fillId="2" borderId="37" xfId="0" applyNumberFormat="1" applyFont="1" applyFill="1" applyBorder="1" applyAlignment="1">
      <alignment horizontal="center" vertical="center"/>
    </xf>
    <xf numFmtId="0" fontId="0" fillId="0" borderId="18" xfId="0" applyNumberFormat="1" applyBorder="1" applyAlignment="1">
      <alignment horizontal="center" vertical="center"/>
    </xf>
    <xf numFmtId="0" fontId="27" fillId="2" borderId="18" xfId="0" applyNumberFormat="1" applyFont="1" applyFill="1" applyBorder="1" applyAlignment="1">
      <alignment horizontal="center" vertical="center"/>
    </xf>
    <xf numFmtId="0" fontId="23" fillId="0" borderId="37" xfId="0" applyNumberFormat="1" applyFont="1" applyBorder="1" applyAlignment="1">
      <alignment horizontal="center" vertical="center" wrapText="1"/>
    </xf>
    <xf numFmtId="0" fontId="23" fillId="0" borderId="18" xfId="0" applyNumberFormat="1" applyFont="1" applyBorder="1" applyAlignment="1">
      <alignment horizontal="center" vertical="center" wrapText="1"/>
    </xf>
    <xf numFmtId="3" fontId="18" fillId="0" borderId="0" xfId="5" applyNumberFormat="1" applyFont="1" applyAlignment="1">
      <alignment horizontal="center"/>
    </xf>
    <xf numFmtId="0" fontId="15" fillId="0" borderId="0" xfId="5" applyBorder="1" applyAlignment="1">
      <alignment horizontal="center"/>
    </xf>
    <xf numFmtId="3" fontId="17" fillId="2" borderId="0" xfId="10" applyNumberFormat="1" applyFont="1" applyFill="1" applyAlignment="1">
      <alignment horizontal="center"/>
    </xf>
    <xf numFmtId="0" fontId="17" fillId="2" borderId="0" xfId="10" applyFont="1" applyFill="1" applyAlignment="1">
      <alignment horizontal="center"/>
    </xf>
    <xf numFmtId="3" fontId="6" fillId="2" borderId="0" xfId="10" applyNumberFormat="1" applyFont="1" applyFill="1" applyAlignment="1">
      <alignment horizontal="center"/>
    </xf>
    <xf numFmtId="0" fontId="6" fillId="2" borderId="0" xfId="10" applyFont="1" applyFill="1" applyAlignment="1">
      <alignment horizontal="center"/>
    </xf>
    <xf numFmtId="0" fontId="68" fillId="2" borderId="0" xfId="10" applyFont="1" applyFill="1" applyAlignment="1">
      <alignment horizontal="center"/>
    </xf>
    <xf numFmtId="0" fontId="3" fillId="2" borderId="0" xfId="10" applyFont="1" applyFill="1" applyAlignment="1">
      <alignment wrapText="1"/>
    </xf>
    <xf numFmtId="0" fontId="6" fillId="2" borderId="0" xfId="10" applyFont="1" applyFill="1" applyAlignment="1">
      <alignment wrapText="1"/>
    </xf>
  </cellXfs>
  <cellStyles count="16">
    <cellStyle name="Comma" xfId="1" builtinId="3"/>
    <cellStyle name="Comma 2" xfId="2"/>
    <cellStyle name="Comma 3" xfId="13"/>
    <cellStyle name="Currency" xfId="3" builtinId="4"/>
    <cellStyle name="Currency 2" xfId="4"/>
    <cellStyle name="Normal" xfId="0" builtinId="0"/>
    <cellStyle name="Normal 2" xfId="5"/>
    <cellStyle name="Normal 3" xfId="6"/>
    <cellStyle name="Normal 3 2" xfId="11"/>
    <cellStyle name="Normal_Appendix Exhibits.FINAL 2" xfId="7"/>
    <cellStyle name="Normal_Improve by DU" xfId="8"/>
    <cellStyle name="Normal_Rsrcs_X_ DOJ Goal  Obj" xfId="9"/>
    <cellStyle name="Normal_Sheet1 2" xfId="10"/>
    <cellStyle name="Percent 2" xfId="14"/>
    <cellStyle name="Percent 2 2" xfId="15"/>
    <cellStyle name="Percent 3"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81280</xdr:colOff>
      <xdr:row>1</xdr:row>
      <xdr:rowOff>38100</xdr:rowOff>
    </xdr:from>
    <xdr:to>
      <xdr:col>11</xdr:col>
      <xdr:colOff>0</xdr:colOff>
      <xdr:row>27</xdr:row>
      <xdr:rowOff>30480</xdr:rowOff>
    </xdr:to>
    <xdr:pic>
      <xdr:nvPicPr>
        <xdr:cNvPr id="5" name="Picture 4"/>
        <xdr:cNvPicPr/>
      </xdr:nvPicPr>
      <xdr:blipFill>
        <a:blip xmlns:r="http://schemas.openxmlformats.org/officeDocument/2006/relationships" r:embed="rId1" cstate="print"/>
        <a:srcRect/>
        <a:stretch>
          <a:fillRect/>
        </a:stretch>
      </xdr:blipFill>
      <xdr:spPr bwMode="auto">
        <a:xfrm>
          <a:off x="1544320" y="302260"/>
          <a:ext cx="6502400" cy="50215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sheetPr codeName="Sheet3">
    <pageSetUpPr fitToPage="1"/>
  </sheetPr>
  <dimension ref="A1:O253"/>
  <sheetViews>
    <sheetView view="pageBreakPreview" zoomScale="75" zoomScaleNormal="75" zoomScaleSheetLayoutView="75" workbookViewId="0"/>
  </sheetViews>
  <sheetFormatPr defaultRowHeight="15"/>
  <cols>
    <col min="14" max="14" width="1.5546875" style="67" customWidth="1"/>
  </cols>
  <sheetData>
    <row r="1" spans="1:15" ht="20.25">
      <c r="A1" s="136" t="s">
        <v>162</v>
      </c>
      <c r="O1" s="67" t="s">
        <v>0</v>
      </c>
    </row>
    <row r="2" spans="1:15">
      <c r="O2" s="67" t="s">
        <v>0</v>
      </c>
    </row>
    <row r="3" spans="1:15">
      <c r="O3" s="67" t="s">
        <v>0</v>
      </c>
    </row>
    <row r="4" spans="1:15">
      <c r="O4" s="67" t="s">
        <v>0</v>
      </c>
    </row>
    <row r="5" spans="1:15" ht="15.75">
      <c r="B5" s="155"/>
      <c r="O5" s="67" t="s">
        <v>0</v>
      </c>
    </row>
    <row r="6" spans="1:15">
      <c r="O6" s="67" t="s">
        <v>0</v>
      </c>
    </row>
    <row r="7" spans="1:15">
      <c r="O7" s="67" t="s">
        <v>0</v>
      </c>
    </row>
    <row r="8" spans="1:15">
      <c r="O8" s="67" t="s">
        <v>0</v>
      </c>
    </row>
    <row r="9" spans="1:15">
      <c r="O9" s="67" t="s">
        <v>0</v>
      </c>
    </row>
    <row r="10" spans="1:15">
      <c r="O10" s="67" t="s">
        <v>0</v>
      </c>
    </row>
    <row r="11" spans="1:15">
      <c r="O11" s="67" t="s">
        <v>0</v>
      </c>
    </row>
    <row r="12" spans="1:15">
      <c r="O12" s="67" t="s">
        <v>0</v>
      </c>
    </row>
    <row r="13" spans="1:15">
      <c r="O13" s="67" t="s">
        <v>0</v>
      </c>
    </row>
    <row r="14" spans="1:15">
      <c r="O14" s="67" t="s">
        <v>0</v>
      </c>
    </row>
    <row r="15" spans="1:15">
      <c r="O15" s="67" t="s">
        <v>0</v>
      </c>
    </row>
    <row r="16" spans="1:15">
      <c r="O16" s="67" t="s">
        <v>0</v>
      </c>
    </row>
    <row r="17" spans="1:15">
      <c r="O17" s="67" t="s">
        <v>0</v>
      </c>
    </row>
    <row r="18" spans="1:15">
      <c r="O18" s="67" t="s">
        <v>0</v>
      </c>
    </row>
    <row r="19" spans="1:15">
      <c r="O19" s="67" t="s">
        <v>0</v>
      </c>
    </row>
    <row r="20" spans="1:15">
      <c r="O20" s="67" t="s">
        <v>0</v>
      </c>
    </row>
    <row r="21" spans="1:15">
      <c r="O21" s="67" t="s">
        <v>0</v>
      </c>
    </row>
    <row r="22" spans="1:15">
      <c r="O22" s="67" t="s">
        <v>0</v>
      </c>
    </row>
    <row r="23" spans="1:15">
      <c r="O23" s="67" t="s">
        <v>0</v>
      </c>
    </row>
    <row r="24" spans="1:15">
      <c r="O24" s="67" t="s">
        <v>0</v>
      </c>
    </row>
    <row r="25" spans="1:15">
      <c r="O25" s="67" t="s">
        <v>0</v>
      </c>
    </row>
    <row r="26" spans="1:15">
      <c r="O26" s="67" t="s">
        <v>0</v>
      </c>
    </row>
    <row r="27" spans="1:15">
      <c r="O27" s="67" t="s">
        <v>0</v>
      </c>
    </row>
    <row r="28" spans="1:15">
      <c r="O28" s="67" t="s">
        <v>0</v>
      </c>
    </row>
    <row r="29" spans="1:15">
      <c r="A29" s="565"/>
      <c r="B29" s="566"/>
      <c r="C29" s="566"/>
      <c r="D29" s="566"/>
      <c r="E29" s="566"/>
      <c r="F29" s="566"/>
      <c r="G29" s="566"/>
      <c r="H29" s="566"/>
      <c r="I29" s="566"/>
      <c r="J29" s="566"/>
      <c r="K29" s="566"/>
      <c r="L29" s="566"/>
      <c r="M29" s="566"/>
      <c r="O29" s="67" t="s">
        <v>20</v>
      </c>
    </row>
    <row r="197" spans="1:1">
      <c r="A197" t="s">
        <v>104</v>
      </c>
    </row>
    <row r="253" spans="1:1" ht="15.75">
      <c r="A253" s="149" t="s">
        <v>105</v>
      </c>
    </row>
  </sheetData>
  <customSheetViews>
    <customSheetView guid="{3118AF25-8423-420A-806A-487665220C68}" scale="75" showPageBreaks="1" fitToPage="1" printArea="1" view="pageBreakPreview" topLeftCell="A10">
      <selection activeCell="I34" sqref="I34"/>
      <pageMargins left="0.75" right="0.75" top="1" bottom="1" header="0.5" footer="0.5"/>
      <printOptions horizontalCentered="1"/>
      <pageSetup scale="86" orientation="landscape" r:id="rId1"/>
      <headerFooter alignWithMargins="0">
        <oddFooter>&amp;C&amp;"Times New Roman,Regular"Exhibit A - Organizational Chart</oddFooter>
      </headerFooter>
    </customSheetView>
    <customSheetView guid="{56C0A34E-45B4-448B-85E5-70B3A8E63333}" scale="75" showPageBreaks="1" fitToPage="1" printArea="1" view="pageBreakPreview">
      <pageMargins left="0.75" right="0.75" top="1" bottom="1" header="0.5" footer="0.5"/>
      <printOptions horizontalCentered="1"/>
      <pageSetup scale="86" orientation="landscape" r:id="rId2"/>
      <headerFooter alignWithMargins="0">
        <oddFooter>&amp;C&amp;"Times New Roman,Regular"Exhibit A - Organizational Chart</oddFooter>
      </headerFooter>
    </customSheetView>
    <customSheetView guid="{4148B88B-8ED7-4FDE-9459-DEB244AD0552}" scale="75" showPageBreaks="1" fitToPage="1" printArea="1" view="pageBreakPreview">
      <pageMargins left="0.75" right="0.75" top="1" bottom="1" header="0.5" footer="0.5"/>
      <printOptions horizontalCentered="1"/>
      <pageSetup scale="86" orientation="landscape" r:id="rId3"/>
      <headerFooter alignWithMargins="0">
        <oddFooter>&amp;C&amp;"Times New Roman,Regular"Exhibit A - Organizational Chart</oddFooter>
      </headerFooter>
    </customSheetView>
    <customSheetView guid="{12C66D54-5067-4346-818B-6EAB1C8A9183}" scale="75" showPageBreaks="1" fitToPage="1" printArea="1" view="pageBreakPreview">
      <selection activeCell="I34" sqref="I34"/>
      <pageMargins left="0.75" right="0.75" top="1" bottom="1" header="0.5" footer="0.5"/>
      <printOptions horizontalCentered="1"/>
      <pageSetup scale="86" orientation="landscape" r:id="rId4"/>
      <headerFooter alignWithMargins="0">
        <oddFooter>&amp;C&amp;"Times New Roman,Regular"Exhibit A - Organizational Chart</oddFooter>
      </headerFooter>
    </customSheetView>
    <customSheetView guid="{87EA6C51-A281-4696-9262-A16F553E7025}" scale="75" showPageBreaks="1" fitToPage="1" printArea="1" view="pageBreakPreview">
      <selection activeCell="A3" sqref="A3"/>
      <pageMargins left="0.75" right="0.75" top="1" bottom="1" header="0.5" footer="0.5"/>
      <printOptions horizontalCentered="1"/>
      <pageSetup scale="88" orientation="landscape" r:id="rId5"/>
      <headerFooter alignWithMargins="0">
        <oddFooter>&amp;C&amp;"Times New Roman,Regular"Exhibit A - Organizational Chart</oddFooter>
      </headerFooter>
    </customSheetView>
  </customSheetViews>
  <mergeCells count="1">
    <mergeCell ref="A29:M29"/>
  </mergeCells>
  <phoneticPr fontId="0" type="noConversion"/>
  <printOptions horizontalCentered="1"/>
  <pageMargins left="0.75" right="0.75" top="1" bottom="1" header="0.5" footer="0.5"/>
  <pageSetup scale="86" orientation="landscape" r:id="rId6"/>
  <headerFooter alignWithMargins="0">
    <oddFooter>&amp;C&amp;"Times New Roman,Regular"Exhibit A - Organizational Chart</oddFooter>
  </headerFooter>
  <drawing r:id="rId7"/>
</worksheet>
</file>

<file path=xl/worksheets/sheet10.xml><?xml version="1.0" encoding="utf-8"?>
<worksheet xmlns="http://schemas.openxmlformats.org/spreadsheetml/2006/main" xmlns:r="http://schemas.openxmlformats.org/officeDocument/2006/relationships">
  <sheetPr codeName="Sheet15">
    <pageSetUpPr fitToPage="1"/>
  </sheetPr>
  <dimension ref="A1:V31"/>
  <sheetViews>
    <sheetView view="pageBreakPreview" zoomScale="55" zoomScaleNormal="75" zoomScaleSheetLayoutView="55" workbookViewId="0">
      <pane xSplit="1" ySplit="10" topLeftCell="B11" activePane="bottomRight" state="frozen"/>
      <selection pane="topRight" activeCell="B1" sqref="B1"/>
      <selection pane="bottomLeft" activeCell="A11" sqref="A11"/>
      <selection pane="bottomRight" activeCell="B11" sqref="B11"/>
    </sheetView>
  </sheetViews>
  <sheetFormatPr defaultRowHeight="15"/>
  <cols>
    <col min="1" max="1" width="57.44140625" customWidth="1"/>
    <col min="2" max="2" width="12.5546875" customWidth="1"/>
    <col min="3" max="3" width="18.6640625" style="49" customWidth="1"/>
    <col min="4" max="4" width="12.6640625" customWidth="1"/>
    <col min="5" max="5" width="18.77734375" style="49" customWidth="1"/>
    <col min="6" max="6" width="10.5546875" bestFit="1" customWidth="1"/>
    <col min="7" max="7" width="9.77734375" style="49" customWidth="1"/>
    <col min="8" max="8" width="0.6640625" style="75" customWidth="1"/>
  </cols>
  <sheetData>
    <row r="1" spans="1:8" ht="20.25">
      <c r="A1" s="167" t="s">
        <v>26</v>
      </c>
      <c r="B1" s="249"/>
      <c r="C1" s="327"/>
      <c r="D1" s="249"/>
      <c r="E1" s="327"/>
      <c r="F1" s="249"/>
      <c r="G1" s="328"/>
      <c r="H1" s="72" t="s">
        <v>0</v>
      </c>
    </row>
    <row r="2" spans="1:8" ht="13.15" customHeight="1">
      <c r="A2" s="802"/>
      <c r="B2" s="802"/>
      <c r="C2" s="802"/>
      <c r="D2" s="802"/>
      <c r="E2" s="802"/>
      <c r="F2" s="802"/>
      <c r="G2" s="803"/>
      <c r="H2" s="72" t="s">
        <v>0</v>
      </c>
    </row>
    <row r="3" spans="1:8" ht="18.75">
      <c r="A3" s="779" t="s">
        <v>4</v>
      </c>
      <c r="B3" s="779"/>
      <c r="C3" s="779"/>
      <c r="D3" s="779"/>
      <c r="E3" s="779"/>
      <c r="F3" s="779"/>
      <c r="G3" s="779"/>
      <c r="H3" s="72" t="s">
        <v>0</v>
      </c>
    </row>
    <row r="4" spans="1:8" ht="16.5">
      <c r="A4" s="780" t="str">
        <f>+'B. Summary of Requirements '!A5</f>
        <v>General Administration</v>
      </c>
      <c r="B4" s="780"/>
      <c r="C4" s="780"/>
      <c r="D4" s="780"/>
      <c r="E4" s="780"/>
      <c r="F4" s="780"/>
      <c r="G4" s="780"/>
      <c r="H4" s="72" t="s">
        <v>0</v>
      </c>
    </row>
    <row r="5" spans="1:8" ht="16.5">
      <c r="A5" s="780" t="str">
        <f>+'B. Summary of Requirements '!A6</f>
        <v>Salaries and Expenses</v>
      </c>
      <c r="B5" s="780"/>
      <c r="C5" s="780"/>
      <c r="D5" s="780"/>
      <c r="E5" s="780"/>
      <c r="F5" s="780"/>
      <c r="G5" s="780"/>
      <c r="H5" s="72" t="s">
        <v>0</v>
      </c>
    </row>
    <row r="6" spans="1:8">
      <c r="A6" s="804" t="s">
        <v>119</v>
      </c>
      <c r="B6" s="804"/>
      <c r="C6" s="804"/>
      <c r="D6" s="804"/>
      <c r="E6" s="804"/>
      <c r="F6" s="804"/>
      <c r="G6" s="804"/>
      <c r="H6" s="72" t="s">
        <v>0</v>
      </c>
    </row>
    <row r="7" spans="1:8">
      <c r="A7" s="809"/>
      <c r="B7" s="809"/>
      <c r="C7" s="809"/>
      <c r="D7" s="809"/>
      <c r="E7" s="809"/>
      <c r="F7" s="809"/>
      <c r="G7" s="809"/>
      <c r="H7" s="72" t="s">
        <v>0</v>
      </c>
    </row>
    <row r="8" spans="1:8" ht="36.6" customHeight="1">
      <c r="A8" s="812" t="s">
        <v>118</v>
      </c>
      <c r="B8" s="805" t="s">
        <v>266</v>
      </c>
      <c r="C8" s="815"/>
      <c r="D8" s="816" t="s">
        <v>221</v>
      </c>
      <c r="E8" s="817"/>
      <c r="F8" s="805" t="s">
        <v>76</v>
      </c>
      <c r="G8" s="806"/>
      <c r="H8" s="72" t="s">
        <v>0</v>
      </c>
    </row>
    <row r="9" spans="1:8" ht="36" customHeight="1">
      <c r="A9" s="813"/>
      <c r="B9" s="820" t="s">
        <v>267</v>
      </c>
      <c r="C9" s="821"/>
      <c r="D9" s="818" t="s">
        <v>217</v>
      </c>
      <c r="E9" s="819"/>
      <c r="F9" s="807"/>
      <c r="G9" s="808"/>
      <c r="H9" s="72" t="s">
        <v>0</v>
      </c>
    </row>
    <row r="10" spans="1:8" ht="36" customHeight="1" thickBot="1">
      <c r="A10" s="814"/>
      <c r="B10" s="165" t="s">
        <v>135</v>
      </c>
      <c r="C10" s="335" t="s">
        <v>117</v>
      </c>
      <c r="D10" s="166" t="s">
        <v>135</v>
      </c>
      <c r="E10" s="335" t="s">
        <v>117</v>
      </c>
      <c r="F10" s="165" t="s">
        <v>135</v>
      </c>
      <c r="G10" s="348" t="s">
        <v>117</v>
      </c>
      <c r="H10" s="72" t="s">
        <v>0</v>
      </c>
    </row>
    <row r="11" spans="1:8" ht="20.25">
      <c r="A11" s="356" t="s">
        <v>62</v>
      </c>
      <c r="B11" s="98">
        <v>3</v>
      </c>
      <c r="C11" s="336">
        <v>468</v>
      </c>
      <c r="D11" s="99">
        <v>0</v>
      </c>
      <c r="E11" s="344">
        <v>0</v>
      </c>
      <c r="F11" s="100">
        <f>+B11+D11</f>
        <v>3</v>
      </c>
      <c r="G11" s="349">
        <f>+C11+E11</f>
        <v>468</v>
      </c>
      <c r="H11" s="72" t="s">
        <v>0</v>
      </c>
    </row>
    <row r="12" spans="1:8" ht="20.25">
      <c r="A12" s="356" t="s">
        <v>63</v>
      </c>
      <c r="B12" s="98">
        <v>2</v>
      </c>
      <c r="C12" s="336">
        <v>202</v>
      </c>
      <c r="D12" s="99">
        <v>0</v>
      </c>
      <c r="E12" s="344">
        <v>0</v>
      </c>
      <c r="F12" s="100">
        <f>+B12+D12</f>
        <v>2</v>
      </c>
      <c r="G12" s="349">
        <f>+C12+E12</f>
        <v>202</v>
      </c>
      <c r="H12" s="72" t="s">
        <v>0</v>
      </c>
    </row>
    <row r="13" spans="1:8" ht="20.25">
      <c r="A13" s="358"/>
      <c r="B13" s="102"/>
      <c r="C13" s="338"/>
      <c r="D13" s="103"/>
      <c r="E13" s="345"/>
      <c r="F13" s="102"/>
      <c r="G13" s="350"/>
      <c r="H13" s="72" t="s">
        <v>0</v>
      </c>
    </row>
    <row r="14" spans="1:8" ht="20.25">
      <c r="A14" s="356" t="s">
        <v>5</v>
      </c>
      <c r="B14" s="98">
        <f t="shared" ref="B14:G14" si="0">SUM(B11:B12)</f>
        <v>5</v>
      </c>
      <c r="C14" s="336">
        <f t="shared" si="0"/>
        <v>670</v>
      </c>
      <c r="D14" s="98">
        <f t="shared" si="0"/>
        <v>0</v>
      </c>
      <c r="E14" s="336">
        <f t="shared" si="0"/>
        <v>0</v>
      </c>
      <c r="F14" s="98">
        <f t="shared" si="0"/>
        <v>5</v>
      </c>
      <c r="G14" s="349">
        <f t="shared" si="0"/>
        <v>670</v>
      </c>
      <c r="H14" s="72" t="s">
        <v>0</v>
      </c>
    </row>
    <row r="15" spans="1:8" ht="20.25">
      <c r="A15" s="359" t="s">
        <v>6</v>
      </c>
      <c r="B15" s="98">
        <f>+B14/-2</f>
        <v>-2.5</v>
      </c>
      <c r="C15" s="336">
        <f t="shared" ref="C15:E15" si="1">+C14/-2</f>
        <v>-335</v>
      </c>
      <c r="D15" s="98">
        <f t="shared" si="1"/>
        <v>0</v>
      </c>
      <c r="E15" s="336">
        <f t="shared" si="1"/>
        <v>0</v>
      </c>
      <c r="F15" s="98">
        <f>+B15+D15</f>
        <v>-2.5</v>
      </c>
      <c r="G15" s="349">
        <f>+C15+E15</f>
        <v>-335</v>
      </c>
      <c r="H15" s="72" t="s">
        <v>0</v>
      </c>
    </row>
    <row r="16" spans="1:8" ht="20.25">
      <c r="A16" s="357" t="s">
        <v>7</v>
      </c>
      <c r="B16" s="104">
        <v>0</v>
      </c>
      <c r="C16" s="337">
        <v>0</v>
      </c>
      <c r="D16" s="104">
        <v>0</v>
      </c>
      <c r="E16" s="337">
        <v>0</v>
      </c>
      <c r="F16" s="104">
        <f>+B16+D16</f>
        <v>0</v>
      </c>
      <c r="G16" s="351">
        <f>+C16+E16</f>
        <v>0</v>
      </c>
      <c r="H16" s="72" t="s">
        <v>0</v>
      </c>
    </row>
    <row r="17" spans="1:22" ht="20.25">
      <c r="A17" s="360"/>
      <c r="B17" s="105"/>
      <c r="C17" s="338"/>
      <c r="D17" s="105"/>
      <c r="E17" s="338"/>
      <c r="F17" s="105"/>
      <c r="G17" s="352"/>
      <c r="H17" s="72" t="s">
        <v>0</v>
      </c>
    </row>
    <row r="18" spans="1:22" ht="20.25">
      <c r="A18" s="361" t="s">
        <v>8</v>
      </c>
      <c r="B18" s="106">
        <f>SUM(B14:B16)</f>
        <v>2.5</v>
      </c>
      <c r="C18" s="340">
        <f t="shared" ref="C18:E18" si="2">SUM(C14:C16)</f>
        <v>335</v>
      </c>
      <c r="D18" s="106">
        <f t="shared" si="2"/>
        <v>0</v>
      </c>
      <c r="E18" s="340">
        <f t="shared" si="2"/>
        <v>0</v>
      </c>
      <c r="F18" s="106">
        <f>SUM(F14:F16)</f>
        <v>2.5</v>
      </c>
      <c r="G18" s="353">
        <f>SUM(G14:G16)</f>
        <v>335</v>
      </c>
      <c r="H18" s="72" t="s">
        <v>0</v>
      </c>
    </row>
    <row r="19" spans="1:22" ht="20.25">
      <c r="A19" s="356" t="s">
        <v>64</v>
      </c>
      <c r="B19" s="98">
        <v>0</v>
      </c>
      <c r="C19" s="339">
        <v>101</v>
      </c>
      <c r="D19" s="99">
        <v>0</v>
      </c>
      <c r="E19" s="344">
        <v>0</v>
      </c>
      <c r="F19" s="100">
        <f t="shared" ref="F19:G24" si="3">+B19+D19</f>
        <v>0</v>
      </c>
      <c r="G19" s="349">
        <f t="shared" si="3"/>
        <v>101</v>
      </c>
      <c r="H19" s="72" t="s">
        <v>0</v>
      </c>
    </row>
    <row r="20" spans="1:22" ht="20.25">
      <c r="A20" s="356" t="s">
        <v>66</v>
      </c>
      <c r="B20" s="98">
        <v>0</v>
      </c>
      <c r="C20" s="341">
        <v>136</v>
      </c>
      <c r="D20" s="99">
        <v>0</v>
      </c>
      <c r="E20" s="344">
        <v>0</v>
      </c>
      <c r="F20" s="100">
        <f t="shared" si="3"/>
        <v>0</v>
      </c>
      <c r="G20" s="349">
        <f t="shared" si="3"/>
        <v>136</v>
      </c>
      <c r="H20" s="72" t="s">
        <v>0</v>
      </c>
    </row>
    <row r="21" spans="1:22" ht="20.25">
      <c r="A21" s="356" t="s">
        <v>67</v>
      </c>
      <c r="B21" s="98">
        <v>0</v>
      </c>
      <c r="C21" s="336">
        <v>14</v>
      </c>
      <c r="D21" s="99">
        <v>0</v>
      </c>
      <c r="E21" s="344">
        <v>0</v>
      </c>
      <c r="F21" s="100">
        <f t="shared" si="3"/>
        <v>0</v>
      </c>
      <c r="G21" s="349">
        <f t="shared" si="3"/>
        <v>14</v>
      </c>
      <c r="H21" s="72" t="s">
        <v>0</v>
      </c>
    </row>
    <row r="22" spans="1:22" ht="20.25">
      <c r="A22" s="356" t="s">
        <v>68</v>
      </c>
      <c r="B22" s="98">
        <v>0</v>
      </c>
      <c r="C22" s="336">
        <v>21</v>
      </c>
      <c r="D22" s="99">
        <v>0</v>
      </c>
      <c r="E22" s="344">
        <v>-28</v>
      </c>
      <c r="F22" s="100">
        <f t="shared" si="3"/>
        <v>0</v>
      </c>
      <c r="G22" s="349">
        <f t="shared" si="3"/>
        <v>-7</v>
      </c>
      <c r="H22" s="72" t="s">
        <v>0</v>
      </c>
    </row>
    <row r="23" spans="1:22" ht="20.25">
      <c r="A23" s="356" t="s">
        <v>69</v>
      </c>
      <c r="B23" s="98">
        <v>0</v>
      </c>
      <c r="C23" s="336">
        <v>5</v>
      </c>
      <c r="D23" s="99">
        <v>0</v>
      </c>
      <c r="E23" s="344">
        <v>0</v>
      </c>
      <c r="F23" s="100">
        <f t="shared" si="3"/>
        <v>0</v>
      </c>
      <c r="G23" s="349">
        <f t="shared" si="3"/>
        <v>5</v>
      </c>
      <c r="H23" s="72" t="s">
        <v>0</v>
      </c>
    </row>
    <row r="24" spans="1:22" ht="20.25">
      <c r="A24" s="357" t="s">
        <v>65</v>
      </c>
      <c r="B24" s="101">
        <v>0</v>
      </c>
      <c r="C24" s="339">
        <v>95</v>
      </c>
      <c r="D24" s="105">
        <v>0</v>
      </c>
      <c r="E24" s="346">
        <v>0</v>
      </c>
      <c r="F24" s="100">
        <f t="shared" si="3"/>
        <v>0</v>
      </c>
      <c r="G24" s="349">
        <f t="shared" si="3"/>
        <v>95</v>
      </c>
      <c r="H24" s="72" t="s">
        <v>0</v>
      </c>
    </row>
    <row r="25" spans="1:22" ht="21" thickBot="1">
      <c r="A25" s="362" t="s">
        <v>182</v>
      </c>
      <c r="B25" s="141">
        <f t="shared" ref="B25:G25" si="4">SUM(B18:B24)</f>
        <v>2.5</v>
      </c>
      <c r="C25" s="342">
        <f t="shared" si="4"/>
        <v>707</v>
      </c>
      <c r="D25" s="142">
        <f t="shared" si="4"/>
        <v>0</v>
      </c>
      <c r="E25" s="347">
        <f t="shared" si="4"/>
        <v>-28</v>
      </c>
      <c r="F25" s="143">
        <f t="shared" si="4"/>
        <v>2.5</v>
      </c>
      <c r="G25" s="354">
        <f t="shared" si="4"/>
        <v>679</v>
      </c>
      <c r="H25" s="72" t="s">
        <v>20</v>
      </c>
    </row>
    <row r="26" spans="1:22">
      <c r="A26" s="810"/>
      <c r="B26" s="811"/>
      <c r="C26" s="811"/>
      <c r="D26" s="811"/>
      <c r="E26" s="811"/>
      <c r="F26" s="811"/>
      <c r="G26" s="811"/>
      <c r="H26" s="73"/>
      <c r="I26" s="17"/>
      <c r="J26" s="17"/>
      <c r="K26" s="17"/>
      <c r="L26" s="17"/>
      <c r="M26" s="17"/>
      <c r="N26" s="17"/>
      <c r="O26" s="17"/>
      <c r="P26" s="17"/>
      <c r="Q26" s="17"/>
      <c r="R26" s="17"/>
      <c r="S26" s="17"/>
      <c r="T26" s="17"/>
      <c r="U26" s="17"/>
      <c r="V26" s="17"/>
    </row>
    <row r="27" spans="1:22">
      <c r="A27" s="18"/>
      <c r="B27" s="18"/>
      <c r="C27" s="343"/>
      <c r="D27" s="18"/>
      <c r="E27" s="343"/>
      <c r="F27" s="18"/>
      <c r="G27" s="343"/>
      <c r="H27" s="74"/>
      <c r="I27" s="17"/>
      <c r="J27" s="17"/>
      <c r="K27" s="17"/>
      <c r="L27" s="17"/>
      <c r="M27" s="17"/>
      <c r="N27" s="17"/>
      <c r="O27" s="17"/>
      <c r="P27" s="17"/>
      <c r="Q27" s="17"/>
      <c r="R27" s="17"/>
      <c r="S27" s="17"/>
      <c r="T27" s="17"/>
      <c r="U27" s="17"/>
      <c r="V27" s="17"/>
    </row>
    <row r="31" spans="1:22">
      <c r="G31" s="355"/>
    </row>
  </sheetData>
  <customSheetViews>
    <customSheetView guid="{3118AF25-8423-420A-806A-487665220C68}" scale="55" showPageBreaks="1" fitToPage="1" printArea="1" view="pageBreakPreview">
      <pane xSplit="1" ySplit="10" topLeftCell="B11" activePane="bottomRight" state="frozen"/>
      <selection pane="bottomRight" activeCell="W35" sqref="W35"/>
      <pageMargins left="0.25" right="0.25" top="0.5" bottom="0.5" header="0.5" footer="0.5"/>
      <printOptions horizontalCentered="1"/>
      <pageSetup scale="41" fitToHeight="0" orientation="landscape" r:id="rId1"/>
      <headerFooter alignWithMargins="0">
        <oddFooter xml:space="preserve">&amp;C&amp;"Times New Roman,Regular"&amp;14Exhibit J - Financial Analysis of Program Changes&amp;12
</oddFooter>
      </headerFooter>
    </customSheetView>
    <customSheetView guid="{56C0A34E-45B4-448B-85E5-70B3A8E6333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2"/>
      <headerFooter alignWithMargins="0">
        <oddFooter xml:space="preserve">&amp;C&amp;"Times New Roman,Regular"&amp;14Exhibit J - Financial Analysis of Program Changes&amp;12
</oddFooter>
      </headerFooter>
    </customSheetView>
    <customSheetView guid="{4148B88B-8ED7-4FDE-9459-DEB244AD0552}"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3"/>
      <headerFooter alignWithMargins="0">
        <oddFooter xml:space="preserve">&amp;C&amp;"Times New Roman,Regular"&amp;14Exhibit J - Financial Analysis of Program Changes&amp;12
</oddFooter>
      </headerFooter>
    </customSheetView>
    <customSheetView guid="{12C66D54-5067-4346-818B-6EAB1C8A9183}"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4"/>
      <headerFooter alignWithMargins="0">
        <oddFooter xml:space="preserve">&amp;C&amp;"Times New Roman,Regular"&amp;14Exhibit J - Financial Analysis of Program Changes&amp;12
</oddFooter>
      </headerFooter>
    </customSheetView>
    <customSheetView guid="{87EA6C51-A281-4696-9262-A16F553E7025}" scale="55" showPageBreaks="1" fitToPage="1" printArea="1" view="pageBreakPreview">
      <pane xSplit="1" ySplit="10" topLeftCell="B11" activePane="bottomRight" state="frozen"/>
      <selection pane="bottomRight" activeCell="A42" sqref="A42:AA42"/>
      <pageMargins left="0.25" right="0.25" top="0.5" bottom="0.5" header="0.5" footer="0.5"/>
      <printOptions horizontalCentered="1"/>
      <pageSetup scale="41" fitToHeight="0" orientation="landscape" r:id="rId5"/>
      <headerFooter alignWithMargins="0">
        <oddFooter xml:space="preserve">&amp;C&amp;"Times New Roman,Regular"&amp;14Exhibit J - Financial Analysis of Program Changes&amp;12
</oddFooter>
      </headerFooter>
    </customSheetView>
  </customSheetViews>
  <mergeCells count="13">
    <mergeCell ref="F8:G9"/>
    <mergeCell ref="A7:G7"/>
    <mergeCell ref="A26:G26"/>
    <mergeCell ref="A8:A10"/>
    <mergeCell ref="B8:C8"/>
    <mergeCell ref="D8:E8"/>
    <mergeCell ref="D9:E9"/>
    <mergeCell ref="B9:C9"/>
    <mergeCell ref="A2:G2"/>
    <mergeCell ref="A4:G4"/>
    <mergeCell ref="A3:G3"/>
    <mergeCell ref="A5:G5"/>
    <mergeCell ref="A6:G6"/>
  </mergeCells>
  <phoneticPr fontId="0" type="noConversion"/>
  <printOptions horizontalCentered="1"/>
  <pageMargins left="0.25" right="0.25" top="0.5" bottom="0.5" header="0.5" footer="0.5"/>
  <pageSetup scale="79" fitToHeight="0" orientation="landscape" r:id="rId6"/>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J34"/>
  <sheetViews>
    <sheetView showGridLines="0" showOutlineSymbols="0" view="pageBreakPreview" zoomScale="75" zoomScaleNormal="75" zoomScaleSheetLayoutView="75" workbookViewId="0">
      <pane xSplit="1" ySplit="11" topLeftCell="B12" activePane="bottomRight" state="frozen"/>
      <selection pane="topRight" activeCell="B1" sqref="B1"/>
      <selection pane="bottomLeft" activeCell="A12" sqref="A12"/>
      <selection pane="bottomRight" activeCell="B12" sqref="B12"/>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71" customWidth="1"/>
    <col min="11" max="16384" width="9.6640625" style="7"/>
  </cols>
  <sheetData>
    <row r="1" spans="1:10" ht="20.25">
      <c r="A1" s="836" t="s">
        <v>109</v>
      </c>
      <c r="B1" s="837"/>
      <c r="C1" s="837"/>
      <c r="D1" s="837"/>
      <c r="E1" s="837"/>
      <c r="F1" s="837"/>
      <c r="G1" s="837"/>
      <c r="H1" s="837"/>
      <c r="I1" s="837"/>
      <c r="J1" s="250" t="s">
        <v>0</v>
      </c>
    </row>
    <row r="2" spans="1:10" ht="18.75">
      <c r="A2" s="838"/>
      <c r="B2" s="838"/>
      <c r="C2" s="838"/>
      <c r="D2" s="838"/>
      <c r="E2" s="838"/>
      <c r="F2" s="838"/>
      <c r="G2" s="838"/>
      <c r="H2" s="838"/>
      <c r="I2" s="838"/>
      <c r="J2" s="250" t="s">
        <v>0</v>
      </c>
    </row>
    <row r="3" spans="1:10">
      <c r="A3" s="823"/>
      <c r="B3" s="823"/>
      <c r="C3" s="823"/>
      <c r="D3" s="823"/>
      <c r="E3" s="823"/>
      <c r="F3" s="823"/>
      <c r="G3" s="823"/>
      <c r="H3" s="823"/>
      <c r="I3" s="823"/>
      <c r="J3" s="250" t="s">
        <v>0</v>
      </c>
    </row>
    <row r="4" spans="1:10" ht="20.25">
      <c r="A4" s="835" t="s">
        <v>145</v>
      </c>
      <c r="B4" s="769"/>
      <c r="C4" s="769"/>
      <c r="D4" s="769"/>
      <c r="E4" s="769"/>
      <c r="F4" s="769"/>
      <c r="G4" s="769"/>
      <c r="H4" s="769"/>
      <c r="I4" s="769"/>
      <c r="J4" s="250" t="s">
        <v>0</v>
      </c>
    </row>
    <row r="5" spans="1:10" ht="18.75">
      <c r="A5" s="834" t="str">
        <f>+'B. Summary of Requirements '!A5</f>
        <v>General Administration</v>
      </c>
      <c r="B5" s="770"/>
      <c r="C5" s="770"/>
      <c r="D5" s="770"/>
      <c r="E5" s="770"/>
      <c r="F5" s="770"/>
      <c r="G5" s="770"/>
      <c r="H5" s="770"/>
      <c r="I5" s="770"/>
      <c r="J5" s="250" t="s">
        <v>0</v>
      </c>
    </row>
    <row r="6" spans="1:10" ht="18.75">
      <c r="A6" s="834" t="str">
        <f>+'B. Summary of Requirements '!A6</f>
        <v>Salaries and Expenses</v>
      </c>
      <c r="B6" s="769"/>
      <c r="C6" s="769"/>
      <c r="D6" s="769"/>
      <c r="E6" s="769"/>
      <c r="F6" s="769"/>
      <c r="G6" s="769"/>
      <c r="H6" s="769"/>
      <c r="I6" s="769"/>
      <c r="J6" s="250" t="s">
        <v>0</v>
      </c>
    </row>
    <row r="7" spans="1:10">
      <c r="A7" s="823"/>
      <c r="B7" s="823"/>
      <c r="C7" s="823"/>
      <c r="D7" s="823"/>
      <c r="E7" s="823"/>
      <c r="F7" s="823"/>
      <c r="G7" s="823"/>
      <c r="H7" s="823"/>
      <c r="I7" s="823"/>
      <c r="J7" s="250" t="s">
        <v>0</v>
      </c>
    </row>
    <row r="8" spans="1:10" ht="16.5" thickBot="1">
      <c r="A8" s="833" t="s">
        <v>136</v>
      </c>
      <c r="B8" s="833"/>
      <c r="C8" s="833"/>
      <c r="D8" s="833"/>
      <c r="E8" s="833"/>
      <c r="F8" s="833"/>
      <c r="G8" s="833"/>
      <c r="H8" s="833"/>
      <c r="I8" s="833"/>
      <c r="J8" s="250" t="s">
        <v>0</v>
      </c>
    </row>
    <row r="9" spans="1:10">
      <c r="A9" s="830" t="s">
        <v>42</v>
      </c>
      <c r="B9" s="824" t="s">
        <v>194</v>
      </c>
      <c r="C9" s="825"/>
      <c r="D9" s="824" t="s">
        <v>187</v>
      </c>
      <c r="E9" s="825"/>
      <c r="F9" s="824" t="s">
        <v>176</v>
      </c>
      <c r="G9" s="825"/>
      <c r="H9" s="824" t="s">
        <v>32</v>
      </c>
      <c r="I9" s="828"/>
      <c r="J9" s="250" t="s">
        <v>0</v>
      </c>
    </row>
    <row r="10" spans="1:10" ht="53.25" customHeight="1">
      <c r="A10" s="831"/>
      <c r="B10" s="826"/>
      <c r="C10" s="827"/>
      <c r="D10" s="826"/>
      <c r="E10" s="827"/>
      <c r="F10" s="826"/>
      <c r="G10" s="827"/>
      <c r="H10" s="826"/>
      <c r="I10" s="829"/>
      <c r="J10" s="250" t="s">
        <v>0</v>
      </c>
    </row>
    <row r="11" spans="1:10" ht="16.5" thickBot="1">
      <c r="A11" s="832"/>
      <c r="B11" s="173" t="s">
        <v>135</v>
      </c>
      <c r="C11" s="174" t="s">
        <v>137</v>
      </c>
      <c r="D11" s="173" t="s">
        <v>135</v>
      </c>
      <c r="E11" s="174" t="s">
        <v>137</v>
      </c>
      <c r="F11" s="173" t="s">
        <v>135</v>
      </c>
      <c r="G11" s="174" t="s">
        <v>137</v>
      </c>
      <c r="H11" s="173" t="s">
        <v>135</v>
      </c>
      <c r="I11" s="405" t="s">
        <v>137</v>
      </c>
      <c r="J11" s="250" t="s">
        <v>0</v>
      </c>
    </row>
    <row r="12" spans="1:10">
      <c r="A12" s="168" t="s">
        <v>268</v>
      </c>
      <c r="B12" s="107">
        <v>5</v>
      </c>
      <c r="C12" s="108"/>
      <c r="D12" s="107">
        <f>B12</f>
        <v>5</v>
      </c>
      <c r="E12" s="108"/>
      <c r="F12" s="107">
        <f>D12</f>
        <v>5</v>
      </c>
      <c r="G12" s="108"/>
      <c r="H12" s="107">
        <f>F12-D12</f>
        <v>0</v>
      </c>
      <c r="I12" s="406"/>
      <c r="J12" s="250" t="s">
        <v>0</v>
      </c>
    </row>
    <row r="13" spans="1:10">
      <c r="A13" s="168" t="s">
        <v>103</v>
      </c>
      <c r="B13" s="107">
        <v>43</v>
      </c>
      <c r="C13" s="108"/>
      <c r="D13" s="107">
        <f>B13</f>
        <v>43</v>
      </c>
      <c r="E13" s="108"/>
      <c r="F13" s="107">
        <f>D13+4</f>
        <v>47</v>
      </c>
      <c r="G13" s="108"/>
      <c r="H13" s="107">
        <f>F13-D13</f>
        <v>4</v>
      </c>
      <c r="I13" s="532"/>
      <c r="J13" s="250" t="s">
        <v>0</v>
      </c>
    </row>
    <row r="14" spans="1:10">
      <c r="A14" s="169" t="s">
        <v>102</v>
      </c>
      <c r="B14" s="107">
        <v>112</v>
      </c>
      <c r="C14" s="108"/>
      <c r="D14" s="107">
        <f t="shared" ref="D14:D27" si="0">B14</f>
        <v>112</v>
      </c>
      <c r="E14" s="108"/>
      <c r="F14" s="107">
        <f>D14+26</f>
        <v>138</v>
      </c>
      <c r="G14" s="108"/>
      <c r="H14" s="107">
        <f t="shared" ref="H14:H28" si="1">F14-D14</f>
        <v>26</v>
      </c>
      <c r="I14" s="407"/>
      <c r="J14" s="250" t="s">
        <v>0</v>
      </c>
    </row>
    <row r="15" spans="1:10">
      <c r="A15" s="169" t="s">
        <v>101</v>
      </c>
      <c r="B15" s="107">
        <v>87</v>
      </c>
      <c r="C15" s="108"/>
      <c r="D15" s="107">
        <f>B15-1</f>
        <v>86</v>
      </c>
      <c r="E15" s="108"/>
      <c r="F15" s="107">
        <f>D15+14</f>
        <v>100</v>
      </c>
      <c r="G15" s="108"/>
      <c r="H15" s="107">
        <f t="shared" si="1"/>
        <v>14</v>
      </c>
      <c r="I15" s="407"/>
      <c r="J15" s="250" t="s">
        <v>0</v>
      </c>
    </row>
    <row r="16" spans="1:10">
      <c r="A16" s="169" t="s">
        <v>100</v>
      </c>
      <c r="B16" s="107">
        <v>92</v>
      </c>
      <c r="C16" s="108"/>
      <c r="D16" s="107">
        <f>B16-2</f>
        <v>90</v>
      </c>
      <c r="E16" s="108"/>
      <c r="F16" s="107">
        <f>D16+15</f>
        <v>105</v>
      </c>
      <c r="G16" s="108"/>
      <c r="H16" s="107">
        <f t="shared" si="1"/>
        <v>15</v>
      </c>
      <c r="I16" s="407"/>
      <c r="J16" s="250" t="s">
        <v>0</v>
      </c>
    </row>
    <row r="17" spans="1:10">
      <c r="A17" s="169" t="s">
        <v>99</v>
      </c>
      <c r="B17" s="107">
        <v>60</v>
      </c>
      <c r="C17" s="108"/>
      <c r="D17" s="107">
        <f>B17-3</f>
        <v>57</v>
      </c>
      <c r="E17" s="108"/>
      <c r="F17" s="107">
        <f>D17+3</f>
        <v>60</v>
      </c>
      <c r="G17" s="108"/>
      <c r="H17" s="107">
        <f t="shared" si="1"/>
        <v>3</v>
      </c>
      <c r="I17" s="407"/>
      <c r="J17" s="250" t="s">
        <v>0</v>
      </c>
    </row>
    <row r="18" spans="1:10">
      <c r="A18" s="169" t="s">
        <v>98</v>
      </c>
      <c r="B18" s="107">
        <v>38</v>
      </c>
      <c r="C18" s="108"/>
      <c r="D18" s="107">
        <f>B18-4</f>
        <v>34</v>
      </c>
      <c r="E18" s="108"/>
      <c r="F18" s="107">
        <f>D18+5</f>
        <v>39</v>
      </c>
      <c r="G18" s="108"/>
      <c r="H18" s="107">
        <f t="shared" si="1"/>
        <v>5</v>
      </c>
      <c r="I18" s="407"/>
      <c r="J18" s="250" t="s">
        <v>0</v>
      </c>
    </row>
    <row r="19" spans="1:10">
      <c r="A19" s="169" t="s">
        <v>97</v>
      </c>
      <c r="B19" s="107">
        <v>7</v>
      </c>
      <c r="C19" s="108"/>
      <c r="D19" s="107">
        <f t="shared" si="0"/>
        <v>7</v>
      </c>
      <c r="E19" s="108"/>
      <c r="F19" s="107">
        <f t="shared" ref="F19:F27" si="2">D19</f>
        <v>7</v>
      </c>
      <c r="G19" s="108"/>
      <c r="H19" s="107">
        <f t="shared" si="1"/>
        <v>0</v>
      </c>
      <c r="I19" s="407"/>
      <c r="J19" s="250" t="s">
        <v>0</v>
      </c>
    </row>
    <row r="20" spans="1:10">
      <c r="A20" s="169" t="s">
        <v>96</v>
      </c>
      <c r="B20" s="107">
        <v>31</v>
      </c>
      <c r="C20" s="108"/>
      <c r="D20" s="107">
        <f>B20-1</f>
        <v>30</v>
      </c>
      <c r="E20" s="108"/>
      <c r="F20" s="107">
        <f>D20+1</f>
        <v>31</v>
      </c>
      <c r="G20" s="108"/>
      <c r="H20" s="107">
        <f t="shared" si="1"/>
        <v>1</v>
      </c>
      <c r="I20" s="407"/>
      <c r="J20" s="250" t="s">
        <v>0</v>
      </c>
    </row>
    <row r="21" spans="1:10">
      <c r="A21" s="169" t="s">
        <v>95</v>
      </c>
      <c r="B21" s="107">
        <v>35</v>
      </c>
      <c r="C21" s="108"/>
      <c r="D21" s="107">
        <f>B21-1</f>
        <v>34</v>
      </c>
      <c r="E21" s="108"/>
      <c r="F21" s="107">
        <f t="shared" si="2"/>
        <v>34</v>
      </c>
      <c r="G21" s="108"/>
      <c r="H21" s="107">
        <f t="shared" si="1"/>
        <v>0</v>
      </c>
      <c r="I21" s="407"/>
      <c r="J21" s="250" t="s">
        <v>0</v>
      </c>
    </row>
    <row r="22" spans="1:10">
      <c r="A22" s="169" t="s">
        <v>94</v>
      </c>
      <c r="B22" s="107">
        <v>25</v>
      </c>
      <c r="C22" s="108"/>
      <c r="D22" s="107">
        <f t="shared" si="0"/>
        <v>25</v>
      </c>
      <c r="E22" s="108"/>
      <c r="F22" s="107">
        <f>D22+5</f>
        <v>30</v>
      </c>
      <c r="G22" s="108"/>
      <c r="H22" s="107">
        <f t="shared" si="1"/>
        <v>5</v>
      </c>
      <c r="I22" s="407"/>
      <c r="J22" s="250" t="s">
        <v>0</v>
      </c>
    </row>
    <row r="23" spans="1:10">
      <c r="A23" s="169" t="s">
        <v>93</v>
      </c>
      <c r="B23" s="107">
        <v>6</v>
      </c>
      <c r="C23" s="108"/>
      <c r="D23" s="107">
        <f t="shared" si="0"/>
        <v>6</v>
      </c>
      <c r="E23" s="108"/>
      <c r="F23" s="107">
        <f>D23+2</f>
        <v>8</v>
      </c>
      <c r="G23" s="108"/>
      <c r="H23" s="107">
        <f t="shared" si="1"/>
        <v>2</v>
      </c>
      <c r="I23" s="407"/>
      <c r="J23" s="250" t="s">
        <v>0</v>
      </c>
    </row>
    <row r="24" spans="1:10">
      <c r="A24" s="169" t="s">
        <v>92</v>
      </c>
      <c r="B24" s="107">
        <v>14</v>
      </c>
      <c r="C24" s="108"/>
      <c r="D24" s="107">
        <f t="shared" si="0"/>
        <v>14</v>
      </c>
      <c r="E24" s="108"/>
      <c r="F24" s="107">
        <f>D24+1</f>
        <v>15</v>
      </c>
      <c r="G24" s="108"/>
      <c r="H24" s="107">
        <f t="shared" si="1"/>
        <v>1</v>
      </c>
      <c r="I24" s="407"/>
      <c r="J24" s="250" t="s">
        <v>0</v>
      </c>
    </row>
    <row r="25" spans="1:10">
      <c r="A25" s="169" t="s">
        <v>90</v>
      </c>
      <c r="B25" s="107">
        <v>11</v>
      </c>
      <c r="C25" s="108"/>
      <c r="D25" s="107">
        <f t="shared" si="0"/>
        <v>11</v>
      </c>
      <c r="E25" s="108"/>
      <c r="F25" s="107">
        <f t="shared" si="2"/>
        <v>11</v>
      </c>
      <c r="G25" s="108"/>
      <c r="H25" s="107">
        <f t="shared" si="1"/>
        <v>0</v>
      </c>
      <c r="I25" s="407"/>
      <c r="J25" s="250" t="s">
        <v>0</v>
      </c>
    </row>
    <row r="26" spans="1:10">
      <c r="A26" s="169" t="s">
        <v>91</v>
      </c>
      <c r="B26" s="186">
        <v>2</v>
      </c>
      <c r="C26" s="108"/>
      <c r="D26" s="107">
        <f t="shared" si="0"/>
        <v>2</v>
      </c>
      <c r="E26" s="108"/>
      <c r="F26" s="107">
        <f t="shared" si="2"/>
        <v>2</v>
      </c>
      <c r="G26" s="108"/>
      <c r="H26" s="107">
        <f t="shared" si="1"/>
        <v>0</v>
      </c>
      <c r="I26" s="407"/>
      <c r="J26" s="250" t="s">
        <v>0</v>
      </c>
    </row>
    <row r="27" spans="1:10">
      <c r="A27" s="169" t="s">
        <v>89</v>
      </c>
      <c r="B27" s="107">
        <v>1</v>
      </c>
      <c r="C27" s="108"/>
      <c r="D27" s="107">
        <f t="shared" si="0"/>
        <v>1</v>
      </c>
      <c r="E27" s="108"/>
      <c r="F27" s="107">
        <f t="shared" si="2"/>
        <v>1</v>
      </c>
      <c r="G27" s="108"/>
      <c r="H27" s="107">
        <f t="shared" si="1"/>
        <v>0</v>
      </c>
      <c r="I27" s="407"/>
      <c r="J27" s="250" t="s">
        <v>0</v>
      </c>
    </row>
    <row r="28" spans="1:10">
      <c r="A28" s="169" t="s">
        <v>88</v>
      </c>
      <c r="B28" s="109">
        <v>0</v>
      </c>
      <c r="C28" s="110"/>
      <c r="D28" s="109">
        <f>B28</f>
        <v>0</v>
      </c>
      <c r="E28" s="110"/>
      <c r="F28" s="109">
        <f>D28</f>
        <v>0</v>
      </c>
      <c r="G28" s="110"/>
      <c r="H28" s="107">
        <f t="shared" si="1"/>
        <v>0</v>
      </c>
      <c r="I28" s="408"/>
      <c r="J28" s="250" t="s">
        <v>0</v>
      </c>
    </row>
    <row r="29" spans="1:10">
      <c r="A29" s="170" t="s">
        <v>183</v>
      </c>
      <c r="B29" s="111">
        <f>SUM(B12:B28)</f>
        <v>569</v>
      </c>
      <c r="C29" s="147"/>
      <c r="D29" s="111">
        <f>SUM(D12:D28)</f>
        <v>557</v>
      </c>
      <c r="E29" s="147"/>
      <c r="F29" s="111">
        <f>SUM(F12:F28)</f>
        <v>633</v>
      </c>
      <c r="G29" s="147"/>
      <c r="H29" s="111">
        <f>SUM(H12:H28)</f>
        <v>76</v>
      </c>
      <c r="I29" s="409"/>
      <c r="J29" s="250" t="s">
        <v>0</v>
      </c>
    </row>
    <row r="30" spans="1:10">
      <c r="A30" s="171" t="s">
        <v>16</v>
      </c>
      <c r="B30" s="112"/>
      <c r="C30" s="62">
        <v>163546</v>
      </c>
      <c r="D30" s="112"/>
      <c r="E30" s="62">
        <v>163546</v>
      </c>
      <c r="F30" s="116"/>
      <c r="G30" s="62">
        <v>163546</v>
      </c>
      <c r="H30" s="112"/>
      <c r="I30" s="410">
        <f>+G30-E30</f>
        <v>0</v>
      </c>
      <c r="J30" s="250" t="s">
        <v>0</v>
      </c>
    </row>
    <row r="31" spans="1:10">
      <c r="A31" s="171" t="s">
        <v>70</v>
      </c>
      <c r="B31" s="113"/>
      <c r="C31" s="62">
        <v>96276</v>
      </c>
      <c r="D31" s="112"/>
      <c r="E31" s="62">
        <v>96612</v>
      </c>
      <c r="F31" s="116"/>
      <c r="G31" s="62">
        <v>98247</v>
      </c>
      <c r="H31" s="112"/>
      <c r="I31" s="407">
        <f>+G31-E31</f>
        <v>1635</v>
      </c>
      <c r="J31" s="250" t="s">
        <v>0</v>
      </c>
    </row>
    <row r="32" spans="1:10" ht="16.5" thickBot="1">
      <c r="A32" s="172" t="s">
        <v>71</v>
      </c>
      <c r="B32" s="114"/>
      <c r="C32" s="151">
        <v>12</v>
      </c>
      <c r="D32" s="115"/>
      <c r="E32" s="151">
        <v>12</v>
      </c>
      <c r="F32" s="115"/>
      <c r="G32" s="151">
        <v>13</v>
      </c>
      <c r="H32" s="115"/>
      <c r="I32" s="411">
        <f>+G32-E32</f>
        <v>1</v>
      </c>
      <c r="J32" s="250" t="s">
        <v>20</v>
      </c>
    </row>
    <row r="33" spans="1:10">
      <c r="A33" s="822"/>
      <c r="B33" s="772"/>
      <c r="C33" s="772"/>
      <c r="D33" s="772"/>
      <c r="E33" s="772"/>
      <c r="F33" s="772"/>
      <c r="G33" s="772"/>
      <c r="H33" s="772"/>
      <c r="I33" s="772"/>
      <c r="J33" s="772"/>
    </row>
    <row r="34" spans="1:10">
      <c r="A34" s="13"/>
      <c r="B34" s="13"/>
      <c r="C34" s="13"/>
      <c r="D34" s="13"/>
      <c r="E34" s="13"/>
      <c r="F34" s="13"/>
      <c r="G34" s="13"/>
      <c r="H34" s="13"/>
      <c r="I34" s="13"/>
      <c r="J34" s="251"/>
    </row>
  </sheetData>
  <customSheetViews>
    <customSheetView guid="{3118AF25-8423-420A-806A-487665220C68}" scale="75" showPageBreaks="1" showGridLines="0" outlineSymbols="0" printArea="1" view="pageBreakPreview">
      <pane xSplit="1" ySplit="11" topLeftCell="B24" activePane="bottomRight" state="frozen"/>
      <selection pane="bottomRight" activeCell="F29" sqref="F29"/>
      <pageMargins left="0.5" right="0.5" top="0.5" bottom="0.55000000000000004" header="0" footer="0"/>
      <printOptions horizontalCentered="1"/>
      <pageSetup scale="67" orientation="landscape" horizontalDpi="300" verticalDpi="300" r:id="rId1"/>
      <headerFooter alignWithMargins="0">
        <oddFooter>&amp;C&amp;"Times New Roman,Regular"Exhibit K - Summary of Requirements by Grade</oddFooter>
      </headerFooter>
    </customSheetView>
    <customSheetView guid="{56C0A34E-45B4-448B-85E5-70B3A8E63333}" scale="75" showPageBreaks="1" showGridLines="0" outlineSymbols="0" printArea="1" view="pageBreakPreview">
      <pane xSplit="1" ySplit="11" topLeftCell="B12" activePane="bottomRight" state="frozen"/>
      <selection pane="bottomRight" activeCell="D9" sqref="D9:E10"/>
      <pageMargins left="0.5" right="0.5" top="0.5" bottom="0.55000000000000004" header="0" footer="0"/>
      <printOptions horizontalCentered="1"/>
      <pageSetup scale="67" orientation="landscape" horizontalDpi="300" verticalDpi="300" r:id="rId2"/>
      <headerFooter alignWithMargins="0">
        <oddFooter>&amp;C&amp;"Times New Roman,Regular"Exhibit K - Summary of Requirements by Grade</oddFooter>
      </headerFooter>
    </customSheetView>
    <customSheetView guid="{4148B88B-8ED7-4FDE-9459-DEB244AD0552}" scale="75" showPageBreaks="1" showGridLines="0" outlineSymbols="0" printArea="1" view="pageBreakPreview">
      <pane xSplit="1" ySplit="11" topLeftCell="B12" activePane="bottomRight" state="frozen"/>
      <selection pane="bottomRight" activeCell="E23" sqref="E23"/>
      <pageMargins left="0.5" right="0.5" top="0.5" bottom="0.55000000000000004" header="0" footer="0"/>
      <printOptions horizontalCentered="1"/>
      <pageSetup scale="67" orientation="landscape" horizontalDpi="300" verticalDpi="300" r:id="rId3"/>
      <headerFooter alignWithMargins="0">
        <oddFooter>&amp;C&amp;"Times New Roman,Regular"Exhibit K - Summary of Requirements by Grade</oddFooter>
      </headerFooter>
    </customSheetView>
    <customSheetView guid="{12C66D54-5067-4346-818B-6EAB1C8A9183}" scale="75" showPageBreaks="1" showGridLines="0" outlineSymbols="0" printArea="1" view="pageBreakPreview">
      <pane xSplit="1" ySplit="11" topLeftCell="B12" activePane="bottomRight" state="frozen"/>
      <selection pane="bottomRight" activeCell="H14" sqref="H14"/>
      <pageMargins left="0.5" right="0.5" top="0.5" bottom="0.55000000000000004" header="0" footer="0"/>
      <printOptions horizontalCentered="1"/>
      <pageSetup scale="67" orientation="landscape" horizontalDpi="300" verticalDpi="300" r:id="rId4"/>
      <headerFooter alignWithMargins="0">
        <oddFooter>&amp;C&amp;"Times New Roman,Regular"Exhibit K - Summary of Requirements by Grade</oddFooter>
      </headerFooter>
    </customSheetView>
    <customSheetView guid="{87EA6C51-A281-4696-9262-A16F553E7025}" scale="75" showPageBreaks="1" showGridLines="0" outlineSymbols="0" printArea="1" view="pageBreakPreview">
      <pane xSplit="1" ySplit="11" topLeftCell="B12" activePane="bottomRight" state="frozen"/>
      <selection pane="bottomRight" activeCell="H14" sqref="H14"/>
      <pageMargins left="0.5" right="0.5" top="0.5" bottom="0.55000000000000004" header="0" footer="0"/>
      <printOptions horizontalCentered="1"/>
      <pageSetup scale="67" orientation="landscape" horizontalDpi="300" verticalDpi="300" r:id="rId5"/>
      <headerFooter alignWithMargins="0">
        <oddFooter>&amp;C&amp;"Times New Roman,Regular"Exhibit K - Summary of Requirements by Grade</oddFooter>
      </headerFooter>
    </customSheetView>
  </customSheetViews>
  <mergeCells count="14">
    <mergeCell ref="A6:I6"/>
    <mergeCell ref="A5:I5"/>
    <mergeCell ref="A4:I4"/>
    <mergeCell ref="A1:I1"/>
    <mergeCell ref="A2:I2"/>
    <mergeCell ref="A3:I3"/>
    <mergeCell ref="A33:J33"/>
    <mergeCell ref="A7:I7"/>
    <mergeCell ref="B9:C10"/>
    <mergeCell ref="D9:E10"/>
    <mergeCell ref="F9:G10"/>
    <mergeCell ref="H9:I10"/>
    <mergeCell ref="A9:A11"/>
    <mergeCell ref="A8:I8"/>
  </mergeCells>
  <phoneticPr fontId="0" type="noConversion"/>
  <printOptions horizontalCentered="1"/>
  <pageMargins left="0.5" right="0.5" top="0.5" bottom="0.55000000000000004" header="0" footer="0"/>
  <pageSetup scale="67" orientation="landscape" horizontalDpi="300" verticalDpi="300" r:id="rId6"/>
  <headerFooter alignWithMargins="0">
    <oddFooter>&amp;C&amp;"Times New Roman,Regular"Exhibit K - Summary of Requirements by Grade</oddFooter>
  </headerFooter>
  <ignoredErrors>
    <ignoredError sqref="F20" formula="1"/>
  </ignoredErrors>
</worksheet>
</file>

<file path=xl/worksheets/sheet12.xml><?xml version="1.0" encoding="utf-8"?>
<worksheet xmlns="http://schemas.openxmlformats.org/spreadsheetml/2006/main" xmlns:r="http://schemas.openxmlformats.org/officeDocument/2006/relationships">
  <sheetPr codeName="Sheet17"/>
  <dimension ref="A1:Y186"/>
  <sheetViews>
    <sheetView view="pageBreakPreview" zoomScale="75" zoomScaleNormal="75" zoomScaleSheetLayoutView="50" workbookViewId="0">
      <pane xSplit="1" ySplit="9" topLeftCell="B10" activePane="bottomRight" state="frozen"/>
      <selection pane="topRight" activeCell="B1" sqref="B1"/>
      <selection pane="bottomLeft" activeCell="A10" sqref="A10"/>
      <selection pane="bottomRight" activeCell="B10" sqref="B10"/>
    </sheetView>
  </sheetViews>
  <sheetFormatPr defaultColWidth="8.77734375" defaultRowHeight="15.75"/>
  <cols>
    <col min="1" max="1" width="65.332031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8.88671875" style="3" hidden="1" customWidth="1"/>
    <col min="13" max="13" width="1" style="69" customWidth="1"/>
    <col min="14" max="14" width="8.77734375" customWidth="1"/>
    <col min="15" max="16384" width="8.77734375" style="3"/>
  </cols>
  <sheetData>
    <row r="1" spans="1:13" ht="19.149999999999999" customHeight="1">
      <c r="A1" s="622" t="s">
        <v>108</v>
      </c>
      <c r="B1" s="839"/>
      <c r="C1" s="839"/>
      <c r="D1" s="839"/>
      <c r="E1" s="839"/>
      <c r="F1" s="839"/>
      <c r="G1" s="839"/>
      <c r="H1" s="839"/>
      <c r="I1" s="839"/>
      <c r="M1" s="68" t="s">
        <v>0</v>
      </c>
    </row>
    <row r="2" spans="1:13" ht="19.149999999999999" customHeight="1">
      <c r="A2" s="840"/>
      <c r="B2" s="841"/>
      <c r="C2" s="841"/>
      <c r="D2" s="841"/>
      <c r="E2" s="841"/>
      <c r="F2" s="841"/>
      <c r="G2" s="841"/>
      <c r="H2" s="841"/>
      <c r="I2" s="841"/>
      <c r="M2" s="68" t="s">
        <v>0</v>
      </c>
    </row>
    <row r="3" spans="1:13" ht="18.75">
      <c r="A3" s="842" t="s">
        <v>74</v>
      </c>
      <c r="B3" s="839"/>
      <c r="C3" s="839"/>
      <c r="D3" s="839"/>
      <c r="E3" s="839"/>
      <c r="F3" s="839"/>
      <c r="G3" s="839"/>
      <c r="H3" s="839"/>
      <c r="I3" s="839"/>
      <c r="M3" s="68" t="s">
        <v>0</v>
      </c>
    </row>
    <row r="4" spans="1:13" ht="16.5">
      <c r="A4" s="781" t="str">
        <f>+'B. Summary of Requirements '!A5</f>
        <v>General Administration</v>
      </c>
      <c r="B4" s="839"/>
      <c r="C4" s="839"/>
      <c r="D4" s="839"/>
      <c r="E4" s="839"/>
      <c r="F4" s="839"/>
      <c r="G4" s="839"/>
      <c r="H4" s="839"/>
      <c r="I4" s="839"/>
      <c r="M4" s="68" t="s">
        <v>0</v>
      </c>
    </row>
    <row r="5" spans="1:13" ht="16.5">
      <c r="A5" s="781" t="str">
        <f>+'B. Summary of Requirements '!A6</f>
        <v>Salaries and Expenses</v>
      </c>
      <c r="B5" s="839"/>
      <c r="C5" s="839"/>
      <c r="D5" s="839"/>
      <c r="E5" s="839"/>
      <c r="F5" s="839"/>
      <c r="G5" s="839"/>
      <c r="H5" s="839"/>
      <c r="I5" s="839"/>
      <c r="M5" s="68" t="s">
        <v>0</v>
      </c>
    </row>
    <row r="6" spans="1:13">
      <c r="A6" s="849" t="s">
        <v>119</v>
      </c>
      <c r="B6" s="839"/>
      <c r="C6" s="839"/>
      <c r="D6" s="839"/>
      <c r="E6" s="839"/>
      <c r="F6" s="839"/>
      <c r="G6" s="839"/>
      <c r="H6" s="839"/>
      <c r="I6" s="839"/>
      <c r="M6" s="68" t="s">
        <v>0</v>
      </c>
    </row>
    <row r="7" spans="1:13" ht="11.25" customHeight="1">
      <c r="A7" s="737"/>
      <c r="B7" s="737"/>
      <c r="C7" s="737"/>
      <c r="D7" s="737"/>
      <c r="E7" s="737"/>
      <c r="F7" s="737"/>
      <c r="G7" s="737"/>
      <c r="H7" s="737"/>
      <c r="I7" s="737"/>
      <c r="M7" s="68" t="s">
        <v>0</v>
      </c>
    </row>
    <row r="8" spans="1:13" ht="44.25" customHeight="1">
      <c r="A8" s="847" t="s">
        <v>72</v>
      </c>
      <c r="B8" s="850" t="s">
        <v>184</v>
      </c>
      <c r="C8" s="851"/>
      <c r="D8" s="855" t="s">
        <v>191</v>
      </c>
      <c r="E8" s="856"/>
      <c r="F8" s="852" t="s">
        <v>176</v>
      </c>
      <c r="G8" s="854"/>
      <c r="H8" s="852" t="s">
        <v>161</v>
      </c>
      <c r="I8" s="853"/>
      <c r="J8" s="7"/>
      <c r="M8" s="68" t="s">
        <v>0</v>
      </c>
    </row>
    <row r="9" spans="1:13" ht="25.5" customHeight="1" thickBot="1">
      <c r="A9" s="848"/>
      <c r="B9" s="183" t="s">
        <v>37</v>
      </c>
      <c r="C9" s="184" t="s">
        <v>137</v>
      </c>
      <c r="D9" s="183" t="s">
        <v>37</v>
      </c>
      <c r="E9" s="184" t="s">
        <v>137</v>
      </c>
      <c r="F9" s="183" t="s">
        <v>37</v>
      </c>
      <c r="G9" s="184" t="s">
        <v>137</v>
      </c>
      <c r="H9" s="183" t="s">
        <v>37</v>
      </c>
      <c r="I9" s="185" t="s">
        <v>137</v>
      </c>
      <c r="J9" s="7"/>
      <c r="M9" s="68" t="s">
        <v>0</v>
      </c>
    </row>
    <row r="10" spans="1:13">
      <c r="A10" s="175" t="s">
        <v>14</v>
      </c>
      <c r="B10" s="117">
        <v>523</v>
      </c>
      <c r="C10" s="210">
        <f>66891-9116</f>
        <v>57775</v>
      </c>
      <c r="D10" s="117">
        <v>557</v>
      </c>
      <c r="E10" s="210">
        <v>58151</v>
      </c>
      <c r="F10" s="117">
        <v>631</v>
      </c>
      <c r="G10" s="210">
        <v>67000</v>
      </c>
      <c r="H10" s="117">
        <f>F10-D10</f>
        <v>74</v>
      </c>
      <c r="I10" s="211">
        <f>G10-E10</f>
        <v>8849</v>
      </c>
      <c r="J10" s="7"/>
      <c r="M10" s="68" t="s">
        <v>0</v>
      </c>
    </row>
    <row r="11" spans="1:13">
      <c r="A11" s="176" t="s">
        <v>61</v>
      </c>
      <c r="B11" s="117" t="s">
        <v>136</v>
      </c>
      <c r="C11" s="118">
        <v>1028</v>
      </c>
      <c r="D11" s="117"/>
      <c r="E11" s="118">
        <f>1489-100</f>
        <v>1389</v>
      </c>
      <c r="F11" s="117"/>
      <c r="G11" s="118">
        <v>1600</v>
      </c>
      <c r="H11" s="117">
        <f>F11-D11</f>
        <v>0</v>
      </c>
      <c r="I11" s="97">
        <f>G11-E11</f>
        <v>211</v>
      </c>
      <c r="J11" s="16" t="s">
        <v>35</v>
      </c>
      <c r="K11" s="3" t="s">
        <v>36</v>
      </c>
      <c r="M11" s="68" t="s">
        <v>0</v>
      </c>
    </row>
    <row r="12" spans="1:13">
      <c r="A12" s="176" t="s">
        <v>44</v>
      </c>
      <c r="B12" s="323">
        <f t="shared" ref="B12:G12" si="0">B13+B14</f>
        <v>0</v>
      </c>
      <c r="C12" s="118">
        <f t="shared" si="0"/>
        <v>1840</v>
      </c>
      <c r="D12" s="323">
        <f t="shared" si="0"/>
        <v>0</v>
      </c>
      <c r="E12" s="118">
        <f t="shared" si="0"/>
        <v>1194</v>
      </c>
      <c r="F12" s="323">
        <f t="shared" si="0"/>
        <v>0</v>
      </c>
      <c r="G12" s="118">
        <f t="shared" si="0"/>
        <v>1840</v>
      </c>
      <c r="H12" s="117">
        <f>F12-D12</f>
        <v>0</v>
      </c>
      <c r="I12" s="97">
        <f t="shared" ref="I12:I15" si="1">G12-E12</f>
        <v>646</v>
      </c>
      <c r="J12" s="7">
        <v>93</v>
      </c>
      <c r="M12" s="68" t="s">
        <v>0</v>
      </c>
    </row>
    <row r="13" spans="1:13">
      <c r="A13" s="177" t="s">
        <v>46</v>
      </c>
      <c r="B13" s="123"/>
      <c r="C13" s="124">
        <f>543-42</f>
        <v>501</v>
      </c>
      <c r="D13" s="123"/>
      <c r="E13" s="124">
        <v>451</v>
      </c>
      <c r="F13" s="123"/>
      <c r="G13" s="124">
        <v>501</v>
      </c>
      <c r="H13" s="123">
        <f t="shared" ref="H13:H15" si="2">F13-D13</f>
        <v>0</v>
      </c>
      <c r="I13" s="125">
        <f t="shared" si="1"/>
        <v>50</v>
      </c>
      <c r="J13" s="7"/>
      <c r="M13" s="68" t="s">
        <v>0</v>
      </c>
    </row>
    <row r="14" spans="1:13">
      <c r="A14" s="177" t="s">
        <v>45</v>
      </c>
      <c r="B14" s="123"/>
      <c r="C14" s="124">
        <f>1457-118</f>
        <v>1339</v>
      </c>
      <c r="D14" s="123"/>
      <c r="E14" s="124">
        <v>743</v>
      </c>
      <c r="F14" s="123"/>
      <c r="G14" s="124">
        <v>1339</v>
      </c>
      <c r="H14" s="123">
        <f t="shared" si="2"/>
        <v>0</v>
      </c>
      <c r="I14" s="125">
        <f t="shared" si="1"/>
        <v>596</v>
      </c>
      <c r="J14" s="7"/>
      <c r="M14" s="68" t="s">
        <v>0</v>
      </c>
    </row>
    <row r="15" spans="1:13">
      <c r="A15" s="178" t="s">
        <v>47</v>
      </c>
      <c r="B15" s="126"/>
      <c r="C15" s="127"/>
      <c r="D15" s="126"/>
      <c r="E15" s="127"/>
      <c r="F15" s="126"/>
      <c r="G15" s="127"/>
      <c r="H15" s="117">
        <f t="shared" si="2"/>
        <v>0</v>
      </c>
      <c r="I15" s="97">
        <f t="shared" si="1"/>
        <v>0</v>
      </c>
      <c r="J15" s="7"/>
      <c r="M15" s="68" t="s">
        <v>0</v>
      </c>
    </row>
    <row r="16" spans="1:13">
      <c r="A16" s="179" t="s">
        <v>15</v>
      </c>
      <c r="B16" s="128">
        <f>+B10+B12</f>
        <v>523</v>
      </c>
      <c r="C16" s="129">
        <f t="shared" ref="C16:I16" si="3">+C10+C11+C12+C15</f>
        <v>60643</v>
      </c>
      <c r="D16" s="128">
        <f>+D10+D11+D12+D15</f>
        <v>557</v>
      </c>
      <c r="E16" s="129">
        <f t="shared" si="3"/>
        <v>60734</v>
      </c>
      <c r="F16" s="128">
        <f t="shared" si="3"/>
        <v>631</v>
      </c>
      <c r="G16" s="314">
        <f t="shared" si="3"/>
        <v>70440</v>
      </c>
      <c r="H16" s="129">
        <f>+H10+H11+H12+H15</f>
        <v>74</v>
      </c>
      <c r="I16" s="314">
        <f t="shared" si="3"/>
        <v>9706</v>
      </c>
      <c r="J16" s="23">
        <f>697+630+957+2333</f>
        <v>4617</v>
      </c>
      <c r="K16" s="3">
        <f>2451-93</f>
        <v>2358</v>
      </c>
      <c r="L16" s="3">
        <f>+E16-G16</f>
        <v>-9706</v>
      </c>
      <c r="M16" s="68" t="s">
        <v>0</v>
      </c>
    </row>
    <row r="17" spans="1:13">
      <c r="A17" s="176" t="s">
        <v>73</v>
      </c>
      <c r="B17" s="117"/>
      <c r="C17" s="118"/>
      <c r="D17" s="117"/>
      <c r="E17" s="118"/>
      <c r="F17" s="117"/>
      <c r="G17" s="118"/>
      <c r="H17" s="117"/>
      <c r="I17" s="97"/>
      <c r="J17" s="7"/>
      <c r="M17" s="68" t="s">
        <v>0</v>
      </c>
    </row>
    <row r="18" spans="1:13">
      <c r="A18" s="180" t="s">
        <v>49</v>
      </c>
      <c r="B18" s="117"/>
      <c r="C18" s="118">
        <f>18420-2726-138-100</f>
        <v>15456</v>
      </c>
      <c r="D18" s="117"/>
      <c r="E18" s="118">
        <v>15193</v>
      </c>
      <c r="F18" s="117"/>
      <c r="G18" s="118">
        <f>17700+150</f>
        <v>17850</v>
      </c>
      <c r="H18" s="117"/>
      <c r="I18" s="97">
        <f>G18-E18</f>
        <v>2657</v>
      </c>
      <c r="J18" s="7">
        <v>359</v>
      </c>
      <c r="K18" s="3">
        <f>1171+93</f>
        <v>1264</v>
      </c>
      <c r="L18" s="3">
        <f t="shared" ref="L18:L33" si="4">+E18-G18</f>
        <v>-2657</v>
      </c>
      <c r="M18" s="68" t="s">
        <v>0</v>
      </c>
    </row>
    <row r="19" spans="1:13">
      <c r="A19" s="180" t="s">
        <v>50</v>
      </c>
      <c r="B19" s="117"/>
      <c r="C19" s="118">
        <f>1396-457</f>
        <v>939</v>
      </c>
      <c r="D19" s="117"/>
      <c r="E19" s="118">
        <f>+C19-14</f>
        <v>925</v>
      </c>
      <c r="F19" s="117"/>
      <c r="G19" s="118">
        <f>1925+100</f>
        <v>2025</v>
      </c>
      <c r="H19" s="117"/>
      <c r="I19" s="97">
        <f t="shared" ref="I19:I32" si="5">G19-E19</f>
        <v>1100</v>
      </c>
      <c r="J19" s="7"/>
      <c r="K19" s="3">
        <v>110</v>
      </c>
      <c r="L19" s="3">
        <f t="shared" si="4"/>
        <v>-1100</v>
      </c>
      <c r="M19" s="68" t="s">
        <v>0</v>
      </c>
    </row>
    <row r="20" spans="1:13">
      <c r="A20" s="180" t="s">
        <v>51</v>
      </c>
      <c r="B20" s="117"/>
      <c r="C20" s="118">
        <v>2754</v>
      </c>
      <c r="D20" s="117"/>
      <c r="E20" s="118">
        <v>2014</v>
      </c>
      <c r="F20" s="117"/>
      <c r="G20" s="118">
        <v>2514</v>
      </c>
      <c r="H20" s="117"/>
      <c r="I20" s="97">
        <f t="shared" si="5"/>
        <v>500</v>
      </c>
      <c r="J20" s="7"/>
      <c r="K20" s="3">
        <v>0</v>
      </c>
      <c r="L20" s="3">
        <f t="shared" si="4"/>
        <v>-500</v>
      </c>
      <c r="M20" s="68" t="s">
        <v>0</v>
      </c>
    </row>
    <row r="21" spans="1:13">
      <c r="A21" s="180" t="s">
        <v>106</v>
      </c>
      <c r="B21" s="117"/>
      <c r="C21" s="118">
        <f>17112-1445+200</f>
        <v>15867</v>
      </c>
      <c r="D21" s="117"/>
      <c r="E21" s="118">
        <v>16622</v>
      </c>
      <c r="F21" s="117"/>
      <c r="G21" s="118">
        <f>+E21+1598+1000</f>
        <v>19220</v>
      </c>
      <c r="H21" s="117"/>
      <c r="I21" s="97">
        <f t="shared" si="5"/>
        <v>2598</v>
      </c>
      <c r="J21" s="7">
        <f>4220-576</f>
        <v>3644</v>
      </c>
      <c r="L21" s="3">
        <f t="shared" si="4"/>
        <v>-2598</v>
      </c>
      <c r="M21" s="68" t="s">
        <v>0</v>
      </c>
    </row>
    <row r="22" spans="1:13">
      <c r="A22" s="180" t="s">
        <v>28</v>
      </c>
      <c r="B22" s="117"/>
      <c r="C22" s="118">
        <v>753</v>
      </c>
      <c r="D22" s="117"/>
      <c r="E22" s="118">
        <f t="shared" ref="E22:E24" si="6">+C22</f>
        <v>753</v>
      </c>
      <c r="F22" s="117"/>
      <c r="G22" s="118">
        <f>400+200</f>
        <v>600</v>
      </c>
      <c r="H22" s="117"/>
      <c r="I22" s="97">
        <f t="shared" si="5"/>
        <v>-153</v>
      </c>
      <c r="J22" s="7"/>
      <c r="L22" s="3">
        <f t="shared" si="4"/>
        <v>153</v>
      </c>
      <c r="M22" s="68" t="s">
        <v>0</v>
      </c>
    </row>
    <row r="23" spans="1:13">
      <c r="A23" s="180" t="s">
        <v>52</v>
      </c>
      <c r="B23" s="117"/>
      <c r="C23" s="118">
        <f>1939-130</f>
        <v>1809</v>
      </c>
      <c r="D23" s="117"/>
      <c r="E23" s="118">
        <f>2348-402</f>
        <v>1946</v>
      </c>
      <c r="F23" s="117"/>
      <c r="G23" s="118">
        <f>1946-200+100</f>
        <v>1846</v>
      </c>
      <c r="H23" s="117"/>
      <c r="I23" s="97">
        <f t="shared" si="5"/>
        <v>-100</v>
      </c>
      <c r="J23" s="7">
        <v>332</v>
      </c>
      <c r="K23" s="3">
        <v>175</v>
      </c>
      <c r="L23" s="3">
        <f t="shared" si="4"/>
        <v>100</v>
      </c>
      <c r="M23" s="68" t="s">
        <v>0</v>
      </c>
    </row>
    <row r="24" spans="1:13">
      <c r="A24" s="180" t="s">
        <v>53</v>
      </c>
      <c r="B24" s="117"/>
      <c r="C24" s="118">
        <f>127-83</f>
        <v>44</v>
      </c>
      <c r="D24" s="117"/>
      <c r="E24" s="118">
        <f t="shared" si="6"/>
        <v>44</v>
      </c>
      <c r="F24" s="117"/>
      <c r="G24" s="118">
        <f>44+67</f>
        <v>111</v>
      </c>
      <c r="H24" s="117"/>
      <c r="I24" s="97">
        <f t="shared" si="5"/>
        <v>67</v>
      </c>
      <c r="J24" s="7"/>
      <c r="L24" s="3">
        <f t="shared" si="4"/>
        <v>-67</v>
      </c>
      <c r="M24" s="68" t="s">
        <v>0</v>
      </c>
    </row>
    <row r="25" spans="1:13">
      <c r="A25" s="180" t="s">
        <v>54</v>
      </c>
      <c r="B25" s="117"/>
      <c r="C25" s="118">
        <v>975</v>
      </c>
      <c r="D25" s="117"/>
      <c r="E25" s="118">
        <f>+C25-15</f>
        <v>960</v>
      </c>
      <c r="F25" s="117"/>
      <c r="G25" s="118">
        <f>960+73</f>
        <v>1033</v>
      </c>
      <c r="H25" s="117"/>
      <c r="I25" s="97">
        <f t="shared" si="5"/>
        <v>73</v>
      </c>
      <c r="J25" s="7"/>
      <c r="K25" s="3">
        <v>14918</v>
      </c>
      <c r="L25" s="3">
        <f t="shared" si="4"/>
        <v>-73</v>
      </c>
      <c r="M25" s="68" t="s">
        <v>0</v>
      </c>
    </row>
    <row r="26" spans="1:13">
      <c r="A26" s="180" t="s">
        <v>55</v>
      </c>
      <c r="B26" s="117"/>
      <c r="C26" s="118">
        <f>5306-402-924</f>
        <v>3980</v>
      </c>
      <c r="D26" s="117"/>
      <c r="E26" s="118">
        <v>4504</v>
      </c>
      <c r="F26" s="117"/>
      <c r="G26" s="118">
        <v>4504</v>
      </c>
      <c r="H26" s="117"/>
      <c r="I26" s="97">
        <f t="shared" si="5"/>
        <v>0</v>
      </c>
      <c r="J26" s="7">
        <v>276</v>
      </c>
      <c r="K26" s="3">
        <v>14853</v>
      </c>
      <c r="L26" s="3">
        <f t="shared" si="4"/>
        <v>0</v>
      </c>
      <c r="M26" s="68" t="s">
        <v>0</v>
      </c>
    </row>
    <row r="27" spans="1:13">
      <c r="A27" s="180" t="s">
        <v>185</v>
      </c>
      <c r="B27" s="117"/>
      <c r="C27" s="118">
        <f>6099-1000+10</f>
        <v>5109</v>
      </c>
      <c r="D27" s="117"/>
      <c r="E27" s="118">
        <f>5599-94</f>
        <v>5505</v>
      </c>
      <c r="F27" s="117"/>
      <c r="G27" s="118">
        <f>5355+56-110</f>
        <v>5301</v>
      </c>
      <c r="H27" s="117"/>
      <c r="I27" s="97">
        <f t="shared" si="5"/>
        <v>-204</v>
      </c>
      <c r="J27" s="7"/>
      <c r="K27" s="3">
        <v>135</v>
      </c>
      <c r="L27" s="3">
        <f t="shared" si="4"/>
        <v>204</v>
      </c>
      <c r="M27" s="68" t="s">
        <v>0</v>
      </c>
    </row>
    <row r="28" spans="1:13">
      <c r="A28" s="180" t="s">
        <v>107</v>
      </c>
      <c r="B28" s="117"/>
      <c r="C28" s="118">
        <v>1327</v>
      </c>
      <c r="D28" s="117"/>
      <c r="E28" s="118">
        <v>0</v>
      </c>
      <c r="F28" s="117"/>
      <c r="G28" s="118">
        <v>0</v>
      </c>
      <c r="H28" s="117"/>
      <c r="I28" s="97">
        <f t="shared" si="5"/>
        <v>0</v>
      </c>
      <c r="J28" s="7"/>
      <c r="L28" s="3">
        <f t="shared" si="4"/>
        <v>0</v>
      </c>
      <c r="M28" s="68" t="s">
        <v>0</v>
      </c>
    </row>
    <row r="29" spans="1:13">
      <c r="A29" s="180" t="s">
        <v>111</v>
      </c>
      <c r="B29" s="117"/>
      <c r="C29" s="118"/>
      <c r="D29" s="117"/>
      <c r="E29" s="118"/>
      <c r="F29" s="117"/>
      <c r="G29" s="118"/>
      <c r="H29" s="117"/>
      <c r="I29" s="97">
        <f t="shared" si="5"/>
        <v>0</v>
      </c>
      <c r="J29" s="7"/>
      <c r="L29" s="3">
        <f t="shared" si="4"/>
        <v>0</v>
      </c>
      <c r="M29" s="68" t="s">
        <v>0</v>
      </c>
    </row>
    <row r="30" spans="1:13">
      <c r="A30" s="180" t="s">
        <v>112</v>
      </c>
      <c r="B30" s="117"/>
      <c r="C30" s="118">
        <f>510-133-16</f>
        <v>361</v>
      </c>
      <c r="D30" s="117"/>
      <c r="E30" s="118">
        <v>0</v>
      </c>
      <c r="F30" s="117"/>
      <c r="G30" s="118"/>
      <c r="H30" s="117"/>
      <c r="I30" s="97">
        <f t="shared" si="5"/>
        <v>0</v>
      </c>
      <c r="J30" s="7"/>
      <c r="K30" s="3">
        <v>10</v>
      </c>
      <c r="L30" s="3">
        <f t="shared" si="4"/>
        <v>0</v>
      </c>
      <c r="M30" s="68" t="s">
        <v>0</v>
      </c>
    </row>
    <row r="31" spans="1:13">
      <c r="A31" s="180" t="s">
        <v>56</v>
      </c>
      <c r="B31" s="117"/>
      <c r="C31" s="118">
        <f>2605-3</f>
        <v>2602</v>
      </c>
      <c r="D31" s="117"/>
      <c r="E31" s="118">
        <v>1623</v>
      </c>
      <c r="F31" s="117"/>
      <c r="G31" s="118">
        <v>1623</v>
      </c>
      <c r="H31" s="117"/>
      <c r="I31" s="97">
        <f t="shared" si="5"/>
        <v>0</v>
      </c>
      <c r="J31" s="7"/>
      <c r="K31" s="3">
        <v>85</v>
      </c>
      <c r="L31" s="3">
        <f t="shared" si="4"/>
        <v>0</v>
      </c>
      <c r="M31" s="68" t="s">
        <v>0</v>
      </c>
    </row>
    <row r="32" spans="1:13">
      <c r="A32" s="180" t="s">
        <v>57</v>
      </c>
      <c r="B32" s="117"/>
      <c r="C32" s="118">
        <f>896-209</f>
        <v>687</v>
      </c>
      <c r="D32" s="117"/>
      <c r="E32" s="118">
        <v>600</v>
      </c>
      <c r="F32" s="117"/>
      <c r="G32" s="118">
        <v>600</v>
      </c>
      <c r="H32" s="117"/>
      <c r="I32" s="97">
        <f t="shared" si="5"/>
        <v>0</v>
      </c>
      <c r="J32" s="7"/>
      <c r="K32" s="3">
        <v>37758</v>
      </c>
      <c r="L32" s="3">
        <f t="shared" si="4"/>
        <v>0</v>
      </c>
      <c r="M32" s="68" t="s">
        <v>0</v>
      </c>
    </row>
    <row r="33" spans="1:25">
      <c r="A33" s="181" t="s">
        <v>58</v>
      </c>
      <c r="B33" s="66"/>
      <c r="C33" s="46">
        <f>SUM(C16:C32)</f>
        <v>113306</v>
      </c>
      <c r="D33" s="66"/>
      <c r="E33" s="46">
        <f>SUM(E16:E32)</f>
        <v>111423</v>
      </c>
      <c r="F33" s="66"/>
      <c r="G33" s="46">
        <f>SUM(G16:G32)</f>
        <v>127667</v>
      </c>
      <c r="H33" s="66"/>
      <c r="I33" s="45">
        <f>SUM(I16:I32)</f>
        <v>16244</v>
      </c>
      <c r="J33" s="7">
        <f>SUM(J12:J32)</f>
        <v>9321</v>
      </c>
      <c r="K33" s="3">
        <f>SUM(K16:K32)</f>
        <v>71666</v>
      </c>
      <c r="L33" s="3">
        <f t="shared" si="4"/>
        <v>-16244</v>
      </c>
      <c r="M33" s="68" t="s">
        <v>0</v>
      </c>
    </row>
    <row r="34" spans="1:25" ht="16.899999999999999" customHeight="1">
      <c r="A34" s="182" t="s">
        <v>59</v>
      </c>
      <c r="B34" s="120"/>
      <c r="C34" s="121">
        <v>-464</v>
      </c>
      <c r="D34" s="120"/>
      <c r="E34" s="121">
        <v>-601</v>
      </c>
      <c r="F34" s="120"/>
      <c r="G34" s="121"/>
      <c r="H34" s="120"/>
      <c r="I34" s="122"/>
      <c r="J34" s="7"/>
      <c r="M34" s="68" t="s">
        <v>0</v>
      </c>
    </row>
    <row r="35" spans="1:25">
      <c r="A35" s="182" t="s">
        <v>276</v>
      </c>
      <c r="B35" s="120"/>
      <c r="C35" s="121">
        <v>5566</v>
      </c>
      <c r="D35" s="120"/>
      <c r="E35" s="121"/>
      <c r="F35" s="120"/>
      <c r="G35" s="121"/>
      <c r="H35" s="120"/>
      <c r="I35" s="122"/>
      <c r="J35" s="7"/>
      <c r="M35" s="68" t="s">
        <v>0</v>
      </c>
      <c r="N35" s="533"/>
    </row>
    <row r="36" spans="1:25">
      <c r="A36" s="182" t="s">
        <v>277</v>
      </c>
      <c r="B36" s="120"/>
      <c r="C36" s="121">
        <v>601</v>
      </c>
      <c r="D36" s="120"/>
      <c r="E36" s="121"/>
      <c r="F36" s="120"/>
      <c r="G36" s="121"/>
      <c r="H36" s="120"/>
      <c r="I36" s="122"/>
      <c r="J36" s="7"/>
      <c r="M36" s="68" t="s">
        <v>0</v>
      </c>
    </row>
    <row r="37" spans="1:25">
      <c r="A37" s="182" t="s">
        <v>60</v>
      </c>
      <c r="B37" s="120"/>
      <c r="C37" s="121">
        <v>-147</v>
      </c>
      <c r="D37" s="120"/>
      <c r="E37" s="121"/>
      <c r="F37" s="120"/>
      <c r="G37" s="121"/>
      <c r="H37" s="120"/>
      <c r="I37" s="122"/>
      <c r="J37" s="7"/>
      <c r="M37" s="68" t="s">
        <v>0</v>
      </c>
      <c r="N37" s="533"/>
    </row>
    <row r="38" spans="1:25">
      <c r="A38" s="182" t="s">
        <v>41</v>
      </c>
      <c r="B38" s="120"/>
      <c r="C38" s="121">
        <v>1317</v>
      </c>
      <c r="D38" s="120"/>
      <c r="E38" s="121"/>
      <c r="F38" s="120"/>
      <c r="G38" s="121"/>
      <c r="H38" s="120"/>
      <c r="I38" s="122"/>
      <c r="J38" s="7"/>
      <c r="M38" s="68" t="s">
        <v>0</v>
      </c>
    </row>
    <row r="39" spans="1:25" ht="16.5" customHeight="1" thickBot="1">
      <c r="A39" s="303" t="s">
        <v>1</v>
      </c>
      <c r="B39" s="304"/>
      <c r="C39" s="305">
        <f>SUM(C33:C38)</f>
        <v>120179</v>
      </c>
      <c r="D39" s="304"/>
      <c r="E39" s="305">
        <f>SUM(E33:E38)</f>
        <v>110822</v>
      </c>
      <c r="F39" s="304"/>
      <c r="G39" s="305">
        <f>SUM(G33:G38)</f>
        <v>127667</v>
      </c>
      <c r="H39" s="304"/>
      <c r="I39" s="306"/>
      <c r="J39" s="7"/>
      <c r="M39" s="68" t="s">
        <v>0</v>
      </c>
      <c r="O39" s="846"/>
      <c r="P39" s="846"/>
      <c r="Q39" s="846"/>
      <c r="R39" s="846"/>
      <c r="S39" s="846"/>
      <c r="T39" s="846"/>
      <c r="U39" s="846"/>
      <c r="V39" s="846"/>
      <c r="W39" s="846"/>
      <c r="X39" s="846"/>
      <c r="Y39" s="846"/>
    </row>
    <row r="40" spans="1:25">
      <c r="A40" s="307"/>
      <c r="B40" s="308"/>
      <c r="C40" s="309"/>
      <c r="D40" s="308"/>
      <c r="E40" s="309"/>
      <c r="F40" s="308"/>
      <c r="G40" s="309"/>
      <c r="H40" s="308"/>
      <c r="I40" s="310"/>
      <c r="J40" s="7"/>
      <c r="M40" s="68"/>
      <c r="O40" s="846"/>
      <c r="P40" s="846"/>
      <c r="Q40" s="846"/>
      <c r="R40" s="846"/>
      <c r="S40" s="846"/>
      <c r="T40" s="846"/>
      <c r="U40" s="846"/>
      <c r="V40" s="846"/>
      <c r="W40" s="846"/>
      <c r="X40" s="846"/>
      <c r="Y40" s="846"/>
    </row>
    <row r="41" spans="1:25">
      <c r="A41" s="302" t="s">
        <v>128</v>
      </c>
      <c r="B41" s="117"/>
      <c r="C41" s="118"/>
      <c r="D41" s="117"/>
      <c r="E41" s="118"/>
      <c r="F41" s="117"/>
      <c r="G41" s="118"/>
      <c r="H41" s="117"/>
      <c r="I41" s="97"/>
      <c r="J41" s="7"/>
      <c r="M41" s="68" t="s">
        <v>0</v>
      </c>
      <c r="O41" s="846"/>
      <c r="P41" s="846"/>
      <c r="Q41" s="846"/>
      <c r="R41" s="846"/>
      <c r="S41" s="846"/>
      <c r="T41" s="846"/>
      <c r="U41" s="846"/>
      <c r="V41" s="846"/>
      <c r="W41" s="846"/>
      <c r="X41" s="846"/>
      <c r="Y41" s="846"/>
    </row>
    <row r="42" spans="1:25">
      <c r="A42" s="180" t="s">
        <v>48</v>
      </c>
      <c r="B42" s="119">
        <v>83</v>
      </c>
      <c r="C42" s="210">
        <v>9271</v>
      </c>
      <c r="D42" s="119">
        <v>90</v>
      </c>
      <c r="E42" s="210">
        <v>10052.89156626506</v>
      </c>
      <c r="F42" s="119">
        <v>29</v>
      </c>
      <c r="G42" s="210">
        <v>3239.265060240964</v>
      </c>
      <c r="H42" s="120"/>
      <c r="I42" s="211"/>
      <c r="J42" s="7"/>
      <c r="M42" s="68" t="s">
        <v>0</v>
      </c>
    </row>
    <row r="43" spans="1:25">
      <c r="A43" s="176" t="s">
        <v>2</v>
      </c>
      <c r="B43" s="117"/>
      <c r="C43" s="210">
        <v>1402</v>
      </c>
      <c r="D43" s="117"/>
      <c r="E43" s="210">
        <v>1520.2409638554216</v>
      </c>
      <c r="F43" s="117"/>
      <c r="G43" s="210">
        <v>489.85542168674698</v>
      </c>
      <c r="H43" s="120"/>
      <c r="I43" s="211"/>
      <c r="J43" s="7"/>
      <c r="M43" s="68" t="s">
        <v>0</v>
      </c>
    </row>
    <row r="44" spans="1:25">
      <c r="A44" s="178" t="s">
        <v>3</v>
      </c>
      <c r="B44" s="144"/>
      <c r="C44" s="363">
        <v>16</v>
      </c>
      <c r="D44" s="144"/>
      <c r="E44" s="364">
        <v>17.349397590361445</v>
      </c>
      <c r="F44" s="144"/>
      <c r="G44" s="364">
        <v>5.5903614457831328</v>
      </c>
      <c r="H44" s="145"/>
      <c r="I44" s="364"/>
      <c r="J44" s="7"/>
      <c r="M44" s="68" t="s">
        <v>0</v>
      </c>
    </row>
    <row r="45" spans="1:25">
      <c r="A45" s="61"/>
      <c r="B45" s="54"/>
      <c r="C45" s="54"/>
      <c r="D45" s="54"/>
      <c r="E45" s="54"/>
      <c r="F45" s="54"/>
      <c r="G45" s="54"/>
      <c r="H45" s="54"/>
      <c r="I45" s="54"/>
      <c r="J45" s="7"/>
      <c r="M45" s="68" t="s">
        <v>20</v>
      </c>
    </row>
    <row r="46" spans="1:25">
      <c r="A46" s="844"/>
      <c r="B46" s="845"/>
      <c r="C46" s="845"/>
      <c r="D46" s="845"/>
      <c r="E46" s="845"/>
      <c r="F46" s="845"/>
      <c r="G46" s="845"/>
      <c r="H46" s="845"/>
      <c r="I46" s="845"/>
      <c r="J46" s="845"/>
      <c r="K46" s="845"/>
      <c r="L46" s="845"/>
      <c r="M46" s="845"/>
    </row>
    <row r="47" spans="1:25" s="401" customFormat="1">
      <c r="A47" s="404"/>
      <c r="B47" s="404"/>
      <c r="C47" s="404" t="s">
        <v>136</v>
      </c>
      <c r="D47" s="404"/>
      <c r="E47" s="404"/>
      <c r="F47" s="404"/>
      <c r="G47" s="404"/>
      <c r="H47" s="44"/>
      <c r="I47" s="44"/>
      <c r="J47" s="19"/>
      <c r="M47" s="402"/>
      <c r="N47" s="403"/>
    </row>
    <row r="48" spans="1:25" s="401" customFormat="1">
      <c r="A48" s="404"/>
      <c r="B48" s="404"/>
      <c r="C48" s="404" t="s">
        <v>136</v>
      </c>
      <c r="D48" s="404"/>
      <c r="E48" s="404"/>
      <c r="F48" s="404"/>
      <c r="G48" s="404"/>
      <c r="H48" s="44"/>
      <c r="I48" s="44"/>
      <c r="J48" s="19"/>
      <c r="M48" s="402"/>
      <c r="N48" s="403"/>
    </row>
    <row r="49" spans="1:14" s="401" customFormat="1" ht="65.45" customHeight="1">
      <c r="A49" s="404"/>
      <c r="B49" s="843"/>
      <c r="C49" s="843"/>
      <c r="D49" s="843"/>
      <c r="E49" s="843"/>
      <c r="F49" s="843"/>
      <c r="G49" s="843"/>
      <c r="H49" s="843"/>
      <c r="I49" s="843"/>
      <c r="J49" s="19"/>
      <c r="M49" s="402"/>
      <c r="N49" s="403"/>
    </row>
    <row r="50" spans="1:14">
      <c r="H50" s="13"/>
      <c r="I50" s="13"/>
      <c r="J50" s="7"/>
    </row>
    <row r="51" spans="1:14">
      <c r="H51" s="13"/>
      <c r="I51" s="64"/>
      <c r="J51" s="7"/>
    </row>
    <row r="52" spans="1:14">
      <c r="H52" s="13"/>
      <c r="I52" s="13"/>
      <c r="J52" s="7"/>
    </row>
    <row r="53" spans="1:14">
      <c r="H53" s="13"/>
      <c r="I53" s="13"/>
      <c r="J53" s="7"/>
    </row>
    <row r="54" spans="1:14">
      <c r="H54" s="13"/>
      <c r="I54" s="13"/>
      <c r="J54" s="7"/>
    </row>
    <row r="55" spans="1:14">
      <c r="H55" s="13"/>
      <c r="I55" s="13"/>
      <c r="J55" s="7"/>
    </row>
    <row r="56" spans="1:14">
      <c r="H56" s="13"/>
      <c r="I56" s="13"/>
      <c r="J56" s="7"/>
    </row>
    <row r="57" spans="1:14">
      <c r="H57" s="13"/>
      <c r="I57" s="13"/>
      <c r="J57" s="7"/>
    </row>
    <row r="58" spans="1:14">
      <c r="H58" s="13"/>
      <c r="I58" s="13"/>
      <c r="J58" s="7"/>
    </row>
    <row r="59" spans="1:14">
      <c r="H59" s="13"/>
      <c r="I59" s="13"/>
      <c r="J59" s="7"/>
    </row>
    <row r="60" spans="1:14">
      <c r="H60" s="13"/>
      <c r="I60" s="13"/>
      <c r="J60" s="7"/>
    </row>
    <row r="61" spans="1:14">
      <c r="H61" s="13"/>
      <c r="I61" s="13"/>
      <c r="J61" s="7"/>
    </row>
    <row r="62" spans="1:14">
      <c r="H62" s="13"/>
      <c r="I62" s="14"/>
      <c r="J62" s="7"/>
    </row>
    <row r="63" spans="1:14">
      <c r="H63" s="13"/>
      <c r="I63" s="14"/>
      <c r="J63" s="7"/>
    </row>
    <row r="64" spans="1:14">
      <c r="H64" s="13"/>
      <c r="I64" s="13"/>
      <c r="J64" s="7"/>
    </row>
    <row r="65" spans="8:10">
      <c r="H65" s="13"/>
      <c r="I65" s="13"/>
      <c r="J65" s="7"/>
    </row>
    <row r="66" spans="8:10">
      <c r="H66" s="13"/>
      <c r="I66" s="13"/>
      <c r="J66" s="7"/>
    </row>
    <row r="67" spans="8:10">
      <c r="H67" s="13"/>
      <c r="I67" s="13"/>
      <c r="J67" s="7"/>
    </row>
    <row r="68" spans="8:10">
      <c r="H68" s="13"/>
      <c r="I68" s="13"/>
      <c r="J68" s="7"/>
    </row>
    <row r="69" spans="8:10">
      <c r="H69" s="13"/>
      <c r="I69" s="13"/>
      <c r="J69" s="7"/>
    </row>
    <row r="70" spans="8:10">
      <c r="H70" s="13"/>
      <c r="I70" s="13"/>
      <c r="J70" s="7"/>
    </row>
    <row r="71" spans="8:10">
      <c r="H71" s="13"/>
      <c r="I71" s="13"/>
      <c r="J71" s="7"/>
    </row>
    <row r="72" spans="8:10">
      <c r="H72" s="13"/>
      <c r="I72" s="13"/>
      <c r="J72" s="7"/>
    </row>
    <row r="73" spans="8:10">
      <c r="H73" s="13"/>
      <c r="I73" s="13"/>
      <c r="J73" s="7"/>
    </row>
    <row r="74" spans="8:10">
      <c r="H74" s="13"/>
      <c r="I74" s="13"/>
      <c r="J74" s="7"/>
    </row>
    <row r="75" spans="8:10">
      <c r="H75" s="13"/>
      <c r="I75" s="13"/>
      <c r="J75" s="7"/>
    </row>
    <row r="76" spans="8:10">
      <c r="H76" s="13"/>
      <c r="I76" s="13"/>
      <c r="J76" s="7"/>
    </row>
    <row r="77" spans="8:10">
      <c r="H77" s="15"/>
      <c r="I77" s="13"/>
      <c r="J77" s="7"/>
    </row>
    <row r="78" spans="8:10">
      <c r="H78" s="7"/>
      <c r="I78" s="7"/>
      <c r="J78" s="7"/>
    </row>
    <row r="79" spans="8:10">
      <c r="H79" s="6"/>
      <c r="I79" s="6"/>
      <c r="J79" s="7"/>
    </row>
    <row r="80" spans="8:10">
      <c r="H80" s="6"/>
      <c r="I80" s="6"/>
      <c r="J80" s="7"/>
    </row>
    <row r="81" spans="8:10">
      <c r="H81" s="6"/>
      <c r="I81" s="6"/>
      <c r="J81" s="7"/>
    </row>
    <row r="82" spans="8:10">
      <c r="H82" s="6"/>
      <c r="I82" s="6"/>
      <c r="J82" s="7"/>
    </row>
    <row r="83" spans="8:10">
      <c r="J83" s="7"/>
    </row>
    <row r="84" spans="8:10">
      <c r="J84" s="7"/>
    </row>
    <row r="186" spans="1:1">
      <c r="A186" s="3" t="s">
        <v>104</v>
      </c>
    </row>
  </sheetData>
  <customSheetViews>
    <customSheetView guid="{3118AF25-8423-420A-806A-487665220C68}" scale="75" showPageBreaks="1" printArea="1" hiddenColumns="1" view="pageBreakPreview">
      <pane xSplit="1" ySplit="9" topLeftCell="B19" activePane="bottomRight" state="frozen"/>
      <selection pane="bottomRight" activeCell="I12" sqref="I12"/>
      <pageMargins left="0.5" right="0.5" top="0.5" bottom="0.25" header="0.5" footer="0.5"/>
      <printOptions horizontalCentered="1"/>
      <pageSetup scale="70" orientation="landscape" r:id="rId1"/>
      <headerFooter alignWithMargins="0">
        <oddFooter>&amp;C&amp;"Times New Roman,Regular"Exhibit L - Summary of Requirements by Object Class</oddFooter>
      </headerFooter>
    </customSheetView>
    <customSheetView guid="{56C0A34E-45B4-448B-85E5-70B3A8E63333}" scale="75" showPageBreaks="1" printArea="1" hiddenColumns="1" view="pageBreakPreview">
      <pane xSplit="1" ySplit="9" topLeftCell="B10" activePane="bottomRight" state="frozen"/>
      <selection pane="bottomRight" activeCell="D9" sqref="D9"/>
      <pageMargins left="0.5" right="0.5" top="0.5" bottom="0.25" header="0.5" footer="0.5"/>
      <printOptions horizontalCentered="1"/>
      <pageSetup scale="70" orientation="landscape" r:id="rId2"/>
      <headerFooter alignWithMargins="0">
        <oddFooter>&amp;C&amp;"Times New Roman,Regular"Exhibit L - Summary of Requirements by Object Class</oddFooter>
      </headerFooter>
    </customSheetView>
    <customSheetView guid="{4148B88B-8ED7-4FDE-9459-DEB244AD0552}"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3"/>
      <headerFooter alignWithMargins="0">
        <oddFooter>&amp;C&amp;"Times New Roman,Regular"Exhibit L - Summary of Requirements by Object Class</oddFooter>
      </headerFooter>
    </customSheetView>
    <customSheetView guid="{12C66D54-5067-4346-818B-6EAB1C8A9183}"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4"/>
      <headerFooter alignWithMargins="0">
        <oddFooter>&amp;C&amp;"Times New Roman,Regular"Exhibit L - Summary of Requirements by Object Class</oddFooter>
      </headerFooter>
    </customSheetView>
    <customSheetView guid="{87EA6C51-A281-4696-9262-A16F553E7025}" scale="75" showPageBreaks="1" printArea="1" hiddenColumns="1" view="pageBreakPreview">
      <pane xSplit="1" ySplit="9" topLeftCell="B10" activePane="bottomRight" state="frozen"/>
      <selection pane="bottomRight" activeCell="C21" sqref="C21"/>
      <pageMargins left="0.5" right="0.5" top="0.5" bottom="0.25" header="0.5" footer="0.5"/>
      <printOptions horizontalCentered="1"/>
      <pageSetup scale="70" orientation="landscape" r:id="rId5"/>
      <headerFooter alignWithMargins="0">
        <oddFooter>&amp;C&amp;"Times New Roman,Regular"Exhibit L - Summary of Requirements by Object Class</oddFooter>
      </headerFooter>
    </customSheetView>
  </customSheetViews>
  <mergeCells count="15">
    <mergeCell ref="O39:Y41"/>
    <mergeCell ref="A7:I7"/>
    <mergeCell ref="A5:I5"/>
    <mergeCell ref="A8:A9"/>
    <mergeCell ref="A6:I6"/>
    <mergeCell ref="B8:C8"/>
    <mergeCell ref="H8:I8"/>
    <mergeCell ref="F8:G8"/>
    <mergeCell ref="D8:E8"/>
    <mergeCell ref="A1:I1"/>
    <mergeCell ref="A2:I2"/>
    <mergeCell ref="A3:I3"/>
    <mergeCell ref="A4:I4"/>
    <mergeCell ref="B49:I49"/>
    <mergeCell ref="A46:M46"/>
  </mergeCells>
  <phoneticPr fontId="0" type="noConversion"/>
  <printOptions horizontalCentered="1"/>
  <pageMargins left="0.5" right="0.5" top="0.5" bottom="0.25" header="0.5" footer="0.5"/>
  <pageSetup scale="70" orientation="landscape" r:id="rId6"/>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K25"/>
  <sheetViews>
    <sheetView tabSelected="1" view="pageBreakPreview" zoomScale="60" zoomScaleNormal="100" workbookViewId="0"/>
  </sheetViews>
  <sheetFormatPr defaultRowHeight="15"/>
  <cols>
    <col min="7" max="7" width="21.44140625" customWidth="1"/>
    <col min="9" max="9" width="8.88671875" style="301"/>
  </cols>
  <sheetData>
    <row r="1" spans="1:11" ht="15.75">
      <c r="A1" s="209" t="s">
        <v>87</v>
      </c>
      <c r="K1" s="301" t="s">
        <v>0</v>
      </c>
    </row>
    <row r="2" spans="1:11" ht="15.75">
      <c r="A2" s="208"/>
      <c r="K2" s="301" t="s">
        <v>0</v>
      </c>
    </row>
    <row r="3" spans="1:11" ht="20.25">
      <c r="A3" s="315"/>
      <c r="B3" s="316"/>
      <c r="C3" s="316"/>
      <c r="D3" s="316"/>
      <c r="E3" s="316"/>
      <c r="F3" s="316"/>
      <c r="G3" s="316"/>
      <c r="H3" s="316"/>
      <c r="I3" s="316"/>
      <c r="J3" s="316"/>
      <c r="K3" s="301" t="s">
        <v>0</v>
      </c>
    </row>
    <row r="4" spans="1:11" ht="20.25">
      <c r="A4" s="315"/>
      <c r="B4" s="316"/>
      <c r="C4" s="316"/>
      <c r="D4" s="316"/>
      <c r="E4" s="316"/>
      <c r="F4" s="316"/>
      <c r="G4" s="316"/>
      <c r="H4" s="316"/>
      <c r="I4" s="316"/>
      <c r="J4" s="316"/>
      <c r="K4" s="301" t="s">
        <v>0</v>
      </c>
    </row>
    <row r="5" spans="1:11" ht="20.25">
      <c r="A5" s="857" t="s">
        <v>209</v>
      </c>
      <c r="B5" s="858"/>
      <c r="C5" s="858"/>
      <c r="D5" s="858"/>
      <c r="E5" s="858"/>
      <c r="F5" s="858"/>
      <c r="G5" s="858"/>
      <c r="H5" s="858"/>
      <c r="I5" s="858"/>
      <c r="J5" s="858"/>
      <c r="K5" s="301" t="s">
        <v>0</v>
      </c>
    </row>
    <row r="6" spans="1:11">
      <c r="A6" s="316"/>
      <c r="B6" s="316"/>
      <c r="C6" s="316"/>
      <c r="D6" s="316"/>
      <c r="E6" s="316"/>
      <c r="F6" s="316"/>
      <c r="G6" s="316"/>
      <c r="H6" s="316"/>
      <c r="I6" s="316"/>
      <c r="J6" s="316"/>
      <c r="K6" s="301" t="s">
        <v>0</v>
      </c>
    </row>
    <row r="7" spans="1:11" ht="15.75">
      <c r="A7" s="859" t="s">
        <v>120</v>
      </c>
      <c r="B7" s="860"/>
      <c r="C7" s="860"/>
      <c r="D7" s="860"/>
      <c r="E7" s="860"/>
      <c r="F7" s="860"/>
      <c r="G7" s="860"/>
      <c r="H7" s="860"/>
      <c r="I7" s="860"/>
      <c r="J7" s="860"/>
      <c r="K7" s="301" t="s">
        <v>0</v>
      </c>
    </row>
    <row r="8" spans="1:11" ht="15.75">
      <c r="A8" s="861" t="s">
        <v>119</v>
      </c>
      <c r="B8" s="862"/>
      <c r="C8" s="862"/>
      <c r="D8" s="862"/>
      <c r="E8" s="862"/>
      <c r="F8" s="862"/>
      <c r="G8" s="862"/>
      <c r="H8" s="862"/>
      <c r="I8" s="862"/>
      <c r="J8" s="862"/>
      <c r="K8" s="301" t="s">
        <v>0</v>
      </c>
    </row>
    <row r="9" spans="1:11">
      <c r="A9" s="317"/>
      <c r="B9" s="317"/>
      <c r="C9" s="317"/>
      <c r="D9" s="317"/>
      <c r="E9" s="317"/>
      <c r="F9" s="317"/>
      <c r="G9" s="317"/>
      <c r="H9" s="317"/>
      <c r="I9" s="317"/>
      <c r="J9" s="317"/>
      <c r="K9" s="301" t="s">
        <v>0</v>
      </c>
    </row>
    <row r="10" spans="1:11" ht="15.75">
      <c r="A10" s="318"/>
      <c r="B10" s="318"/>
      <c r="C10" s="318"/>
      <c r="D10" s="318"/>
      <c r="E10" s="319"/>
      <c r="F10" s="319"/>
      <c r="G10" s="319"/>
      <c r="H10" s="319"/>
      <c r="I10" s="319"/>
      <c r="J10" s="318"/>
      <c r="K10" s="301" t="s">
        <v>0</v>
      </c>
    </row>
    <row r="11" spans="1:11" ht="15.75">
      <c r="A11" s="863" t="s">
        <v>158</v>
      </c>
      <c r="B11" s="863"/>
      <c r="C11" s="863"/>
      <c r="D11" s="863"/>
      <c r="E11" s="863"/>
      <c r="F11" s="863"/>
      <c r="G11" s="863"/>
      <c r="H11" s="863"/>
      <c r="I11" s="863"/>
      <c r="J11" s="863"/>
      <c r="K11" s="301" t="s">
        <v>0</v>
      </c>
    </row>
    <row r="12" spans="1:11" ht="15.75">
      <c r="A12" s="320"/>
      <c r="B12" s="320"/>
      <c r="C12" s="320"/>
      <c r="D12" s="320"/>
      <c r="E12" s="320"/>
      <c r="F12" s="320"/>
      <c r="G12" s="320"/>
      <c r="H12" s="320"/>
      <c r="I12" s="320"/>
      <c r="J12" s="320"/>
      <c r="K12" s="301" t="s">
        <v>0</v>
      </c>
    </row>
    <row r="13" spans="1:11" ht="20.25">
      <c r="A13" s="527" t="s">
        <v>269</v>
      </c>
      <c r="B13" s="318"/>
      <c r="C13" s="318"/>
      <c r="D13" s="318"/>
      <c r="E13" s="318"/>
      <c r="F13" s="318"/>
      <c r="G13" s="318"/>
      <c r="H13" s="318"/>
      <c r="I13" s="318"/>
      <c r="J13" s="318"/>
      <c r="K13" s="301" t="s">
        <v>0</v>
      </c>
    </row>
    <row r="14" spans="1:11" ht="24.6" customHeight="1">
      <c r="A14" s="864" t="s">
        <v>270</v>
      </c>
      <c r="B14" s="865"/>
      <c r="C14" s="865"/>
      <c r="D14" s="865"/>
      <c r="E14" s="865"/>
      <c r="F14" s="865"/>
      <c r="G14" s="865"/>
      <c r="H14" s="865"/>
      <c r="I14" s="865"/>
      <c r="J14" s="865"/>
      <c r="K14" s="301" t="s">
        <v>0</v>
      </c>
    </row>
    <row r="15" spans="1:11" ht="24.6" customHeight="1">
      <c r="A15" s="865"/>
      <c r="B15" s="865"/>
      <c r="C15" s="865"/>
      <c r="D15" s="865"/>
      <c r="E15" s="865"/>
      <c r="F15" s="865"/>
      <c r="G15" s="865"/>
      <c r="H15" s="865"/>
      <c r="I15" s="865"/>
      <c r="J15" s="865"/>
      <c r="K15" s="301" t="s">
        <v>0</v>
      </c>
    </row>
    <row r="16" spans="1:11" ht="24.6" customHeight="1">
      <c r="A16" s="865"/>
      <c r="B16" s="865"/>
      <c r="C16" s="865"/>
      <c r="D16" s="865"/>
      <c r="E16" s="865"/>
      <c r="F16" s="865"/>
      <c r="G16" s="865"/>
      <c r="H16" s="865"/>
      <c r="I16" s="865"/>
      <c r="J16" s="865"/>
      <c r="K16" s="301" t="s">
        <v>0</v>
      </c>
    </row>
    <row r="17" spans="1:11" ht="24.6" customHeight="1">
      <c r="A17" s="321"/>
      <c r="B17" s="321"/>
      <c r="C17" s="321"/>
      <c r="D17" s="321"/>
      <c r="E17" s="321"/>
      <c r="F17" s="321"/>
      <c r="G17" s="321"/>
      <c r="H17" s="321"/>
      <c r="I17" s="321"/>
      <c r="J17" s="321"/>
      <c r="K17" s="301" t="s">
        <v>0</v>
      </c>
    </row>
    <row r="18" spans="1:11">
      <c r="A18" s="322"/>
      <c r="B18" s="322"/>
      <c r="C18" s="322"/>
      <c r="D18" s="322"/>
      <c r="E18" s="322"/>
      <c r="F18" s="322"/>
      <c r="G18" s="322"/>
      <c r="H18" s="322"/>
      <c r="I18" s="322"/>
      <c r="J18" s="322"/>
      <c r="K18" s="301" t="s">
        <v>20</v>
      </c>
    </row>
    <row r="19" spans="1:11">
      <c r="A19" s="316"/>
      <c r="B19" s="316"/>
      <c r="C19" s="316"/>
      <c r="D19" s="316"/>
      <c r="E19" s="316"/>
      <c r="F19" s="316"/>
      <c r="G19" s="316"/>
      <c r="H19" s="316"/>
      <c r="I19" s="316"/>
      <c r="J19" s="316"/>
      <c r="K19" s="301" t="s">
        <v>136</v>
      </c>
    </row>
    <row r="20" spans="1:11">
      <c r="A20" s="316"/>
      <c r="B20" s="316"/>
      <c r="C20" s="316"/>
      <c r="D20" s="316"/>
      <c r="E20" s="316"/>
      <c r="F20" s="316"/>
      <c r="G20" s="316"/>
      <c r="H20" s="316"/>
      <c r="I20" s="316"/>
      <c r="J20" s="316"/>
      <c r="K20" s="301" t="s">
        <v>136</v>
      </c>
    </row>
    <row r="21" spans="1:11">
      <c r="K21" s="301" t="s">
        <v>136</v>
      </c>
    </row>
    <row r="22" spans="1:11">
      <c r="K22" s="301"/>
    </row>
    <row r="23" spans="1:11">
      <c r="K23" s="301"/>
    </row>
    <row r="24" spans="1:11">
      <c r="K24" s="301"/>
    </row>
    <row r="25" spans="1:11">
      <c r="K25" s="301"/>
    </row>
  </sheetData>
  <customSheetViews>
    <customSheetView guid="{3118AF25-8423-420A-806A-487665220C68}" showPageBreaks="1" fitToPage="1" printArea="1">
      <selection activeCell="A14" sqref="A14:J16"/>
      <pageMargins left="0.75" right="0.75" top="1" bottom="1" header="0.5" footer="0.5"/>
      <pageSetup orientation="landscape" r:id="rId1"/>
      <headerFooter alignWithMargins="0"/>
    </customSheetView>
    <customSheetView guid="{56C0A34E-45B4-448B-85E5-70B3A8E63333}" fitToPage="1">
      <selection activeCell="A26" sqref="A26"/>
      <pageMargins left="0.75" right="0.75" top="1" bottom="1" header="0.5" footer="0.5"/>
      <pageSetup orientation="landscape" r:id="rId2"/>
      <headerFooter alignWithMargins="0"/>
    </customSheetView>
    <customSheetView guid="{4148B88B-8ED7-4FDE-9459-DEB244AD0552}" fitToPage="1">
      <selection activeCell="A26" sqref="A26"/>
      <pageMargins left="0.75" right="0.75" top="1" bottom="1" header="0.5" footer="0.5"/>
      <pageSetup orientation="landscape" r:id="rId3"/>
      <headerFooter alignWithMargins="0"/>
    </customSheetView>
    <customSheetView guid="{12C66D54-5067-4346-818B-6EAB1C8A9183}" showPageBreaks="1" fitToPage="1" printArea="1">
      <selection activeCell="A14" sqref="A14:J16"/>
      <pageMargins left="0.75" right="0.75" top="1" bottom="1" header="0.5" footer="0.5"/>
      <pageSetup orientation="landscape" r:id="rId4"/>
      <headerFooter alignWithMargins="0"/>
    </customSheetView>
    <customSheetView guid="{87EA6C51-A281-4696-9262-A16F553E7025}" showPageBreaks="1" fitToPage="1" printArea="1">
      <selection activeCell="A14" sqref="A14:J16"/>
      <pageMargins left="0.75" right="0.75" top="1" bottom="1" header="0.5" footer="0.5"/>
      <pageSetup orientation="landscape" r:id="rId5"/>
      <headerFooter alignWithMargins="0"/>
    </customSheetView>
  </customSheetViews>
  <mergeCells count="5">
    <mergeCell ref="A5:J5"/>
    <mergeCell ref="A7:J7"/>
    <mergeCell ref="A8:J8"/>
    <mergeCell ref="A11:J11"/>
    <mergeCell ref="A14:J16"/>
  </mergeCells>
  <phoneticPr fontId="43" type="noConversion"/>
  <pageMargins left="0.75" right="0.75" top="1" bottom="1" header="0.5" footer="0.5"/>
  <pageSetup orientation="landscape" r:id="rId6"/>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Y77"/>
  <sheetViews>
    <sheetView showGridLines="0" showOutlineSymbols="0" view="pageBreakPreview" topLeftCell="A25" zoomScale="55" zoomScaleNormal="75" zoomScaleSheetLayoutView="55" workbookViewId="0">
      <selection sqref="A1:X1"/>
    </sheetView>
  </sheetViews>
  <sheetFormatPr defaultColWidth="8.8867187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81" customWidth="1"/>
    <col min="26" max="16384" width="8.88671875" style="4"/>
  </cols>
  <sheetData>
    <row r="1" spans="1:25" ht="20.25">
      <c r="A1" s="622" t="s">
        <v>163</v>
      </c>
      <c r="B1" s="623"/>
      <c r="C1" s="623"/>
      <c r="D1" s="623"/>
      <c r="E1" s="623"/>
      <c r="F1" s="623"/>
      <c r="G1" s="623"/>
      <c r="H1" s="623"/>
      <c r="I1" s="623"/>
      <c r="J1" s="623"/>
      <c r="K1" s="623"/>
      <c r="L1" s="623"/>
      <c r="M1" s="623"/>
      <c r="N1" s="623"/>
      <c r="O1" s="623"/>
      <c r="P1" s="623"/>
      <c r="Q1" s="623"/>
      <c r="R1" s="623"/>
      <c r="S1" s="623"/>
      <c r="T1" s="623"/>
      <c r="U1" s="623"/>
      <c r="V1" s="623"/>
      <c r="W1" s="623"/>
      <c r="X1" s="623"/>
      <c r="Y1" s="80" t="s">
        <v>0</v>
      </c>
    </row>
    <row r="2" spans="1:25">
      <c r="A2" s="626"/>
      <c r="B2" s="626"/>
      <c r="C2" s="626"/>
      <c r="D2" s="626"/>
      <c r="E2" s="626"/>
      <c r="F2" s="626"/>
      <c r="G2" s="626"/>
      <c r="H2" s="626"/>
      <c r="I2" s="626"/>
      <c r="J2" s="626"/>
      <c r="K2" s="626"/>
      <c r="L2" s="626"/>
      <c r="M2" s="626"/>
      <c r="N2" s="626"/>
      <c r="O2" s="626"/>
      <c r="P2" s="626"/>
      <c r="Q2" s="626"/>
      <c r="R2" s="626"/>
      <c r="S2" s="626"/>
      <c r="T2" s="626"/>
      <c r="U2" s="626"/>
      <c r="V2" s="626"/>
      <c r="W2" s="626"/>
      <c r="X2" s="626"/>
      <c r="Y2" s="80" t="s">
        <v>0</v>
      </c>
    </row>
    <row r="3" spans="1:25">
      <c r="A3" s="627"/>
      <c r="B3" s="627"/>
      <c r="C3" s="627"/>
      <c r="D3" s="627"/>
      <c r="E3" s="627"/>
      <c r="F3" s="627"/>
      <c r="G3" s="627"/>
      <c r="H3" s="627"/>
      <c r="I3" s="627"/>
      <c r="J3" s="627"/>
      <c r="K3" s="627"/>
      <c r="L3" s="627"/>
      <c r="M3" s="627"/>
      <c r="N3" s="627"/>
      <c r="O3" s="627"/>
      <c r="P3" s="627"/>
      <c r="Q3" s="627"/>
      <c r="R3" s="627"/>
      <c r="S3" s="627"/>
      <c r="T3" s="627"/>
      <c r="U3" s="627"/>
      <c r="V3" s="627"/>
      <c r="W3" s="627"/>
      <c r="X3" s="627"/>
      <c r="Y3" s="80" t="s">
        <v>0</v>
      </c>
    </row>
    <row r="4" spans="1:25" ht="22.5">
      <c r="A4" s="601" t="s">
        <v>127</v>
      </c>
      <c r="B4" s="602"/>
      <c r="C4" s="602"/>
      <c r="D4" s="602"/>
      <c r="E4" s="602"/>
      <c r="F4" s="602"/>
      <c r="G4" s="602"/>
      <c r="H4" s="602"/>
      <c r="I4" s="602"/>
      <c r="J4" s="602"/>
      <c r="K4" s="602"/>
      <c r="L4" s="602"/>
      <c r="M4" s="602"/>
      <c r="N4" s="602"/>
      <c r="O4" s="602"/>
      <c r="P4" s="602"/>
      <c r="Q4" s="602"/>
      <c r="R4" s="602"/>
      <c r="S4" s="602"/>
      <c r="T4" s="602"/>
      <c r="U4" s="602"/>
      <c r="V4" s="602"/>
      <c r="W4" s="602"/>
      <c r="X4" s="602"/>
      <c r="Y4" s="80" t="s">
        <v>0</v>
      </c>
    </row>
    <row r="5" spans="1:25" ht="23.25">
      <c r="A5" s="603" t="s">
        <v>209</v>
      </c>
      <c r="B5" s="615"/>
      <c r="C5" s="615"/>
      <c r="D5" s="615"/>
      <c r="E5" s="615"/>
      <c r="F5" s="615"/>
      <c r="G5" s="615"/>
      <c r="H5" s="615"/>
      <c r="I5" s="615"/>
      <c r="J5" s="615"/>
      <c r="K5" s="615"/>
      <c r="L5" s="615"/>
      <c r="M5" s="615"/>
      <c r="N5" s="615"/>
      <c r="O5" s="615"/>
      <c r="P5" s="615"/>
      <c r="Q5" s="615"/>
      <c r="R5" s="615"/>
      <c r="S5" s="615"/>
      <c r="T5" s="615"/>
      <c r="U5" s="615"/>
      <c r="V5" s="615"/>
      <c r="W5" s="615"/>
      <c r="X5" s="615"/>
      <c r="Y5" s="80" t="s">
        <v>0</v>
      </c>
    </row>
    <row r="6" spans="1:25" ht="23.25">
      <c r="A6" s="603" t="s">
        <v>120</v>
      </c>
      <c r="B6" s="602"/>
      <c r="C6" s="602"/>
      <c r="D6" s="602"/>
      <c r="E6" s="602"/>
      <c r="F6" s="602"/>
      <c r="G6" s="602"/>
      <c r="H6" s="602"/>
      <c r="I6" s="602"/>
      <c r="J6" s="602"/>
      <c r="K6" s="602"/>
      <c r="L6" s="602"/>
      <c r="M6" s="602"/>
      <c r="N6" s="602"/>
      <c r="O6" s="602"/>
      <c r="P6" s="602"/>
      <c r="Q6" s="602"/>
      <c r="R6" s="602"/>
      <c r="S6" s="602"/>
      <c r="T6" s="602"/>
      <c r="U6" s="602"/>
      <c r="V6" s="602"/>
      <c r="W6" s="602"/>
      <c r="X6" s="602"/>
      <c r="Y6" s="80" t="s">
        <v>0</v>
      </c>
    </row>
    <row r="7" spans="1:25" ht="23.25">
      <c r="A7" s="603" t="s">
        <v>119</v>
      </c>
      <c r="B7" s="615"/>
      <c r="C7" s="615"/>
      <c r="D7" s="615"/>
      <c r="E7" s="615"/>
      <c r="F7" s="615"/>
      <c r="G7" s="615"/>
      <c r="H7" s="615"/>
      <c r="I7" s="615"/>
      <c r="J7" s="615"/>
      <c r="K7" s="615"/>
      <c r="L7" s="615"/>
      <c r="M7" s="615"/>
      <c r="N7" s="615"/>
      <c r="O7" s="615"/>
      <c r="P7" s="615"/>
      <c r="Q7" s="615"/>
      <c r="R7" s="615"/>
      <c r="S7" s="615"/>
      <c r="T7" s="615"/>
      <c r="U7" s="615"/>
      <c r="V7" s="615"/>
      <c r="W7" s="615"/>
      <c r="X7" s="615"/>
      <c r="Y7" s="80" t="s">
        <v>0</v>
      </c>
    </row>
    <row r="8" spans="1:25" ht="23.25">
      <c r="A8" s="628"/>
      <c r="B8" s="628"/>
      <c r="C8" s="628"/>
      <c r="D8" s="628"/>
      <c r="E8" s="628"/>
      <c r="F8" s="628"/>
      <c r="G8" s="628"/>
      <c r="H8" s="628"/>
      <c r="I8" s="628"/>
      <c r="J8" s="628"/>
      <c r="K8" s="628"/>
      <c r="L8" s="628"/>
      <c r="M8" s="628"/>
      <c r="N8" s="628"/>
      <c r="O8" s="628"/>
      <c r="P8" s="628"/>
      <c r="Q8" s="628"/>
      <c r="R8" s="628"/>
      <c r="S8" s="628"/>
      <c r="T8" s="628"/>
      <c r="U8" s="628"/>
      <c r="V8" s="628"/>
      <c r="W8" s="628"/>
      <c r="X8" s="628"/>
      <c r="Y8" s="80" t="s">
        <v>0</v>
      </c>
    </row>
    <row r="9" spans="1:25" ht="23.25">
      <c r="A9" s="628"/>
      <c r="B9" s="628"/>
      <c r="C9" s="628"/>
      <c r="D9" s="628"/>
      <c r="E9" s="628"/>
      <c r="F9" s="628"/>
      <c r="G9" s="628"/>
      <c r="H9" s="628"/>
      <c r="I9" s="628"/>
      <c r="J9" s="628"/>
      <c r="K9" s="628"/>
      <c r="L9" s="628"/>
      <c r="M9" s="628"/>
      <c r="N9" s="628"/>
      <c r="O9" s="628"/>
      <c r="P9" s="628"/>
      <c r="Q9" s="628"/>
      <c r="R9" s="628"/>
      <c r="S9" s="628"/>
      <c r="T9" s="628"/>
      <c r="U9" s="628"/>
      <c r="V9" s="628"/>
      <c r="W9" s="628"/>
      <c r="X9" s="628"/>
      <c r="Y9" s="80" t="s">
        <v>0</v>
      </c>
    </row>
    <row r="10" spans="1:25" ht="23.25">
      <c r="A10" s="628"/>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80" t="s">
        <v>0</v>
      </c>
    </row>
    <row r="11" spans="1:25">
      <c r="A11" s="627"/>
      <c r="B11" s="627"/>
      <c r="C11" s="627"/>
      <c r="D11" s="627"/>
      <c r="E11" s="627"/>
      <c r="F11" s="627"/>
      <c r="G11" s="627"/>
      <c r="H11" s="627"/>
      <c r="I11" s="627"/>
      <c r="J11" s="627"/>
      <c r="K11" s="627"/>
      <c r="L11" s="627"/>
      <c r="M11" s="627"/>
      <c r="N11" s="627"/>
      <c r="O11" s="627"/>
      <c r="P11" s="627"/>
      <c r="Q11" s="627"/>
      <c r="R11" s="627"/>
      <c r="S11" s="627"/>
      <c r="T11" s="627"/>
      <c r="U11" s="637"/>
      <c r="V11" s="632" t="s">
        <v>168</v>
      </c>
      <c r="W11" s="633"/>
      <c r="X11" s="634"/>
      <c r="Y11" s="80" t="s">
        <v>0</v>
      </c>
    </row>
    <row r="12" spans="1:25">
      <c r="A12" s="627"/>
      <c r="B12" s="627"/>
      <c r="C12" s="627"/>
      <c r="D12" s="627"/>
      <c r="E12" s="627"/>
      <c r="F12" s="627"/>
      <c r="G12" s="627"/>
      <c r="H12" s="627"/>
      <c r="I12" s="627"/>
      <c r="J12" s="627"/>
      <c r="K12" s="627"/>
      <c r="L12" s="627"/>
      <c r="M12" s="627"/>
      <c r="N12" s="627"/>
      <c r="O12" s="627"/>
      <c r="P12" s="627"/>
      <c r="Q12" s="627"/>
      <c r="R12" s="627"/>
      <c r="S12" s="627"/>
      <c r="T12" s="627"/>
      <c r="U12" s="637"/>
      <c r="V12" s="635" t="s">
        <v>17</v>
      </c>
      <c r="W12" s="631" t="s">
        <v>37</v>
      </c>
      <c r="X12" s="629" t="s">
        <v>137</v>
      </c>
      <c r="Y12" s="80" t="s">
        <v>0</v>
      </c>
    </row>
    <row r="13" spans="1:25" ht="16.5" thickBot="1">
      <c r="A13" s="638"/>
      <c r="B13" s="638"/>
      <c r="C13" s="638"/>
      <c r="D13" s="638"/>
      <c r="E13" s="638"/>
      <c r="F13" s="638"/>
      <c r="G13" s="638"/>
      <c r="H13" s="638"/>
      <c r="I13" s="638"/>
      <c r="J13" s="638"/>
      <c r="K13" s="638"/>
      <c r="L13" s="638"/>
      <c r="M13" s="638"/>
      <c r="N13" s="638"/>
      <c r="O13" s="638"/>
      <c r="P13" s="638"/>
      <c r="Q13" s="638"/>
      <c r="R13" s="638"/>
      <c r="S13" s="638"/>
      <c r="T13" s="638"/>
      <c r="U13" s="639"/>
      <c r="V13" s="636"/>
      <c r="W13" s="630"/>
      <c r="X13" s="630"/>
      <c r="Y13" s="80" t="s">
        <v>0</v>
      </c>
    </row>
    <row r="14" spans="1:25">
      <c r="A14" s="624" t="s">
        <v>278</v>
      </c>
      <c r="B14" s="625"/>
      <c r="C14" s="625"/>
      <c r="D14" s="625"/>
      <c r="E14" s="625"/>
      <c r="F14" s="625"/>
      <c r="G14" s="625"/>
      <c r="H14" s="625"/>
      <c r="I14" s="625"/>
      <c r="J14" s="625"/>
      <c r="K14" s="625"/>
      <c r="L14" s="625"/>
      <c r="M14" s="625"/>
      <c r="N14" s="625"/>
      <c r="O14" s="625"/>
      <c r="P14" s="625"/>
      <c r="Q14" s="625"/>
      <c r="R14" s="625"/>
      <c r="S14" s="625"/>
      <c r="T14" s="625"/>
      <c r="U14" s="625"/>
      <c r="V14" s="152">
        <v>569</v>
      </c>
      <c r="W14" s="152">
        <v>554</v>
      </c>
      <c r="X14" s="150">
        <v>118251</v>
      </c>
      <c r="Y14" s="80" t="s">
        <v>0</v>
      </c>
    </row>
    <row r="15" spans="1:25">
      <c r="A15" s="624" t="s">
        <v>279</v>
      </c>
      <c r="B15" s="625"/>
      <c r="C15" s="625"/>
      <c r="D15" s="625"/>
      <c r="E15" s="625"/>
      <c r="F15" s="625"/>
      <c r="G15" s="625"/>
      <c r="H15" s="625"/>
      <c r="I15" s="625"/>
      <c r="J15" s="625"/>
      <c r="K15" s="625"/>
      <c r="L15" s="625"/>
      <c r="M15" s="625"/>
      <c r="N15" s="625"/>
      <c r="O15" s="625"/>
      <c r="P15" s="625"/>
      <c r="Q15" s="625"/>
      <c r="R15" s="625"/>
      <c r="S15" s="625"/>
      <c r="T15" s="625"/>
      <c r="U15" s="625"/>
      <c r="V15" s="153">
        <v>557</v>
      </c>
      <c r="W15" s="153">
        <v>557</v>
      </c>
      <c r="X15" s="86">
        <v>110822</v>
      </c>
      <c r="Y15" s="80" t="s">
        <v>0</v>
      </c>
    </row>
    <row r="16" spans="1:25" ht="18.75" customHeight="1">
      <c r="A16" s="640" t="s">
        <v>169</v>
      </c>
      <c r="B16" s="641"/>
      <c r="C16" s="641"/>
      <c r="D16" s="641"/>
      <c r="E16" s="641"/>
      <c r="F16" s="641"/>
      <c r="G16" s="641"/>
      <c r="H16" s="641"/>
      <c r="I16" s="641"/>
      <c r="J16" s="641"/>
      <c r="K16" s="641"/>
      <c r="L16" s="641"/>
      <c r="M16" s="641"/>
      <c r="N16" s="641"/>
      <c r="O16" s="641"/>
      <c r="P16" s="641"/>
      <c r="Q16" s="641"/>
      <c r="R16" s="641"/>
      <c r="S16" s="641"/>
      <c r="T16" s="641"/>
      <c r="U16" s="641"/>
      <c r="V16" s="312"/>
      <c r="W16" s="312"/>
      <c r="X16" s="313"/>
      <c r="Y16" s="80" t="s">
        <v>0</v>
      </c>
    </row>
    <row r="17" spans="1:25">
      <c r="A17" s="643" t="s">
        <v>280</v>
      </c>
      <c r="B17" s="644"/>
      <c r="C17" s="644"/>
      <c r="D17" s="644"/>
      <c r="E17" s="644"/>
      <c r="F17" s="644"/>
      <c r="G17" s="644"/>
      <c r="H17" s="644"/>
      <c r="I17" s="644"/>
      <c r="J17" s="644"/>
      <c r="K17" s="644"/>
      <c r="L17" s="644"/>
      <c r="M17" s="644"/>
      <c r="N17" s="644"/>
      <c r="O17" s="644"/>
      <c r="P17" s="644"/>
      <c r="Q17" s="644"/>
      <c r="R17" s="644"/>
      <c r="S17" s="644"/>
      <c r="T17" s="644"/>
      <c r="U17" s="644"/>
      <c r="V17" s="154">
        <f>+V16+V15</f>
        <v>557</v>
      </c>
      <c r="W17" s="154">
        <f>+W16+W15</f>
        <v>557</v>
      </c>
      <c r="X17" s="87">
        <f>+X16+X15</f>
        <v>110822</v>
      </c>
      <c r="Y17" s="80" t="s">
        <v>0</v>
      </c>
    </row>
    <row r="18" spans="1:25">
      <c r="A18" s="572" t="s">
        <v>11</v>
      </c>
      <c r="B18" s="573"/>
      <c r="C18" s="573"/>
      <c r="D18" s="573"/>
      <c r="E18" s="573"/>
      <c r="F18" s="573"/>
      <c r="G18" s="573"/>
      <c r="H18" s="573"/>
      <c r="I18" s="573"/>
      <c r="J18" s="573"/>
      <c r="K18" s="573"/>
      <c r="L18" s="573"/>
      <c r="M18" s="573"/>
      <c r="N18" s="573"/>
      <c r="O18" s="573"/>
      <c r="P18" s="573"/>
      <c r="Q18" s="573"/>
      <c r="R18" s="573"/>
      <c r="S18" s="573"/>
      <c r="T18" s="573"/>
      <c r="U18" s="573"/>
      <c r="V18" s="84"/>
      <c r="W18" s="84"/>
      <c r="X18" s="85"/>
      <c r="Y18" s="80" t="s">
        <v>0</v>
      </c>
    </row>
    <row r="19" spans="1:25">
      <c r="A19" s="577" t="s">
        <v>29</v>
      </c>
      <c r="B19" s="575"/>
      <c r="C19" s="575"/>
      <c r="D19" s="575"/>
      <c r="E19" s="575"/>
      <c r="F19" s="575"/>
      <c r="G19" s="575"/>
      <c r="H19" s="575"/>
      <c r="I19" s="575"/>
      <c r="J19" s="575"/>
      <c r="K19" s="575"/>
      <c r="L19" s="575"/>
      <c r="M19" s="575"/>
      <c r="N19" s="575"/>
      <c r="O19" s="575"/>
      <c r="P19" s="575"/>
      <c r="Q19" s="575"/>
      <c r="R19" s="575"/>
      <c r="S19" s="575"/>
      <c r="T19" s="575"/>
      <c r="U19" s="575"/>
      <c r="V19" s="84"/>
      <c r="W19" s="84"/>
      <c r="X19" s="85"/>
      <c r="Y19" s="80" t="s">
        <v>0</v>
      </c>
    </row>
    <row r="20" spans="1:25">
      <c r="A20" s="429"/>
      <c r="B20" s="431" t="s">
        <v>210</v>
      </c>
      <c r="C20" s="564" t="s">
        <v>210</v>
      </c>
      <c r="D20" s="428"/>
      <c r="E20" s="428"/>
      <c r="F20" s="428"/>
      <c r="G20" s="428"/>
      <c r="H20" s="428"/>
      <c r="I20" s="428"/>
      <c r="J20" s="428"/>
      <c r="K20" s="428"/>
      <c r="L20" s="428"/>
      <c r="M20" s="428"/>
      <c r="N20" s="428"/>
      <c r="O20" s="428"/>
      <c r="P20" s="428"/>
      <c r="Q20" s="428"/>
      <c r="R20" s="428"/>
      <c r="S20" s="428"/>
      <c r="T20" s="428"/>
      <c r="U20" s="428"/>
      <c r="V20" s="436"/>
      <c r="W20" s="436"/>
      <c r="X20" s="437">
        <v>433</v>
      </c>
      <c r="Y20" s="432" t="s">
        <v>0</v>
      </c>
    </row>
    <row r="21" spans="1:25">
      <c r="A21" s="429"/>
      <c r="B21" s="430" t="s">
        <v>211</v>
      </c>
      <c r="C21" s="564" t="s">
        <v>211</v>
      </c>
      <c r="D21" s="428"/>
      <c r="E21" s="428"/>
      <c r="F21" s="428"/>
      <c r="G21" s="428"/>
      <c r="H21" s="428"/>
      <c r="I21" s="428"/>
      <c r="J21" s="428"/>
      <c r="K21" s="428"/>
      <c r="L21" s="428"/>
      <c r="M21" s="428"/>
      <c r="N21" s="428"/>
      <c r="O21" s="428"/>
      <c r="P21" s="428"/>
      <c r="Q21" s="428"/>
      <c r="R21" s="428"/>
      <c r="S21" s="428"/>
      <c r="T21" s="428"/>
      <c r="U21" s="428"/>
      <c r="V21" s="436">
        <v>43</v>
      </c>
      <c r="W21" s="436">
        <v>43</v>
      </c>
      <c r="X21" s="437">
        <v>6188</v>
      </c>
      <c r="Y21" s="432" t="s">
        <v>0</v>
      </c>
    </row>
    <row r="22" spans="1:25">
      <c r="A22" s="429"/>
      <c r="B22" s="428"/>
      <c r="C22" s="564" t="s">
        <v>212</v>
      </c>
      <c r="D22" s="428"/>
      <c r="E22" s="428"/>
      <c r="F22" s="428"/>
      <c r="G22" s="428"/>
      <c r="H22" s="428"/>
      <c r="I22" s="428"/>
      <c r="J22" s="428"/>
      <c r="K22" s="428"/>
      <c r="L22" s="428"/>
      <c r="M22" s="428"/>
      <c r="N22" s="428"/>
      <c r="O22" s="428"/>
      <c r="P22" s="428"/>
      <c r="Q22" s="428"/>
      <c r="R22" s="428"/>
      <c r="S22" s="428"/>
      <c r="T22" s="428"/>
      <c r="U22" s="428"/>
      <c r="V22" s="436">
        <v>18</v>
      </c>
      <c r="W22" s="436">
        <v>18</v>
      </c>
      <c r="X22" s="437">
        <v>4364</v>
      </c>
      <c r="Y22" s="432" t="s">
        <v>0</v>
      </c>
    </row>
    <row r="23" spans="1:25">
      <c r="A23" s="429"/>
      <c r="B23" s="428"/>
      <c r="C23" s="564" t="s">
        <v>213</v>
      </c>
      <c r="D23" s="428"/>
      <c r="E23" s="428"/>
      <c r="F23" s="428"/>
      <c r="G23" s="428"/>
      <c r="H23" s="428"/>
      <c r="I23" s="428"/>
      <c r="J23" s="428"/>
      <c r="K23" s="428"/>
      <c r="L23" s="428"/>
      <c r="M23" s="428"/>
      <c r="N23" s="428"/>
      <c r="O23" s="428"/>
      <c r="P23" s="428"/>
      <c r="Q23" s="428"/>
      <c r="R23" s="428"/>
      <c r="S23" s="428"/>
      <c r="T23" s="428"/>
      <c r="U23" s="428"/>
      <c r="V23" s="436">
        <v>3</v>
      </c>
      <c r="W23" s="436">
        <v>3</v>
      </c>
      <c r="X23" s="437">
        <v>795</v>
      </c>
      <c r="Y23" s="432" t="s">
        <v>0</v>
      </c>
    </row>
    <row r="24" spans="1:25">
      <c r="A24" s="429"/>
      <c r="B24" s="428"/>
      <c r="C24" s="564" t="s">
        <v>214</v>
      </c>
      <c r="D24" s="428"/>
      <c r="E24" s="428"/>
      <c r="F24" s="428"/>
      <c r="G24" s="428"/>
      <c r="H24" s="428"/>
      <c r="I24" s="428"/>
      <c r="J24" s="428"/>
      <c r="K24" s="428"/>
      <c r="L24" s="428"/>
      <c r="M24" s="428"/>
      <c r="N24" s="428"/>
      <c r="O24" s="428"/>
      <c r="P24" s="428"/>
      <c r="Q24" s="428"/>
      <c r="R24" s="428"/>
      <c r="S24" s="428"/>
      <c r="T24" s="428"/>
      <c r="U24" s="428"/>
      <c r="V24" s="436">
        <v>3</v>
      </c>
      <c r="W24" s="436">
        <v>3</v>
      </c>
      <c r="X24" s="437">
        <v>618</v>
      </c>
      <c r="Y24" s="432" t="s">
        <v>0</v>
      </c>
    </row>
    <row r="25" spans="1:25">
      <c r="A25" s="429"/>
      <c r="B25" s="435"/>
      <c r="C25" s="564" t="s">
        <v>215</v>
      </c>
      <c r="D25" s="435"/>
      <c r="E25" s="435"/>
      <c r="F25" s="435"/>
      <c r="G25" s="435"/>
      <c r="H25" s="435"/>
      <c r="I25" s="435"/>
      <c r="J25" s="435"/>
      <c r="K25" s="435"/>
      <c r="L25" s="435"/>
      <c r="M25" s="435"/>
      <c r="N25" s="435"/>
      <c r="O25" s="435"/>
      <c r="P25" s="435"/>
      <c r="Q25" s="435"/>
      <c r="R25" s="435"/>
      <c r="S25" s="435"/>
      <c r="T25" s="435"/>
      <c r="U25" s="435"/>
      <c r="V25" s="436">
        <v>4</v>
      </c>
      <c r="W25" s="436">
        <v>4</v>
      </c>
      <c r="X25" s="437">
        <v>1086</v>
      </c>
      <c r="Y25" s="432" t="s">
        <v>0</v>
      </c>
    </row>
    <row r="26" spans="1:25">
      <c r="A26" s="574" t="s">
        <v>272</v>
      </c>
      <c r="B26" s="575"/>
      <c r="C26" s="575"/>
      <c r="D26" s="575"/>
      <c r="E26" s="575"/>
      <c r="F26" s="575"/>
      <c r="G26" s="575"/>
      <c r="H26" s="575"/>
      <c r="I26" s="575"/>
      <c r="J26" s="575"/>
      <c r="K26" s="575"/>
      <c r="L26" s="575"/>
      <c r="M26" s="575"/>
      <c r="N26" s="575"/>
      <c r="O26" s="575"/>
      <c r="P26" s="575"/>
      <c r="Q26" s="575"/>
      <c r="R26" s="575"/>
      <c r="S26" s="575"/>
      <c r="T26" s="575"/>
      <c r="U26" s="575"/>
      <c r="V26" s="447">
        <f>SUM(V21:V25)</f>
        <v>71</v>
      </c>
      <c r="W26" s="447">
        <f>SUM(W21:W25)</f>
        <v>71</v>
      </c>
      <c r="X26" s="448">
        <f>SUM(X20:X25)</f>
        <v>13484</v>
      </c>
      <c r="Y26" s="432" t="s">
        <v>0</v>
      </c>
    </row>
    <row r="27" spans="1:25">
      <c r="A27" s="574" t="s">
        <v>186</v>
      </c>
      <c r="B27" s="575"/>
      <c r="C27" s="575"/>
      <c r="D27" s="575"/>
      <c r="E27" s="575"/>
      <c r="F27" s="575"/>
      <c r="G27" s="575"/>
      <c r="H27" s="575"/>
      <c r="I27" s="575"/>
      <c r="J27" s="575"/>
      <c r="K27" s="575"/>
      <c r="L27" s="575"/>
      <c r="M27" s="575"/>
      <c r="N27" s="575"/>
      <c r="O27" s="575"/>
      <c r="P27" s="575"/>
      <c r="Q27" s="575"/>
      <c r="R27" s="575"/>
      <c r="S27" s="575"/>
      <c r="T27" s="575"/>
      <c r="U27" s="575"/>
      <c r="V27" s="84"/>
      <c r="W27" s="84"/>
      <c r="X27" s="85"/>
      <c r="Y27" s="80" t="s">
        <v>0</v>
      </c>
    </row>
    <row r="28" spans="1:25">
      <c r="A28" s="576" t="s">
        <v>114</v>
      </c>
      <c r="B28" s="571"/>
      <c r="C28" s="571"/>
      <c r="D28" s="571"/>
      <c r="E28" s="571"/>
      <c r="F28" s="571"/>
      <c r="G28" s="571"/>
      <c r="H28" s="571"/>
      <c r="I28" s="571"/>
      <c r="J28" s="571"/>
      <c r="K28" s="571"/>
      <c r="L28" s="571"/>
      <c r="M28" s="571"/>
      <c r="N28" s="571"/>
      <c r="O28" s="571"/>
      <c r="P28" s="571"/>
      <c r="Q28" s="571"/>
      <c r="R28" s="571"/>
      <c r="S28" s="571"/>
      <c r="T28" s="571"/>
      <c r="U28" s="571"/>
      <c r="V28" s="84"/>
      <c r="W28" s="84"/>
      <c r="X28" s="85">
        <v>1011</v>
      </c>
      <c r="Y28" s="80" t="s">
        <v>0</v>
      </c>
    </row>
    <row r="29" spans="1:25">
      <c r="A29" s="642" t="s">
        <v>12</v>
      </c>
      <c r="B29" s="606"/>
      <c r="C29" s="606"/>
      <c r="D29" s="606"/>
      <c r="E29" s="606"/>
      <c r="F29" s="606"/>
      <c r="G29" s="606"/>
      <c r="H29" s="606"/>
      <c r="I29" s="606"/>
      <c r="J29" s="606"/>
      <c r="K29" s="606"/>
      <c r="L29" s="606"/>
      <c r="M29" s="606"/>
      <c r="N29" s="606"/>
      <c r="O29" s="606"/>
      <c r="P29" s="606"/>
      <c r="Q29" s="606"/>
      <c r="R29" s="606"/>
      <c r="S29" s="606"/>
      <c r="T29" s="606"/>
      <c r="U29" s="606"/>
      <c r="V29" s="84"/>
      <c r="W29" s="84"/>
      <c r="X29" s="85">
        <v>1671</v>
      </c>
      <c r="Y29" s="80" t="s">
        <v>0</v>
      </c>
    </row>
    <row r="30" spans="1:25">
      <c r="A30" s="570" t="s">
        <v>132</v>
      </c>
      <c r="B30" s="571"/>
      <c r="C30" s="571"/>
      <c r="D30" s="571"/>
      <c r="E30" s="571"/>
      <c r="F30" s="571"/>
      <c r="G30" s="571"/>
      <c r="H30" s="571"/>
      <c r="I30" s="571"/>
      <c r="J30" s="571"/>
      <c r="K30" s="571"/>
      <c r="L30" s="571"/>
      <c r="M30" s="571"/>
      <c r="N30" s="571"/>
      <c r="O30" s="571"/>
      <c r="P30" s="571"/>
      <c r="Q30" s="571"/>
      <c r="R30" s="571"/>
      <c r="S30" s="571"/>
      <c r="T30" s="571"/>
      <c r="U30" s="571"/>
      <c r="V30" s="84">
        <f>SUM(V28:V29)</f>
        <v>0</v>
      </c>
      <c r="W30" s="84">
        <f>SUM(W28:W29)</f>
        <v>0</v>
      </c>
      <c r="X30" s="84">
        <f>SUM(X28:X29)</f>
        <v>2682</v>
      </c>
      <c r="Y30" s="80" t="s">
        <v>0</v>
      </c>
    </row>
    <row r="31" spans="1:25">
      <c r="A31" s="577" t="s">
        <v>31</v>
      </c>
      <c r="B31" s="575"/>
      <c r="C31" s="575"/>
      <c r="D31" s="575"/>
      <c r="E31" s="575"/>
      <c r="F31" s="575"/>
      <c r="G31" s="575"/>
      <c r="H31" s="575"/>
      <c r="I31" s="575"/>
      <c r="J31" s="575"/>
      <c r="K31" s="575"/>
      <c r="L31" s="575"/>
      <c r="M31" s="575"/>
      <c r="N31" s="575"/>
      <c r="O31" s="575"/>
      <c r="P31" s="575"/>
      <c r="Q31" s="575"/>
      <c r="R31" s="575"/>
      <c r="S31" s="575"/>
      <c r="T31" s="575"/>
      <c r="U31" s="575"/>
      <c r="V31" s="84">
        <f>+V26+V30</f>
        <v>71</v>
      </c>
      <c r="W31" s="84">
        <f>+W26+W30</f>
        <v>71</v>
      </c>
      <c r="X31" s="84">
        <f>+X26+X30</f>
        <v>16166</v>
      </c>
      <c r="Y31" s="80" t="s">
        <v>0</v>
      </c>
    </row>
    <row r="32" spans="1:25">
      <c r="A32" s="577" t="s">
        <v>30</v>
      </c>
      <c r="B32" s="575"/>
      <c r="C32" s="575"/>
      <c r="D32" s="575"/>
      <c r="E32" s="575"/>
      <c r="F32" s="575"/>
      <c r="G32" s="575"/>
      <c r="H32" s="575"/>
      <c r="I32" s="575"/>
      <c r="J32" s="575"/>
      <c r="K32" s="575"/>
      <c r="L32" s="575"/>
      <c r="M32" s="575"/>
      <c r="N32" s="575"/>
      <c r="O32" s="575"/>
      <c r="P32" s="575"/>
      <c r="Q32" s="575"/>
      <c r="R32" s="575"/>
      <c r="S32" s="575"/>
      <c r="T32" s="575"/>
      <c r="U32" s="575"/>
      <c r="V32" s="84">
        <f>V31</f>
        <v>71</v>
      </c>
      <c r="W32" s="84">
        <f>W31</f>
        <v>71</v>
      </c>
      <c r="X32" s="84">
        <f>X31</f>
        <v>16166</v>
      </c>
      <c r="Y32" s="80" t="s">
        <v>0</v>
      </c>
    </row>
    <row r="33" spans="1:25">
      <c r="A33" s="608" t="s">
        <v>170</v>
      </c>
      <c r="B33" s="609"/>
      <c r="C33" s="609"/>
      <c r="D33" s="609"/>
      <c r="E33" s="609"/>
      <c r="F33" s="609"/>
      <c r="G33" s="609"/>
      <c r="H33" s="609"/>
      <c r="I33" s="609"/>
      <c r="J33" s="609"/>
      <c r="K33" s="609"/>
      <c r="L33" s="609"/>
      <c r="M33" s="609"/>
      <c r="N33" s="609"/>
      <c r="O33" s="609"/>
      <c r="P33" s="609"/>
      <c r="Q33" s="609"/>
      <c r="R33" s="609"/>
      <c r="S33" s="609"/>
      <c r="T33" s="609"/>
      <c r="U33" s="610"/>
      <c r="V33" s="146">
        <f>+V32+V17</f>
        <v>628</v>
      </c>
      <c r="W33" s="146">
        <f>+W32+W17</f>
        <v>628</v>
      </c>
      <c r="X33" s="146">
        <f>+X32+X17</f>
        <v>126988</v>
      </c>
      <c r="Y33" s="80" t="s">
        <v>0</v>
      </c>
    </row>
    <row r="34" spans="1:25">
      <c r="A34" s="572" t="s">
        <v>76</v>
      </c>
      <c r="B34" s="573"/>
      <c r="C34" s="573"/>
      <c r="D34" s="573"/>
      <c r="E34" s="573"/>
      <c r="F34" s="573"/>
      <c r="G34" s="573"/>
      <c r="H34" s="573"/>
      <c r="I34" s="573"/>
      <c r="J34" s="573"/>
      <c r="K34" s="573"/>
      <c r="L34" s="573"/>
      <c r="M34" s="573"/>
      <c r="N34" s="573"/>
      <c r="O34" s="573"/>
      <c r="P34" s="573"/>
      <c r="Q34" s="573"/>
      <c r="R34" s="573"/>
      <c r="S34" s="573"/>
      <c r="T34" s="573"/>
      <c r="U34" s="573"/>
      <c r="V34" s="84"/>
      <c r="W34" s="84"/>
      <c r="X34" s="85"/>
      <c r="Y34" s="80" t="s">
        <v>0</v>
      </c>
    </row>
    <row r="35" spans="1:25">
      <c r="A35" s="574" t="s">
        <v>225</v>
      </c>
      <c r="B35" s="575"/>
      <c r="C35" s="575"/>
      <c r="D35" s="575"/>
      <c r="E35" s="575"/>
      <c r="F35" s="575"/>
      <c r="G35" s="575"/>
      <c r="H35" s="575"/>
      <c r="I35" s="575"/>
      <c r="J35" s="575"/>
      <c r="K35" s="575"/>
      <c r="L35" s="575"/>
      <c r="M35" s="575"/>
      <c r="N35" s="575"/>
      <c r="O35" s="575"/>
      <c r="P35" s="575"/>
      <c r="Q35" s="575"/>
      <c r="R35" s="575"/>
      <c r="S35" s="575"/>
      <c r="T35" s="575"/>
      <c r="U35" s="575"/>
      <c r="V35" s="84" t="s">
        <v>136</v>
      </c>
      <c r="W35" s="84"/>
      <c r="X35" s="85"/>
      <c r="Y35" s="80" t="s">
        <v>0</v>
      </c>
    </row>
    <row r="36" spans="1:25">
      <c r="A36" s="598" t="s">
        <v>216</v>
      </c>
      <c r="B36" s="599"/>
      <c r="C36" s="599"/>
      <c r="D36" s="599"/>
      <c r="E36" s="599"/>
      <c r="F36" s="599"/>
      <c r="G36" s="599"/>
      <c r="H36" s="599"/>
      <c r="I36" s="599"/>
      <c r="J36" s="599"/>
      <c r="K36" s="599"/>
      <c r="L36" s="599"/>
      <c r="M36" s="599"/>
      <c r="N36" s="599"/>
      <c r="O36" s="599"/>
      <c r="P36" s="599"/>
      <c r="Q36" s="599"/>
      <c r="R36" s="599"/>
      <c r="S36" s="599"/>
      <c r="T36" s="599"/>
      <c r="U36" s="600"/>
      <c r="V36" s="438">
        <v>5</v>
      </c>
      <c r="W36" s="438">
        <v>3</v>
      </c>
      <c r="X36" s="439">
        <v>707</v>
      </c>
      <c r="Y36" s="80" t="s">
        <v>0</v>
      </c>
    </row>
    <row r="37" spans="1:25">
      <c r="A37" s="605" t="s">
        <v>78</v>
      </c>
      <c r="B37" s="606"/>
      <c r="C37" s="606"/>
      <c r="D37" s="606"/>
      <c r="E37" s="606"/>
      <c r="F37" s="606"/>
      <c r="G37" s="606"/>
      <c r="H37" s="606"/>
      <c r="I37" s="606"/>
      <c r="J37" s="606"/>
      <c r="K37" s="606"/>
      <c r="L37" s="606"/>
      <c r="M37" s="606"/>
      <c r="N37" s="606"/>
      <c r="O37" s="606"/>
      <c r="P37" s="606"/>
      <c r="Q37" s="606"/>
      <c r="R37" s="606"/>
      <c r="S37" s="606"/>
      <c r="T37" s="606"/>
      <c r="U37" s="606"/>
      <c r="V37" s="311">
        <f>SUM(V36:V36)</f>
        <v>5</v>
      </c>
      <c r="W37" s="85">
        <f>SUM(W36:W36)</f>
        <v>3</v>
      </c>
      <c r="X37" s="85">
        <f>SUM(X36:X36)</f>
        <v>707</v>
      </c>
      <c r="Y37" s="80" t="s">
        <v>0</v>
      </c>
    </row>
    <row r="38" spans="1:25">
      <c r="A38" s="574" t="s">
        <v>226</v>
      </c>
      <c r="B38" s="575"/>
      <c r="C38" s="575"/>
      <c r="D38" s="575"/>
      <c r="E38" s="575"/>
      <c r="F38" s="575"/>
      <c r="G38" s="575"/>
      <c r="H38" s="575"/>
      <c r="I38" s="575"/>
      <c r="J38" s="575"/>
      <c r="K38" s="575"/>
      <c r="L38" s="575"/>
      <c r="M38" s="575"/>
      <c r="N38" s="575"/>
      <c r="O38" s="575"/>
      <c r="P38" s="575"/>
      <c r="Q38" s="575"/>
      <c r="R38" s="575"/>
      <c r="S38" s="575"/>
      <c r="T38" s="575"/>
      <c r="U38" s="575"/>
      <c r="V38" s="84"/>
      <c r="W38" s="84"/>
      <c r="X38" s="85"/>
      <c r="Y38" s="80" t="s">
        <v>0</v>
      </c>
    </row>
    <row r="39" spans="1:25">
      <c r="A39" s="598" t="s">
        <v>217</v>
      </c>
      <c r="B39" s="571"/>
      <c r="C39" s="571"/>
      <c r="D39" s="571"/>
      <c r="E39" s="571"/>
      <c r="F39" s="571"/>
      <c r="G39" s="571"/>
      <c r="H39" s="571"/>
      <c r="I39" s="571"/>
      <c r="J39" s="571"/>
      <c r="K39" s="571"/>
      <c r="L39" s="571"/>
      <c r="M39" s="571"/>
      <c r="N39" s="571"/>
      <c r="O39" s="571"/>
      <c r="P39" s="571"/>
      <c r="Q39" s="571"/>
      <c r="R39" s="571"/>
      <c r="S39" s="571"/>
      <c r="T39" s="571"/>
      <c r="U39" s="571"/>
      <c r="V39" s="84"/>
      <c r="W39" s="84"/>
      <c r="X39" s="440">
        <v>-28</v>
      </c>
      <c r="Y39" s="80" t="s">
        <v>0</v>
      </c>
    </row>
    <row r="40" spans="1:25">
      <c r="A40" s="368" t="s">
        <v>177</v>
      </c>
      <c r="B40" s="366"/>
      <c r="C40" s="366"/>
      <c r="D40" s="366"/>
      <c r="E40" s="366"/>
      <c r="F40" s="366"/>
      <c r="G40" s="366"/>
      <c r="H40" s="366"/>
      <c r="I40" s="366"/>
      <c r="J40" s="366"/>
      <c r="K40" s="366"/>
      <c r="L40" s="366"/>
      <c r="M40" s="366"/>
      <c r="N40" s="366"/>
      <c r="O40" s="366"/>
      <c r="P40" s="366"/>
      <c r="Q40" s="366"/>
      <c r="R40" s="366"/>
      <c r="S40" s="366"/>
      <c r="T40" s="366"/>
      <c r="U40" s="366"/>
      <c r="V40" s="367">
        <f>SUM(V39:V39)</f>
        <v>0</v>
      </c>
      <c r="W40" s="367">
        <f>SUM(W39:W39)</f>
        <v>0</v>
      </c>
      <c r="X40" s="311">
        <f>SUM(X39:X39)</f>
        <v>-28</v>
      </c>
      <c r="Y40" s="432" t="s">
        <v>0</v>
      </c>
    </row>
    <row r="41" spans="1:25" ht="18" customHeight="1">
      <c r="A41" s="577" t="s">
        <v>77</v>
      </c>
      <c r="B41" s="575"/>
      <c r="C41" s="575"/>
      <c r="D41" s="575"/>
      <c r="E41" s="575"/>
      <c r="F41" s="575"/>
      <c r="G41" s="575"/>
      <c r="H41" s="575"/>
      <c r="I41" s="575"/>
      <c r="J41" s="575"/>
      <c r="K41" s="575"/>
      <c r="L41" s="575"/>
      <c r="M41" s="575"/>
      <c r="N41" s="575"/>
      <c r="O41" s="575"/>
      <c r="P41" s="575"/>
      <c r="Q41" s="575"/>
      <c r="R41" s="575"/>
      <c r="S41" s="575"/>
      <c r="T41" s="575"/>
      <c r="U41" s="575"/>
      <c r="V41" s="89">
        <f>SUM(V37+V40)</f>
        <v>5</v>
      </c>
      <c r="W41" s="89">
        <f>SUM(W37+W40)</f>
        <v>3</v>
      </c>
      <c r="X41" s="89">
        <f>SUM(X37+X40)</f>
        <v>679</v>
      </c>
      <c r="Y41" s="80" t="s">
        <v>0</v>
      </c>
    </row>
    <row r="42" spans="1:25" ht="18" customHeight="1">
      <c r="A42" s="607" t="s">
        <v>171</v>
      </c>
      <c r="B42" s="579"/>
      <c r="C42" s="579"/>
      <c r="D42" s="579"/>
      <c r="E42" s="579"/>
      <c r="F42" s="579"/>
      <c r="G42" s="579"/>
      <c r="H42" s="579"/>
      <c r="I42" s="579"/>
      <c r="J42" s="579"/>
      <c r="K42" s="579"/>
      <c r="L42" s="579"/>
      <c r="M42" s="579"/>
      <c r="N42" s="579"/>
      <c r="O42" s="579"/>
      <c r="P42" s="579"/>
      <c r="Q42" s="579"/>
      <c r="R42" s="579"/>
      <c r="S42" s="579"/>
      <c r="T42" s="579"/>
      <c r="U42" s="579"/>
      <c r="V42" s="369">
        <f>V33+V41</f>
        <v>633</v>
      </c>
      <c r="W42" s="369">
        <f>W33+W41</f>
        <v>631</v>
      </c>
      <c r="X42" s="369">
        <f>X33+X41</f>
        <v>127667</v>
      </c>
      <c r="Y42" s="80" t="s">
        <v>0</v>
      </c>
    </row>
    <row r="43" spans="1:25" ht="18" customHeight="1">
      <c r="A43" s="578" t="s">
        <v>172</v>
      </c>
      <c r="B43" s="579"/>
      <c r="C43" s="579"/>
      <c r="D43" s="579"/>
      <c r="E43" s="579"/>
      <c r="F43" s="579"/>
      <c r="G43" s="579"/>
      <c r="H43" s="579"/>
      <c r="I43" s="579"/>
      <c r="J43" s="579"/>
      <c r="K43" s="579"/>
      <c r="L43" s="579"/>
      <c r="M43" s="579"/>
      <c r="N43" s="579"/>
      <c r="O43" s="579"/>
      <c r="P43" s="579"/>
      <c r="Q43" s="579"/>
      <c r="R43" s="579"/>
      <c r="S43" s="579"/>
      <c r="T43" s="579"/>
      <c r="U43" s="579"/>
      <c r="V43" s="88">
        <f>+V42-V17</f>
        <v>76</v>
      </c>
      <c r="W43" s="88">
        <f>+W42-W17</f>
        <v>74</v>
      </c>
      <c r="X43" s="88">
        <f>+X42-X17</f>
        <v>16845</v>
      </c>
      <c r="Y43" s="80" t="s">
        <v>0</v>
      </c>
    </row>
    <row r="44" spans="1:25" ht="43.15" customHeight="1">
      <c r="A44" s="611" t="s">
        <v>283</v>
      </c>
      <c r="B44" s="612"/>
      <c r="C44" s="612"/>
      <c r="D44" s="612"/>
      <c r="E44" s="612"/>
      <c r="F44" s="612"/>
      <c r="G44" s="612"/>
      <c r="H44" s="612"/>
      <c r="I44" s="612"/>
      <c r="J44" s="612"/>
      <c r="K44" s="612"/>
      <c r="L44" s="612"/>
      <c r="M44" s="612"/>
      <c r="N44" s="612"/>
      <c r="O44" s="612"/>
      <c r="P44" s="612"/>
      <c r="Q44" s="612"/>
      <c r="R44" s="612"/>
      <c r="S44" s="612"/>
      <c r="T44" s="612"/>
      <c r="U44" s="612"/>
      <c r="V44" s="612"/>
      <c r="W44" s="612"/>
      <c r="X44" s="612"/>
      <c r="Y44" s="432" t="s">
        <v>0</v>
      </c>
    </row>
    <row r="45" spans="1:25" ht="18" customHeight="1">
      <c r="A45" s="563"/>
      <c r="B45" s="556"/>
      <c r="C45" s="556"/>
      <c r="D45" s="556"/>
      <c r="E45" s="556"/>
      <c r="F45" s="556"/>
      <c r="G45" s="556"/>
      <c r="H45" s="556"/>
      <c r="I45" s="556"/>
      <c r="J45" s="556"/>
      <c r="K45" s="556"/>
      <c r="L45" s="556"/>
      <c r="M45" s="556"/>
      <c r="N45" s="556"/>
      <c r="O45" s="556"/>
      <c r="P45" s="556"/>
      <c r="Q45" s="556"/>
      <c r="R45" s="556"/>
      <c r="S45" s="556"/>
      <c r="T45" s="556"/>
      <c r="U45" s="556"/>
      <c r="V45" s="207"/>
      <c r="W45" s="207"/>
      <c r="X45" s="207"/>
      <c r="Y45" s="432"/>
    </row>
    <row r="46" spans="1:25">
      <c r="Y46" s="80" t="s">
        <v>0</v>
      </c>
    </row>
    <row r="47" spans="1:25" ht="18" customHeight="1">
      <c r="Y47" s="80" t="s">
        <v>0</v>
      </c>
    </row>
    <row r="48" spans="1:25" ht="18" customHeight="1">
      <c r="Y48" s="80" t="s">
        <v>0</v>
      </c>
    </row>
    <row r="49" spans="1:25" ht="18" customHeight="1">
      <c r="Y49" s="80" t="s">
        <v>0</v>
      </c>
    </row>
    <row r="50" spans="1:25" ht="18" customHeight="1">
      <c r="Y50" s="80" t="s">
        <v>0</v>
      </c>
    </row>
    <row r="51" spans="1:25" ht="18" customHeight="1">
      <c r="Y51" s="80" t="s">
        <v>0</v>
      </c>
    </row>
    <row r="52" spans="1:25" ht="18" customHeight="1">
      <c r="Y52" s="80" t="s">
        <v>0</v>
      </c>
    </row>
    <row r="53" spans="1:25" ht="18" customHeight="1">
      <c r="Y53" s="80" t="s">
        <v>0</v>
      </c>
    </row>
    <row r="54" spans="1:25" ht="22.5">
      <c r="A54" s="601" t="s">
        <v>127</v>
      </c>
      <c r="B54" s="602"/>
      <c r="C54" s="602"/>
      <c r="D54" s="602"/>
      <c r="E54" s="602"/>
      <c r="F54" s="602"/>
      <c r="G54" s="602"/>
      <c r="H54" s="602"/>
      <c r="I54" s="602"/>
      <c r="J54" s="602"/>
      <c r="K54" s="602"/>
      <c r="L54" s="602"/>
      <c r="M54" s="602"/>
      <c r="N54" s="602"/>
      <c r="O54" s="602"/>
      <c r="P54" s="602"/>
      <c r="Q54" s="602"/>
      <c r="R54" s="602"/>
      <c r="S54" s="602"/>
      <c r="T54" s="602"/>
      <c r="U54" s="602"/>
      <c r="V54" s="602"/>
      <c r="W54" s="602"/>
      <c r="X54" s="602"/>
      <c r="Y54" s="80" t="s">
        <v>0</v>
      </c>
    </row>
    <row r="55" spans="1:25" ht="23.25">
      <c r="A55" s="603" t="str">
        <f>A5</f>
        <v>General Administration</v>
      </c>
      <c r="B55" s="604"/>
      <c r="C55" s="604"/>
      <c r="D55" s="604"/>
      <c r="E55" s="604"/>
      <c r="F55" s="604"/>
      <c r="G55" s="604"/>
      <c r="H55" s="604"/>
      <c r="I55" s="604"/>
      <c r="J55" s="604"/>
      <c r="K55" s="604"/>
      <c r="L55" s="604"/>
      <c r="M55" s="604"/>
      <c r="N55" s="604"/>
      <c r="O55" s="604"/>
      <c r="P55" s="604"/>
      <c r="Q55" s="604"/>
      <c r="R55" s="604"/>
      <c r="S55" s="604"/>
      <c r="T55" s="604"/>
      <c r="U55" s="604"/>
      <c r="V55" s="604"/>
      <c r="W55" s="604"/>
      <c r="X55" s="604"/>
      <c r="Y55" s="80" t="s">
        <v>0</v>
      </c>
    </row>
    <row r="56" spans="1:25" ht="23.25">
      <c r="A56" s="603" t="s">
        <v>120</v>
      </c>
      <c r="B56" s="602"/>
      <c r="C56" s="602"/>
      <c r="D56" s="602"/>
      <c r="E56" s="602"/>
      <c r="F56" s="602"/>
      <c r="G56" s="602"/>
      <c r="H56" s="602"/>
      <c r="I56" s="602"/>
      <c r="J56" s="602"/>
      <c r="K56" s="602"/>
      <c r="L56" s="602"/>
      <c r="M56" s="602"/>
      <c r="N56" s="602"/>
      <c r="O56" s="602"/>
      <c r="P56" s="602"/>
      <c r="Q56" s="602"/>
      <c r="R56" s="602"/>
      <c r="S56" s="602"/>
      <c r="T56" s="602"/>
      <c r="U56" s="602"/>
      <c r="V56" s="602"/>
      <c r="W56" s="602"/>
      <c r="X56" s="602"/>
      <c r="Y56" s="80" t="s">
        <v>0</v>
      </c>
    </row>
    <row r="57" spans="1:25" ht="23.25">
      <c r="A57" s="603" t="s">
        <v>119</v>
      </c>
      <c r="B57" s="615"/>
      <c r="C57" s="615"/>
      <c r="D57" s="615"/>
      <c r="E57" s="615"/>
      <c r="F57" s="615"/>
      <c r="G57" s="615"/>
      <c r="H57" s="615"/>
      <c r="I57" s="615"/>
      <c r="J57" s="615"/>
      <c r="K57" s="615"/>
      <c r="L57" s="615"/>
      <c r="M57" s="615"/>
      <c r="N57" s="615"/>
      <c r="O57" s="615"/>
      <c r="P57" s="615"/>
      <c r="Q57" s="615"/>
      <c r="R57" s="615"/>
      <c r="S57" s="615"/>
      <c r="T57" s="615"/>
      <c r="U57" s="615"/>
      <c r="V57" s="615"/>
      <c r="W57" s="615"/>
      <c r="X57" s="615"/>
      <c r="Y57" s="80" t="s">
        <v>0</v>
      </c>
    </row>
    <row r="58" spans="1:25" ht="18" customHeight="1">
      <c r="Y58" s="80" t="s">
        <v>0</v>
      </c>
    </row>
    <row r="59" spans="1:25" ht="18" customHeight="1">
      <c r="Y59" s="80" t="s">
        <v>0</v>
      </c>
    </row>
    <row r="60" spans="1:25" ht="18" customHeight="1">
      <c r="Y60" s="80" t="s">
        <v>0</v>
      </c>
    </row>
    <row r="61" spans="1:25" ht="18" customHeight="1">
      <c r="Y61" s="80" t="s">
        <v>0</v>
      </c>
    </row>
    <row r="62" spans="1:25" ht="18" customHeight="1">
      <c r="A62" s="52"/>
      <c r="B62" s="52"/>
      <c r="C62" s="52"/>
      <c r="D62" s="53"/>
      <c r="E62" s="53"/>
      <c r="F62" s="53"/>
      <c r="G62" s="53"/>
      <c r="H62" s="53"/>
      <c r="I62" s="53"/>
      <c r="J62" s="53"/>
      <c r="K62" s="53"/>
      <c r="L62" s="53"/>
      <c r="M62" s="53"/>
      <c r="N62" s="53"/>
      <c r="O62" s="53"/>
      <c r="P62" s="53"/>
      <c r="Q62" s="53"/>
      <c r="R62" s="53"/>
      <c r="S62" s="53"/>
      <c r="T62" s="53"/>
      <c r="U62" s="53"/>
      <c r="V62" s="53"/>
      <c r="W62" s="53"/>
      <c r="X62" s="53"/>
      <c r="Y62" s="80" t="s">
        <v>0</v>
      </c>
    </row>
    <row r="63" spans="1:25" ht="22.5" customHeight="1">
      <c r="A63" s="616" t="s">
        <v>134</v>
      </c>
      <c r="B63" s="617"/>
      <c r="C63" s="617"/>
      <c r="D63" s="580" t="s">
        <v>193</v>
      </c>
      <c r="E63" s="586"/>
      <c r="F63" s="587"/>
      <c r="G63" s="580" t="s">
        <v>187</v>
      </c>
      <c r="H63" s="581"/>
      <c r="I63" s="582"/>
      <c r="J63" s="580" t="s">
        <v>173</v>
      </c>
      <c r="K63" s="586"/>
      <c r="L63" s="587"/>
      <c r="M63" s="580" t="s">
        <v>170</v>
      </c>
      <c r="N63" s="586"/>
      <c r="O63" s="587"/>
      <c r="P63" s="580" t="s">
        <v>174</v>
      </c>
      <c r="Q63" s="591"/>
      <c r="R63" s="591"/>
      <c r="S63" s="580" t="s">
        <v>175</v>
      </c>
      <c r="T63" s="586"/>
      <c r="U63" s="586"/>
      <c r="V63" s="580" t="s">
        <v>176</v>
      </c>
      <c r="W63" s="586"/>
      <c r="X63" s="587"/>
      <c r="Y63" s="80" t="s">
        <v>0</v>
      </c>
    </row>
    <row r="64" spans="1:25" ht="27.75" customHeight="1">
      <c r="A64" s="618"/>
      <c r="B64" s="619"/>
      <c r="C64" s="619"/>
      <c r="D64" s="588"/>
      <c r="E64" s="589"/>
      <c r="F64" s="590"/>
      <c r="G64" s="583"/>
      <c r="H64" s="584"/>
      <c r="I64" s="585"/>
      <c r="J64" s="588"/>
      <c r="K64" s="589"/>
      <c r="L64" s="590"/>
      <c r="M64" s="588"/>
      <c r="N64" s="589"/>
      <c r="O64" s="590"/>
      <c r="P64" s="592"/>
      <c r="Q64" s="593"/>
      <c r="R64" s="593"/>
      <c r="S64" s="588"/>
      <c r="T64" s="589"/>
      <c r="U64" s="589"/>
      <c r="V64" s="588"/>
      <c r="W64" s="589"/>
      <c r="X64" s="590"/>
      <c r="Y64" s="80" t="s">
        <v>0</v>
      </c>
    </row>
    <row r="65" spans="1:25" ht="16.5" thickBot="1">
      <c r="A65" s="620"/>
      <c r="B65" s="621"/>
      <c r="C65" s="621"/>
      <c r="D65" s="191" t="s">
        <v>135</v>
      </c>
      <c r="E65" s="192" t="s">
        <v>37</v>
      </c>
      <c r="F65" s="193" t="s">
        <v>137</v>
      </c>
      <c r="G65" s="191" t="s">
        <v>135</v>
      </c>
      <c r="H65" s="192" t="s">
        <v>37</v>
      </c>
      <c r="I65" s="193" t="s">
        <v>137</v>
      </c>
      <c r="J65" s="191" t="s">
        <v>135</v>
      </c>
      <c r="K65" s="192" t="s">
        <v>37</v>
      </c>
      <c r="L65" s="193" t="s">
        <v>137</v>
      </c>
      <c r="M65" s="191" t="s">
        <v>135</v>
      </c>
      <c r="N65" s="192" t="s">
        <v>37</v>
      </c>
      <c r="O65" s="193" t="s">
        <v>137</v>
      </c>
      <c r="P65" s="191" t="s">
        <v>135</v>
      </c>
      <c r="Q65" s="192" t="s">
        <v>37</v>
      </c>
      <c r="R65" s="193" t="s">
        <v>137</v>
      </c>
      <c r="S65" s="191" t="s">
        <v>135</v>
      </c>
      <c r="T65" s="192" t="s">
        <v>37</v>
      </c>
      <c r="U65" s="193" t="s">
        <v>137</v>
      </c>
      <c r="V65" s="194" t="s">
        <v>135</v>
      </c>
      <c r="W65" s="192" t="s">
        <v>37</v>
      </c>
      <c r="X65" s="195" t="s">
        <v>137</v>
      </c>
      <c r="Y65" s="80" t="s">
        <v>0</v>
      </c>
    </row>
    <row r="66" spans="1:25">
      <c r="A66" s="187"/>
      <c r="B66" s="613" t="s">
        <v>218</v>
      </c>
      <c r="C66" s="613"/>
      <c r="D66" s="443">
        <v>71</v>
      </c>
      <c r="E66" s="444">
        <v>62</v>
      </c>
      <c r="F66" s="445">
        <v>18924</v>
      </c>
      <c r="G66" s="156">
        <v>71</v>
      </c>
      <c r="H66" s="157">
        <v>71</v>
      </c>
      <c r="I66" s="158">
        <v>18401</v>
      </c>
      <c r="J66" s="156"/>
      <c r="K66" s="157"/>
      <c r="L66" s="158">
        <f>128+85</f>
        <v>213</v>
      </c>
      <c r="M66" s="156">
        <f>+G66+J66</f>
        <v>71</v>
      </c>
      <c r="N66" s="157">
        <f>+H66+K66</f>
        <v>71</v>
      </c>
      <c r="O66" s="158">
        <f>+I66+L66</f>
        <v>18614</v>
      </c>
      <c r="P66" s="156"/>
      <c r="Q66" s="157"/>
      <c r="R66" s="158"/>
      <c r="S66" s="156"/>
      <c r="T66" s="157"/>
      <c r="U66" s="158"/>
      <c r="V66" s="156">
        <f>P66+M66+S66</f>
        <v>71</v>
      </c>
      <c r="W66" s="157">
        <f>+N66+Q66+T66</f>
        <v>71</v>
      </c>
      <c r="X66" s="159">
        <f>R66+O66+U66</f>
        <v>18614</v>
      </c>
      <c r="Y66" s="80" t="s">
        <v>0</v>
      </c>
    </row>
    <row r="67" spans="1:25">
      <c r="A67" s="187"/>
      <c r="B67" s="613" t="s">
        <v>219</v>
      </c>
      <c r="C67" s="613"/>
      <c r="D67" s="443">
        <v>49</v>
      </c>
      <c r="E67" s="444">
        <v>49</v>
      </c>
      <c r="F67" s="446">
        <v>8385</v>
      </c>
      <c r="G67" s="156">
        <v>46</v>
      </c>
      <c r="H67" s="157">
        <v>46</v>
      </c>
      <c r="I67" s="41">
        <v>8142</v>
      </c>
      <c r="J67" s="156">
        <v>4</v>
      </c>
      <c r="K67" s="157">
        <v>4</v>
      </c>
      <c r="L67" s="41">
        <f>1086+158+84+56</f>
        <v>1384</v>
      </c>
      <c r="M67" s="156">
        <f t="shared" ref="M67:M69" si="0">+G67+J67</f>
        <v>50</v>
      </c>
      <c r="N67" s="157">
        <f t="shared" ref="N67:N69" si="1">+H67+K67</f>
        <v>50</v>
      </c>
      <c r="O67" s="158">
        <f t="shared" ref="O67:O69" si="2">+I67+L67</f>
        <v>9526</v>
      </c>
      <c r="P67" s="156">
        <v>5</v>
      </c>
      <c r="Q67" s="157">
        <v>3</v>
      </c>
      <c r="R67" s="41">
        <v>707</v>
      </c>
      <c r="S67" s="156"/>
      <c r="T67" s="157"/>
      <c r="U67" s="41"/>
      <c r="V67" s="156">
        <f>P67+M67+S67</f>
        <v>55</v>
      </c>
      <c r="W67" s="157">
        <f>+N67+Q67+T67</f>
        <v>53</v>
      </c>
      <c r="X67" s="159">
        <f>R67+O67+U67</f>
        <v>10233</v>
      </c>
      <c r="Y67" s="80" t="s">
        <v>0</v>
      </c>
    </row>
    <row r="68" spans="1:25">
      <c r="A68" s="187"/>
      <c r="B68" s="614" t="s">
        <v>220</v>
      </c>
      <c r="C68" s="614"/>
      <c r="D68" s="443">
        <v>58</v>
      </c>
      <c r="E68" s="444">
        <v>58</v>
      </c>
      <c r="F68" s="442">
        <v>12402</v>
      </c>
      <c r="G68" s="156">
        <v>58</v>
      </c>
      <c r="H68" s="157">
        <v>58</v>
      </c>
      <c r="I68" s="41">
        <v>12971</v>
      </c>
      <c r="J68" s="156">
        <f>43+18+3+3</f>
        <v>67</v>
      </c>
      <c r="K68" s="157">
        <f>43+18+3+3</f>
        <v>67</v>
      </c>
      <c r="L68" s="41">
        <f>6188+795+618+4364+105+70</f>
        <v>12140</v>
      </c>
      <c r="M68" s="156">
        <f t="shared" si="0"/>
        <v>125</v>
      </c>
      <c r="N68" s="157">
        <f t="shared" si="1"/>
        <v>125</v>
      </c>
      <c r="O68" s="158">
        <f t="shared" si="2"/>
        <v>25111</v>
      </c>
      <c r="P68" s="156"/>
      <c r="Q68" s="157"/>
      <c r="R68" s="41"/>
      <c r="S68" s="156"/>
      <c r="T68" s="157"/>
      <c r="U68" s="41"/>
      <c r="V68" s="156">
        <f>P68+M68+S68</f>
        <v>125</v>
      </c>
      <c r="W68" s="157">
        <f>+N68+Q68+T68</f>
        <v>125</v>
      </c>
      <c r="X68" s="159">
        <f>R68+O68+U68</f>
        <v>25111</v>
      </c>
      <c r="Y68" s="80" t="s">
        <v>0</v>
      </c>
    </row>
    <row r="69" spans="1:25" ht="17.25" customHeight="1">
      <c r="A69" s="187"/>
      <c r="B69" s="614" t="s">
        <v>221</v>
      </c>
      <c r="C69" s="614"/>
      <c r="D69" s="443">
        <v>391</v>
      </c>
      <c r="E69" s="444">
        <v>385</v>
      </c>
      <c r="F69" s="442">
        <v>78540</v>
      </c>
      <c r="G69" s="156">
        <v>382</v>
      </c>
      <c r="H69" s="157">
        <v>382</v>
      </c>
      <c r="I69" s="41">
        <v>71308</v>
      </c>
      <c r="J69" s="156"/>
      <c r="K69" s="157"/>
      <c r="L69" s="41">
        <f>433+694+1000+460-158</f>
        <v>2429</v>
      </c>
      <c r="M69" s="156">
        <f t="shared" si="0"/>
        <v>382</v>
      </c>
      <c r="N69" s="157">
        <f t="shared" si="1"/>
        <v>382</v>
      </c>
      <c r="O69" s="158">
        <f t="shared" si="2"/>
        <v>73737</v>
      </c>
      <c r="P69" s="156"/>
      <c r="Q69" s="157"/>
      <c r="R69" s="41"/>
      <c r="S69" s="156"/>
      <c r="T69" s="157"/>
      <c r="U69" s="41">
        <v>-28</v>
      </c>
      <c r="V69" s="156">
        <f>P69+M69+S69</f>
        <v>382</v>
      </c>
      <c r="W69" s="157">
        <f>+N69+Q69+T69</f>
        <v>382</v>
      </c>
      <c r="X69" s="159">
        <f>R69+O69+U69</f>
        <v>73709</v>
      </c>
      <c r="Y69" s="80" t="s">
        <v>0</v>
      </c>
    </row>
    <row r="70" spans="1:25">
      <c r="A70" s="188"/>
      <c r="B70" s="189"/>
      <c r="C70" s="189" t="s">
        <v>38</v>
      </c>
      <c r="D70" s="196">
        <f>SUM(D66:D69)</f>
        <v>569</v>
      </c>
      <c r="E70" s="197">
        <f>SUM(E66:E69)</f>
        <v>554</v>
      </c>
      <c r="F70" s="160">
        <f>SUM(F66:F69)</f>
        <v>118251</v>
      </c>
      <c r="G70" s="196">
        <f t="shared" ref="G70:V70" si="3">SUM(G66:G69)</f>
        <v>557</v>
      </c>
      <c r="H70" s="197">
        <f t="shared" si="3"/>
        <v>557</v>
      </c>
      <c r="I70" s="160">
        <f t="shared" si="3"/>
        <v>110822</v>
      </c>
      <c r="J70" s="196">
        <f t="shared" si="3"/>
        <v>71</v>
      </c>
      <c r="K70" s="197">
        <f t="shared" si="3"/>
        <v>71</v>
      </c>
      <c r="L70" s="160">
        <f t="shared" si="3"/>
        <v>16166</v>
      </c>
      <c r="M70" s="196">
        <f t="shared" si="3"/>
        <v>628</v>
      </c>
      <c r="N70" s="197">
        <f t="shared" si="3"/>
        <v>628</v>
      </c>
      <c r="O70" s="160">
        <f t="shared" si="3"/>
        <v>126988</v>
      </c>
      <c r="P70" s="196">
        <f t="shared" si="3"/>
        <v>5</v>
      </c>
      <c r="Q70" s="197">
        <f t="shared" si="3"/>
        <v>3</v>
      </c>
      <c r="R70" s="160">
        <f t="shared" si="3"/>
        <v>707</v>
      </c>
      <c r="S70" s="196">
        <f t="shared" si="3"/>
        <v>0</v>
      </c>
      <c r="T70" s="197">
        <f t="shared" si="3"/>
        <v>0</v>
      </c>
      <c r="U70" s="160">
        <f t="shared" si="3"/>
        <v>-28</v>
      </c>
      <c r="V70" s="196">
        <f t="shared" si="3"/>
        <v>633</v>
      </c>
      <c r="W70" s="197">
        <f>SUM(W66:W69)</f>
        <v>631</v>
      </c>
      <c r="X70" s="161">
        <f>SUM(X66:X69)</f>
        <v>127667</v>
      </c>
      <c r="Y70" s="80" t="s">
        <v>0</v>
      </c>
    </row>
    <row r="71" spans="1:25" ht="17.25" customHeight="1">
      <c r="A71" s="190"/>
      <c r="B71" s="594"/>
      <c r="C71" s="595"/>
      <c r="D71" s="198"/>
      <c r="E71" s="199"/>
      <c r="F71" s="4"/>
      <c r="G71" s="202"/>
      <c r="H71" s="203"/>
      <c r="I71" s="203"/>
      <c r="J71" s="202"/>
      <c r="K71" s="203"/>
      <c r="L71" s="203"/>
      <c r="M71" s="202"/>
      <c r="N71" s="203"/>
      <c r="O71" s="203"/>
      <c r="P71" s="202"/>
      <c r="Q71" s="203"/>
      <c r="R71" s="203"/>
      <c r="S71" s="202"/>
      <c r="T71" s="203"/>
      <c r="U71" s="203"/>
      <c r="V71" s="202"/>
      <c r="W71" s="207"/>
      <c r="X71" s="252"/>
      <c r="Y71" s="80" t="s">
        <v>0</v>
      </c>
    </row>
    <row r="72" spans="1:25">
      <c r="A72" s="188"/>
      <c r="B72" s="596" t="s">
        <v>123</v>
      </c>
      <c r="C72" s="597"/>
      <c r="D72" s="200"/>
      <c r="E72" s="201">
        <v>97</v>
      </c>
      <c r="F72" s="162"/>
      <c r="G72" s="204"/>
      <c r="H72" s="205">
        <v>90</v>
      </c>
      <c r="I72" s="205"/>
      <c r="J72" s="204"/>
      <c r="K72" s="205">
        <v>-61</v>
      </c>
      <c r="L72" s="205"/>
      <c r="M72" s="204"/>
      <c r="N72" s="205">
        <f>+H72+K72</f>
        <v>29</v>
      </c>
      <c r="O72" s="205"/>
      <c r="P72" s="204"/>
      <c r="Q72" s="205"/>
      <c r="R72" s="205"/>
      <c r="S72" s="204"/>
      <c r="T72" s="205"/>
      <c r="U72" s="205"/>
      <c r="V72" s="204"/>
      <c r="W72" s="201">
        <f>Q72+N72+T72</f>
        <v>29</v>
      </c>
      <c r="X72" s="236"/>
      <c r="Y72" s="80" t="s">
        <v>0</v>
      </c>
    </row>
    <row r="73" spans="1:25">
      <c r="A73" s="187"/>
      <c r="B73" s="568" t="s">
        <v>122</v>
      </c>
      <c r="C73" s="569"/>
      <c r="D73" s="156"/>
      <c r="E73" s="157">
        <f>+E70+E72</f>
        <v>651</v>
      </c>
      <c r="F73" s="41"/>
      <c r="G73" s="206"/>
      <c r="H73" s="157">
        <f>+H70+H72</f>
        <v>647</v>
      </c>
      <c r="I73" s="158"/>
      <c r="J73" s="206"/>
      <c r="K73" s="157">
        <f>+K70+K72</f>
        <v>10</v>
      </c>
      <c r="L73" s="158"/>
      <c r="M73" s="206"/>
      <c r="N73" s="157">
        <f>+N70+N72</f>
        <v>657</v>
      </c>
      <c r="O73" s="158"/>
      <c r="P73" s="206"/>
      <c r="Q73" s="157">
        <f>+Q70+Q72</f>
        <v>3</v>
      </c>
      <c r="R73" s="158"/>
      <c r="S73" s="206"/>
      <c r="T73" s="157">
        <f>+T70+T72</f>
        <v>0</v>
      </c>
      <c r="U73" s="158"/>
      <c r="V73" s="206"/>
      <c r="W73" s="157">
        <f>+W70+W72</f>
        <v>660</v>
      </c>
      <c r="X73" s="85"/>
      <c r="Y73" s="257" t="s">
        <v>20</v>
      </c>
    </row>
    <row r="74" spans="1:25">
      <c r="C74" s="5"/>
    </row>
    <row r="75" spans="1:25" s="324" customFormat="1" ht="30" customHeight="1">
      <c r="A75" s="567"/>
      <c r="B75" s="567"/>
      <c r="C75" s="567"/>
      <c r="D75" s="567"/>
      <c r="E75" s="567"/>
      <c r="F75" s="567"/>
      <c r="G75" s="567"/>
      <c r="H75" s="567"/>
      <c r="I75" s="567"/>
      <c r="J75" s="567"/>
      <c r="K75" s="567"/>
      <c r="L75" s="567"/>
      <c r="M75" s="567"/>
      <c r="N75" s="567"/>
      <c r="O75" s="567"/>
      <c r="P75" s="567"/>
      <c r="Q75" s="567"/>
      <c r="R75" s="567"/>
      <c r="S75" s="567"/>
      <c r="T75" s="567"/>
      <c r="U75" s="567"/>
      <c r="V75" s="567"/>
      <c r="W75" s="58"/>
      <c r="X75" s="58"/>
      <c r="Y75" s="325"/>
    </row>
    <row r="76" spans="1:25">
      <c r="W76" s="43"/>
      <c r="X76" s="43"/>
    </row>
    <row r="77" spans="1:25">
      <c r="K77" s="63"/>
    </row>
  </sheetData>
  <customSheetViews>
    <customSheetView guid="{3118AF25-8423-420A-806A-487665220C68}" scale="65" showPageBreaks="1" showGridLines="0" outlineSymbols="0" fitToPage="1" printArea="1" view="pageBreakPreview" topLeftCell="A50">
      <selection activeCell="W80" sqref="W80"/>
      <rowBreaks count="1" manualBreakCount="1">
        <brk id="47" max="23" man="1"/>
      </rowBreaks>
      <pageMargins left="0.5" right="0.4" top="0.5" bottom="0.25" header="0" footer="0"/>
      <printOptions horizontalCentered="1"/>
      <pageSetup scale="55" firstPageNumber="8" fitToHeight="0" orientation="landscape" useFirstPageNumber="1" r:id="rId1"/>
      <headerFooter alignWithMargins="0">
        <oddFooter>&amp;C&amp;"Times New Roman,Regular"Exhibit B - Summary of Requirements</oddFooter>
      </headerFooter>
    </customSheetView>
    <customSheetView guid="{56C0A34E-45B4-448B-85E5-70B3A8E63333}" scale="65" showPageBreaks="1" showGridLines="0" outlineSymbols="0" fitToPage="1" printArea="1" view="pageBreakPreview" topLeftCell="A6">
      <selection activeCell="X34" sqref="X34"/>
      <rowBreaks count="1" manualBreakCount="1">
        <brk id="49" max="23" man="1"/>
      </rowBreaks>
      <pageMargins left="0.5" right="0.4" top="0.5" bottom="0.25" header="0" footer="0"/>
      <printOptions horizontalCentered="1"/>
      <pageSetup scale="55" firstPageNumber="8" fitToHeight="0" orientation="landscape" useFirstPageNumber="1" r:id="rId2"/>
      <headerFooter alignWithMargins="0">
        <oddFooter>&amp;C&amp;"Times New Roman,Regular"Exhibit B - Summary of Requirements</oddFooter>
      </headerFooter>
    </customSheetView>
    <customSheetView guid="{4148B88B-8ED7-4FDE-9459-DEB244AD0552}" scale="65" showPageBreaks="1" showGridLines="0" outlineSymbols="0" fitToPage="1" printArea="1" view="pageBreakPreview" topLeftCell="C7">
      <selection activeCell="A38" sqref="A38:U38"/>
      <rowBreaks count="1" manualBreakCount="1">
        <brk id="47" max="23" man="1"/>
      </rowBreaks>
      <pageMargins left="0.5" right="0.4" top="0.5" bottom="0.25" header="0" footer="0"/>
      <printOptions horizontalCentered="1"/>
      <pageSetup scale="55" firstPageNumber="8" fitToHeight="0" orientation="landscape" useFirstPageNumber="1" r:id="rId3"/>
      <headerFooter alignWithMargins="0">
        <oddFooter>&amp;C&amp;"Times New Roman,Regular"Exhibit B - Summary of Requirements</oddFooter>
      </headerFooter>
    </customSheetView>
    <customSheetView guid="{12C66D54-5067-4346-818B-6EAB1C8A9183}" scale="65" showPageBreaks="1" showGridLines="0" outlineSymbols="0" fitToPage="1" printArea="1" view="pageBreakPreview">
      <selection activeCell="A21" sqref="A21:U21"/>
      <rowBreaks count="1" manualBreakCount="1">
        <brk id="47" max="23" man="1"/>
      </rowBreaks>
      <pageMargins left="0.5" right="0.4" top="0.5" bottom="0.25" header="0" footer="0"/>
      <printOptions horizontalCentered="1"/>
      <pageSetup scale="55" firstPageNumber="8" fitToHeight="0" orientation="landscape" useFirstPageNumber="1" r:id="rId4"/>
      <headerFooter alignWithMargins="0">
        <oddFooter>&amp;C&amp;"Times New Roman,Regular"Exhibit B - Summary of Requirements</oddFooter>
      </headerFooter>
    </customSheetView>
    <customSheetView guid="{87EA6C51-A281-4696-9262-A16F553E7025}" scale="65" showPageBreaks="1" showGridLines="0" outlineSymbols="0" fitToPage="1" printArea="1" view="pageBreakPreview" topLeftCell="A49">
      <selection activeCell="L73" sqref="L73"/>
      <rowBreaks count="1" manualBreakCount="1">
        <brk id="48" max="23" man="1"/>
      </rowBreaks>
      <pageMargins left="0.5" right="0.4" top="0.5" bottom="0.25" header="0" footer="0"/>
      <printOptions horizontalCentered="1"/>
      <pageSetup scale="55" firstPageNumber="8" fitToHeight="0" orientation="landscape" useFirstPageNumber="1" r:id="rId5"/>
      <headerFooter alignWithMargins="0">
        <oddFooter>&amp;C&amp;"Times New Roman,Regular"Exhibit B - Summary of Requirements</oddFooter>
      </headerFooter>
    </customSheetView>
  </customSheetViews>
  <mergeCells count="59">
    <mergeCell ref="A16:U16"/>
    <mergeCell ref="A15:U15"/>
    <mergeCell ref="A29:U29"/>
    <mergeCell ref="A17:U17"/>
    <mergeCell ref="A26:U26"/>
    <mergeCell ref="A1:X1"/>
    <mergeCell ref="A14:U14"/>
    <mergeCell ref="A2:X2"/>
    <mergeCell ref="A3:X3"/>
    <mergeCell ref="A8:X8"/>
    <mergeCell ref="A9:X9"/>
    <mergeCell ref="X12:X13"/>
    <mergeCell ref="W12:W13"/>
    <mergeCell ref="A4:X4"/>
    <mergeCell ref="A5:X5"/>
    <mergeCell ref="A6:X6"/>
    <mergeCell ref="A7:X7"/>
    <mergeCell ref="V11:X11"/>
    <mergeCell ref="V12:V13"/>
    <mergeCell ref="A10:X10"/>
    <mergeCell ref="A11:U13"/>
    <mergeCell ref="B66:C66"/>
    <mergeCell ref="B69:C69"/>
    <mergeCell ref="B67:C67"/>
    <mergeCell ref="B68:C68"/>
    <mergeCell ref="A57:X57"/>
    <mergeCell ref="V63:X64"/>
    <mergeCell ref="D63:F64"/>
    <mergeCell ref="A63:C65"/>
    <mergeCell ref="A54:X54"/>
    <mergeCell ref="A55:X55"/>
    <mergeCell ref="A35:U35"/>
    <mergeCell ref="A31:U31"/>
    <mergeCell ref="A56:X56"/>
    <mergeCell ref="A38:U38"/>
    <mergeCell ref="A37:U37"/>
    <mergeCell ref="A42:U42"/>
    <mergeCell ref="A41:U41"/>
    <mergeCell ref="A39:U39"/>
    <mergeCell ref="A32:U32"/>
    <mergeCell ref="A33:U33"/>
    <mergeCell ref="A34:U34"/>
    <mergeCell ref="A44:X44"/>
    <mergeCell ref="A75:V75"/>
    <mergeCell ref="B73:C73"/>
    <mergeCell ref="A30:U30"/>
    <mergeCell ref="A18:U18"/>
    <mergeCell ref="A27:U27"/>
    <mergeCell ref="A28:U28"/>
    <mergeCell ref="A19:U19"/>
    <mergeCell ref="A43:U43"/>
    <mergeCell ref="G63:I64"/>
    <mergeCell ref="J63:L64"/>
    <mergeCell ref="M63:O64"/>
    <mergeCell ref="P63:R64"/>
    <mergeCell ref="S63:U64"/>
    <mergeCell ref="B71:C71"/>
    <mergeCell ref="B72:C72"/>
    <mergeCell ref="A36:U36"/>
  </mergeCells>
  <phoneticPr fontId="0" type="noConversion"/>
  <printOptions horizontalCentered="1"/>
  <pageMargins left="0.5" right="0.4" top="0.5" bottom="0.25" header="0" footer="0"/>
  <pageSetup scale="55" firstPageNumber="8" fitToHeight="0" orientation="landscape" useFirstPageNumber="1" r:id="rId6"/>
  <headerFooter alignWithMargins="0">
    <oddFooter>&amp;C&amp;"Times New Roman,Regular"Exhibit B - Summary of Requirements</oddFooter>
  </headerFooter>
  <rowBreaks count="1" manualBreakCount="1">
    <brk id="45" max="23" man="1"/>
  </rowBreaks>
  <ignoredErrors>
    <ignoredError sqref="W66:W68 W69" formula="1"/>
  </ignoredErrors>
</worksheet>
</file>

<file path=xl/worksheets/sheet3.xml><?xml version="1.0" encoding="utf-8"?>
<worksheet xmlns="http://schemas.openxmlformats.org/spreadsheetml/2006/main" xmlns:r="http://schemas.openxmlformats.org/officeDocument/2006/relationships">
  <sheetPr codeName="Sheet6">
    <pageSetUpPr fitToPage="1"/>
  </sheetPr>
  <dimension ref="A1:L28"/>
  <sheetViews>
    <sheetView view="pageBreakPreview" zoomScale="75" zoomScaleNormal="75" zoomScaleSheetLayoutView="75" workbookViewId="0">
      <selection sqref="A1:K1"/>
    </sheetView>
  </sheetViews>
  <sheetFormatPr defaultColWidth="7.21875" defaultRowHeight="12.75"/>
  <cols>
    <col min="1" max="1" width="25.5546875" style="24" customWidth="1"/>
    <col min="2" max="2" width="15.88671875" style="24" customWidth="1"/>
    <col min="3" max="3" width="4.6640625" style="24" customWidth="1"/>
    <col min="4" max="4" width="8.33203125" style="24" customWidth="1"/>
    <col min="5" max="5" width="4.6640625" style="24" customWidth="1"/>
    <col min="6" max="6" width="9.21875" style="24" customWidth="1"/>
    <col min="7" max="7" width="4.6640625" style="24" customWidth="1"/>
    <col min="8" max="8" width="8.33203125" style="24" customWidth="1"/>
    <col min="9" max="9" width="4.6640625" style="24" customWidth="1"/>
    <col min="10" max="10" width="7.21875" style="24" customWidth="1"/>
    <col min="11" max="11" width="11.33203125" style="24" customWidth="1"/>
    <col min="12" max="12" width="8.88671875" style="83" customWidth="1"/>
    <col min="13" max="16384" width="7.21875" style="24"/>
  </cols>
  <sheetData>
    <row r="1" spans="1:12" ht="20.25">
      <c r="A1" s="661" t="s">
        <v>164</v>
      </c>
      <c r="B1" s="662"/>
      <c r="C1" s="662"/>
      <c r="D1" s="662"/>
      <c r="E1" s="662"/>
      <c r="F1" s="662"/>
      <c r="G1" s="662"/>
      <c r="H1" s="662"/>
      <c r="I1" s="662"/>
      <c r="J1" s="662"/>
      <c r="K1" s="662"/>
      <c r="L1" s="82" t="s">
        <v>0</v>
      </c>
    </row>
    <row r="2" spans="1:12" ht="20.25">
      <c r="A2" s="668"/>
      <c r="B2" s="668"/>
      <c r="C2" s="668"/>
      <c r="D2" s="668"/>
      <c r="E2" s="668"/>
      <c r="F2" s="668"/>
      <c r="G2" s="668"/>
      <c r="H2" s="668"/>
      <c r="I2" s="668"/>
      <c r="J2" s="668"/>
      <c r="K2" s="668"/>
      <c r="L2" s="82" t="s">
        <v>0</v>
      </c>
    </row>
    <row r="3" spans="1:12">
      <c r="A3" s="669"/>
      <c r="B3" s="669"/>
      <c r="C3" s="669"/>
      <c r="D3" s="669"/>
      <c r="E3" s="669"/>
      <c r="F3" s="669"/>
      <c r="G3" s="669"/>
      <c r="H3" s="669"/>
      <c r="I3" s="669"/>
      <c r="J3" s="669"/>
      <c r="K3" s="669"/>
      <c r="L3" s="82" t="s">
        <v>0</v>
      </c>
    </row>
    <row r="4" spans="1:12" ht="23.25">
      <c r="A4" s="663" t="s">
        <v>192</v>
      </c>
      <c r="B4" s="664"/>
      <c r="C4" s="664"/>
      <c r="D4" s="664"/>
      <c r="E4" s="664"/>
      <c r="F4" s="664"/>
      <c r="G4" s="664"/>
      <c r="H4" s="664"/>
      <c r="I4" s="664"/>
      <c r="J4" s="664"/>
      <c r="K4" s="664"/>
      <c r="L4" s="82" t="s">
        <v>0</v>
      </c>
    </row>
    <row r="5" spans="1:12" ht="23.25">
      <c r="A5" s="665" t="str">
        <f>'B. Summary of Requirements '!A55</f>
        <v>General Administration</v>
      </c>
      <c r="B5" s="666"/>
      <c r="C5" s="666"/>
      <c r="D5" s="666"/>
      <c r="E5" s="666"/>
      <c r="F5" s="666"/>
      <c r="G5" s="666"/>
      <c r="H5" s="666"/>
      <c r="I5" s="666"/>
      <c r="J5" s="666"/>
      <c r="K5" s="666"/>
      <c r="L5" s="82" t="s">
        <v>0</v>
      </c>
    </row>
    <row r="6" spans="1:12" ht="23.25">
      <c r="A6" s="667" t="s">
        <v>119</v>
      </c>
      <c r="B6" s="664"/>
      <c r="C6" s="664"/>
      <c r="D6" s="664"/>
      <c r="E6" s="664"/>
      <c r="F6" s="664"/>
      <c r="G6" s="664"/>
      <c r="H6" s="664"/>
      <c r="I6" s="664"/>
      <c r="J6" s="664"/>
      <c r="K6" s="664"/>
      <c r="L6" s="82" t="s">
        <v>0</v>
      </c>
    </row>
    <row r="7" spans="1:12">
      <c r="A7" s="670"/>
      <c r="B7" s="670"/>
      <c r="C7" s="670"/>
      <c r="D7" s="670"/>
      <c r="E7" s="670"/>
      <c r="F7" s="670"/>
      <c r="G7" s="670"/>
      <c r="H7" s="670"/>
      <c r="I7" s="670"/>
      <c r="J7" s="670"/>
      <c r="K7" s="670"/>
      <c r="L7" s="82" t="s">
        <v>0</v>
      </c>
    </row>
    <row r="8" spans="1:12">
      <c r="A8" s="671"/>
      <c r="B8" s="671"/>
      <c r="C8" s="671"/>
      <c r="D8" s="671"/>
      <c r="E8" s="671"/>
      <c r="F8" s="671"/>
      <c r="G8" s="671"/>
      <c r="H8" s="671"/>
      <c r="I8" s="671"/>
      <c r="J8" s="671"/>
      <c r="K8" s="671"/>
      <c r="L8" s="82" t="s">
        <v>0</v>
      </c>
    </row>
    <row r="9" spans="1:12" ht="15">
      <c r="A9" s="650" t="s">
        <v>110</v>
      </c>
      <c r="B9" s="655" t="s">
        <v>18</v>
      </c>
      <c r="C9" s="652" t="s">
        <v>219</v>
      </c>
      <c r="D9" s="653"/>
      <c r="E9" s="653"/>
      <c r="F9" s="654"/>
      <c r="G9" s="652" t="s">
        <v>224</v>
      </c>
      <c r="H9" s="657"/>
      <c r="I9" s="657"/>
      <c r="J9" s="658"/>
      <c r="K9" s="655" t="s">
        <v>25</v>
      </c>
      <c r="L9" s="82" t="s">
        <v>0</v>
      </c>
    </row>
    <row r="10" spans="1:12">
      <c r="A10" s="651"/>
      <c r="B10" s="656"/>
      <c r="C10" s="26" t="s">
        <v>135</v>
      </c>
      <c r="D10" s="26" t="s">
        <v>9</v>
      </c>
      <c r="E10" s="26" t="s">
        <v>37</v>
      </c>
      <c r="F10" s="27" t="s">
        <v>137</v>
      </c>
      <c r="G10" s="26" t="s">
        <v>135</v>
      </c>
      <c r="H10" s="26" t="s">
        <v>9</v>
      </c>
      <c r="I10" s="26" t="s">
        <v>37</v>
      </c>
      <c r="J10" s="27" t="s">
        <v>137</v>
      </c>
      <c r="K10" s="656"/>
      <c r="L10" s="82" t="s">
        <v>0</v>
      </c>
    </row>
    <row r="11" spans="1:12" ht="15.75">
      <c r="A11" s="37"/>
      <c r="B11" s="38"/>
      <c r="C11" s="163"/>
      <c r="D11" s="90"/>
      <c r="E11" s="90"/>
      <c r="F11" s="91"/>
      <c r="G11" s="163"/>
      <c r="H11" s="90"/>
      <c r="I11" s="90"/>
      <c r="J11" s="91"/>
      <c r="K11" s="433" t="s">
        <v>136</v>
      </c>
      <c r="L11" s="82" t="s">
        <v>0</v>
      </c>
    </row>
    <row r="12" spans="1:12" ht="18.75" customHeight="1">
      <c r="A12" s="560" t="s">
        <v>216</v>
      </c>
      <c r="B12" s="441" t="s">
        <v>222</v>
      </c>
      <c r="C12" s="164">
        <v>5</v>
      </c>
      <c r="D12" s="90">
        <v>4</v>
      </c>
      <c r="E12" s="90">
        <v>3</v>
      </c>
      <c r="F12" s="91">
        <v>707</v>
      </c>
      <c r="G12" s="164"/>
      <c r="H12" s="90"/>
      <c r="I12" s="90"/>
      <c r="J12" s="91"/>
      <c r="K12" s="91">
        <f>+F12</f>
        <v>707</v>
      </c>
      <c r="L12" s="82" t="s">
        <v>0</v>
      </c>
    </row>
    <row r="13" spans="1:12" ht="18.75" customHeight="1">
      <c r="A13" s="28"/>
      <c r="B13" s="39"/>
      <c r="C13" s="92"/>
      <c r="D13" s="93"/>
      <c r="E13" s="93"/>
      <c r="F13" s="94"/>
      <c r="G13" s="92"/>
      <c r="H13" s="93"/>
      <c r="I13" s="93"/>
      <c r="J13" s="94"/>
      <c r="K13" s="434" t="s">
        <v>136</v>
      </c>
      <c r="L13" s="82" t="s">
        <v>0</v>
      </c>
    </row>
    <row r="14" spans="1:12" ht="18.75" customHeight="1">
      <c r="A14" s="561" t="s">
        <v>129</v>
      </c>
      <c r="B14" s="25"/>
      <c r="C14" s="95">
        <f t="shared" ref="C14:K14" si="0">SUM(C11:C13)</f>
        <v>5</v>
      </c>
      <c r="D14" s="96">
        <f t="shared" si="0"/>
        <v>4</v>
      </c>
      <c r="E14" s="96">
        <f t="shared" si="0"/>
        <v>3</v>
      </c>
      <c r="F14" s="30">
        <f t="shared" si="0"/>
        <v>707</v>
      </c>
      <c r="G14" s="95">
        <f t="shared" si="0"/>
        <v>0</v>
      </c>
      <c r="H14" s="96">
        <f t="shared" si="0"/>
        <v>0</v>
      </c>
      <c r="I14" s="96">
        <f t="shared" si="0"/>
        <v>0</v>
      </c>
      <c r="J14" s="30">
        <f t="shared" si="0"/>
        <v>0</v>
      </c>
      <c r="K14" s="31">
        <f t="shared" si="0"/>
        <v>707</v>
      </c>
      <c r="L14" s="82" t="s">
        <v>0</v>
      </c>
    </row>
    <row r="15" spans="1:12" ht="18.75" customHeight="1">
      <c r="A15" s="28"/>
      <c r="B15" s="28"/>
      <c r="C15" s="32"/>
      <c r="D15" s="29"/>
      <c r="E15" s="29"/>
      <c r="F15" s="33"/>
      <c r="G15" s="29"/>
      <c r="H15" s="29"/>
      <c r="I15" s="29"/>
      <c r="J15" s="33"/>
      <c r="K15" s="33"/>
      <c r="L15" s="82" t="s">
        <v>0</v>
      </c>
    </row>
    <row r="16" spans="1:12" ht="18.75" customHeight="1">
      <c r="A16" s="659" t="s">
        <v>10</v>
      </c>
      <c r="B16" s="655" t="s">
        <v>18</v>
      </c>
      <c r="C16" s="652" t="s">
        <v>219</v>
      </c>
      <c r="D16" s="657"/>
      <c r="E16" s="657"/>
      <c r="F16" s="658"/>
      <c r="G16" s="652" t="s">
        <v>224</v>
      </c>
      <c r="H16" s="653"/>
      <c r="I16" s="653"/>
      <c r="J16" s="654"/>
      <c r="K16" s="655" t="s">
        <v>121</v>
      </c>
      <c r="L16" s="82" t="s">
        <v>0</v>
      </c>
    </row>
    <row r="17" spans="1:12" ht="18.75" customHeight="1">
      <c r="A17" s="660"/>
      <c r="B17" s="656"/>
      <c r="C17" s="26" t="s">
        <v>135</v>
      </c>
      <c r="D17" s="26" t="s">
        <v>9</v>
      </c>
      <c r="E17" s="26" t="s">
        <v>37</v>
      </c>
      <c r="F17" s="27" t="s">
        <v>137</v>
      </c>
      <c r="G17" s="26" t="s">
        <v>135</v>
      </c>
      <c r="H17" s="26" t="s">
        <v>9</v>
      </c>
      <c r="I17" s="26" t="s">
        <v>37</v>
      </c>
      <c r="J17" s="27" t="s">
        <v>137</v>
      </c>
      <c r="K17" s="656"/>
      <c r="L17" s="82" t="s">
        <v>0</v>
      </c>
    </row>
    <row r="18" spans="1:12" ht="18.75" customHeight="1">
      <c r="A18" s="562"/>
      <c r="B18" s="50"/>
      <c r="C18" s="163"/>
      <c r="D18" s="90"/>
      <c r="E18" s="90"/>
      <c r="F18" s="91"/>
      <c r="G18" s="163"/>
      <c r="H18" s="90"/>
      <c r="I18" s="90"/>
      <c r="J18" s="91"/>
      <c r="K18" s="433" t="s">
        <v>136</v>
      </c>
      <c r="L18" s="82" t="s">
        <v>0</v>
      </c>
    </row>
    <row r="19" spans="1:12" ht="18.75" customHeight="1">
      <c r="A19" s="441" t="s">
        <v>217</v>
      </c>
      <c r="B19" s="441" t="s">
        <v>223</v>
      </c>
      <c r="C19" s="164"/>
      <c r="D19" s="90"/>
      <c r="E19" s="90"/>
      <c r="F19" s="433" t="s">
        <v>136</v>
      </c>
      <c r="G19" s="164"/>
      <c r="H19" s="90"/>
      <c r="I19" s="90"/>
      <c r="J19" s="91">
        <v>-28</v>
      </c>
      <c r="K19" s="91">
        <f>+J19</f>
        <v>-28</v>
      </c>
      <c r="L19" s="82" t="s">
        <v>0</v>
      </c>
    </row>
    <row r="20" spans="1:12" ht="18.75" customHeight="1">
      <c r="A20" s="40"/>
      <c r="B20" s="51"/>
      <c r="C20" s="92"/>
      <c r="D20" s="93"/>
      <c r="E20" s="93"/>
      <c r="F20" s="94"/>
      <c r="G20" s="92"/>
      <c r="H20" s="93"/>
      <c r="I20" s="93"/>
      <c r="J20" s="94"/>
      <c r="K20" s="434" t="s">
        <v>136</v>
      </c>
      <c r="L20" s="82" t="s">
        <v>0</v>
      </c>
    </row>
    <row r="21" spans="1:12" ht="18.75" customHeight="1">
      <c r="A21" s="130" t="s">
        <v>121</v>
      </c>
      <c r="B21" s="131"/>
      <c r="C21" s="132">
        <f t="shared" ref="C21:K21" si="1">SUM(C18:C20)</f>
        <v>0</v>
      </c>
      <c r="D21" s="133">
        <f t="shared" si="1"/>
        <v>0</v>
      </c>
      <c r="E21" s="133">
        <f t="shared" si="1"/>
        <v>0</v>
      </c>
      <c r="F21" s="134">
        <f t="shared" si="1"/>
        <v>0</v>
      </c>
      <c r="G21" s="132">
        <f t="shared" si="1"/>
        <v>0</v>
      </c>
      <c r="H21" s="133">
        <f t="shared" si="1"/>
        <v>0</v>
      </c>
      <c r="I21" s="133">
        <f t="shared" si="1"/>
        <v>0</v>
      </c>
      <c r="J21" s="134">
        <f t="shared" si="1"/>
        <v>-28</v>
      </c>
      <c r="K21" s="135">
        <f t="shared" si="1"/>
        <v>-28</v>
      </c>
      <c r="L21" s="82" t="s">
        <v>20</v>
      </c>
    </row>
    <row r="22" spans="1:12" ht="18.75" customHeight="1">
      <c r="A22" s="365"/>
      <c r="B22" s="42"/>
      <c r="C22" s="96"/>
      <c r="D22" s="96"/>
      <c r="E22" s="96"/>
      <c r="F22" s="30"/>
      <c r="G22" s="96"/>
      <c r="H22" s="96"/>
      <c r="I22" s="96"/>
      <c r="J22" s="30"/>
      <c r="K22" s="30"/>
      <c r="L22" s="82"/>
    </row>
    <row r="23" spans="1:12" ht="33.75" customHeight="1">
      <c r="A23" s="647"/>
      <c r="B23" s="648"/>
      <c r="C23" s="648"/>
      <c r="D23" s="648"/>
      <c r="E23" s="648"/>
      <c r="F23" s="648"/>
      <c r="G23" s="648"/>
      <c r="H23" s="648"/>
      <c r="I23" s="648"/>
      <c r="J23" s="648"/>
    </row>
    <row r="24" spans="1:12" ht="12.75" customHeight="1">
      <c r="A24" s="56"/>
      <c r="B24" s="56"/>
      <c r="C24" s="56"/>
      <c r="D24" s="56"/>
      <c r="E24" s="56"/>
      <c r="F24" s="56"/>
      <c r="G24" s="56"/>
      <c r="H24" s="56"/>
      <c r="I24" s="56"/>
      <c r="J24" s="56"/>
    </row>
    <row r="25" spans="1:12" ht="57" customHeight="1">
      <c r="A25" s="645"/>
      <c r="B25" s="646"/>
      <c r="C25" s="646"/>
      <c r="D25" s="646"/>
      <c r="E25" s="646"/>
      <c r="F25" s="646"/>
      <c r="G25" s="646"/>
      <c r="H25" s="646"/>
      <c r="I25" s="646"/>
      <c r="J25" s="646"/>
    </row>
    <row r="26" spans="1:12" ht="15">
      <c r="A26" s="649"/>
      <c r="B26" s="649"/>
      <c r="C26" s="649"/>
      <c r="D26" s="649"/>
      <c r="E26" s="649"/>
      <c r="F26" s="649"/>
      <c r="G26" s="649"/>
      <c r="H26" s="649"/>
      <c r="I26" s="649"/>
      <c r="J26" s="649"/>
    </row>
    <row r="27" spans="1:12" ht="15" customHeight="1">
      <c r="A27" s="59"/>
      <c r="B27" s="60"/>
      <c r="C27" s="60"/>
      <c r="D27" s="60"/>
      <c r="E27" s="60"/>
      <c r="F27" s="60"/>
      <c r="G27" s="60"/>
      <c r="H27" s="60"/>
      <c r="I27" s="60"/>
      <c r="J27" s="60"/>
      <c r="K27" s="65"/>
    </row>
    <row r="28" spans="1:12">
      <c r="A28" s="60"/>
      <c r="B28" s="60"/>
      <c r="C28" s="60"/>
      <c r="D28" s="60"/>
      <c r="E28" s="60"/>
      <c r="F28" s="60"/>
      <c r="G28" s="60"/>
      <c r="H28" s="60"/>
      <c r="I28" s="60"/>
      <c r="J28" s="60"/>
    </row>
  </sheetData>
  <customSheetViews>
    <customSheetView guid="{3118AF25-8423-420A-806A-487665220C68}" scale="75" showPageBreaks="1" fitToPage="1" printArea="1" view="pageBreakPreview">
      <selection activeCell="D16" sqref="D16"/>
      <pageMargins left="0.75" right="0.75" top="1" bottom="1" header="0.5" footer="0.5"/>
      <printOptions horizontalCentered="1"/>
      <pageSetup scale="69" orientation="landscape" r:id="rId1"/>
      <headerFooter alignWithMargins="0">
        <oddFooter>&amp;C&amp;"Times New Roman,Regular"Exhibit C - Program Increases/Offsets By Decision Unit</oddFooter>
      </headerFooter>
    </customSheetView>
    <customSheetView guid="{56C0A34E-45B4-448B-85E5-70B3A8E63333}" scale="75" showPageBreaks="1" fitToPage="1" printArea="1" view="pageBreakPreview">
      <selection activeCell="J27" sqref="J27"/>
      <pageMargins left="0.75" right="0.75" top="1" bottom="1" header="0.5" footer="0.5"/>
      <printOptions horizontalCentered="1"/>
      <pageSetup scale="69" orientation="landscape" r:id="rId2"/>
      <headerFooter alignWithMargins="0">
        <oddFooter>&amp;C&amp;"Times New Roman,Regular"Exhibit C - Program Increases/Offsets By Decision Unit</oddFooter>
      </headerFooter>
    </customSheetView>
    <customSheetView guid="{4148B88B-8ED7-4FDE-9459-DEB244AD0552}" scale="75" showPageBreaks="1" fitToPage="1" printArea="1" view="pageBreakPreview">
      <selection activeCell="A6" sqref="A6:S6"/>
      <pageMargins left="0.75" right="0.75" top="1" bottom="1" header="0.5" footer="0.5"/>
      <printOptions horizontalCentered="1"/>
      <pageSetup scale="69" orientation="landscape" r:id="rId3"/>
      <headerFooter alignWithMargins="0">
        <oddFooter>&amp;C&amp;"Times New Roman,Regular"Exhibit C - Program Increases/Offsets By Decision Unit</oddFooter>
      </headerFooter>
    </customSheetView>
    <customSheetView guid="{12C66D54-5067-4346-818B-6EAB1C8A9183}" scale="75" showPageBreaks="1" fitToPage="1" printArea="1" view="pageBreakPreview">
      <selection activeCell="A6" sqref="A6:S6"/>
      <pageMargins left="0.75" right="0.75" top="1" bottom="1" header="0.5" footer="0.5"/>
      <printOptions horizontalCentered="1"/>
      <pageSetup scale="69" orientation="landscape" r:id="rId4"/>
      <headerFooter alignWithMargins="0">
        <oddFooter>&amp;C&amp;"Times New Roman,Regular"Exhibit C - Program Increases/Offsets By Decision Unit</oddFooter>
      </headerFooter>
    </customSheetView>
    <customSheetView guid="{87EA6C51-A281-4696-9262-A16F553E7025}" scale="75" showPageBreaks="1" fitToPage="1" printArea="1" view="pageBreakPreview">
      <selection activeCell="K21" sqref="K21"/>
      <pageMargins left="0.75" right="0.75" top="1" bottom="1" header="0.5" footer="0.5"/>
      <printOptions horizontalCentered="1"/>
      <pageSetup scale="97" orientation="landscape" r:id="rId5"/>
      <headerFooter alignWithMargins="0">
        <oddFooter>&amp;C&amp;"Times New Roman,Regular"Exhibit C - Program Increases/Offsets By Decision Unit</oddFooter>
      </headerFooter>
    </customSheetView>
  </customSheetViews>
  <mergeCells count="21">
    <mergeCell ref="A7:K7"/>
    <mergeCell ref="A8:K8"/>
    <mergeCell ref="G16:J16"/>
    <mergeCell ref="K9:K10"/>
    <mergeCell ref="K16:K17"/>
    <mergeCell ref="A1:K1"/>
    <mergeCell ref="A4:K4"/>
    <mergeCell ref="A5:K5"/>
    <mergeCell ref="A6:K6"/>
    <mergeCell ref="A2:K2"/>
    <mergeCell ref="A3:K3"/>
    <mergeCell ref="A25:J25"/>
    <mergeCell ref="A23:J23"/>
    <mergeCell ref="A26:J26"/>
    <mergeCell ref="A9:A10"/>
    <mergeCell ref="C9:F9"/>
    <mergeCell ref="B9:B10"/>
    <mergeCell ref="G9:J9"/>
    <mergeCell ref="B16:B17"/>
    <mergeCell ref="A16:A17"/>
    <mergeCell ref="C16:F16"/>
  </mergeCells>
  <phoneticPr fontId="21" type="noConversion"/>
  <printOptions horizontalCentered="1"/>
  <pageMargins left="0.75" right="0.75" top="1" bottom="1" header="0.5" footer="0.5"/>
  <pageSetup scale="97" orientation="landscape" r:id="rId6"/>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43"/>
  <sheetViews>
    <sheetView view="pageBreakPreview" zoomScale="70" zoomScaleNormal="75" zoomScaleSheetLayoutView="70" workbookViewId="0">
      <selection sqref="A1:P1"/>
    </sheetView>
  </sheetViews>
  <sheetFormatPr defaultColWidth="8.77734375" defaultRowHeight="12.75"/>
  <cols>
    <col min="1" max="1" width="53.88671875" style="259" customWidth="1"/>
    <col min="2" max="2" width="1.21875" style="259" customWidth="1"/>
    <col min="3" max="3" width="10.77734375" style="259" customWidth="1"/>
    <col min="4" max="4" width="11" style="259" customWidth="1"/>
    <col min="5" max="5" width="1.21875" style="259" customWidth="1"/>
    <col min="6" max="7" width="11.21875" style="259" customWidth="1"/>
    <col min="8" max="8" width="1.21875" style="259" customWidth="1"/>
    <col min="9" max="16" width="10.77734375" style="259" customWidth="1"/>
    <col min="17" max="17" width="1.88671875" style="259" customWidth="1"/>
    <col min="18" max="16384" width="8.77734375" style="259"/>
  </cols>
  <sheetData>
    <row r="1" spans="1:20" ht="20.25">
      <c r="A1" s="672" t="s">
        <v>165</v>
      </c>
      <c r="B1" s="673"/>
      <c r="C1" s="673"/>
      <c r="D1" s="673"/>
      <c r="E1" s="673"/>
      <c r="F1" s="673"/>
      <c r="G1" s="673"/>
      <c r="H1" s="673"/>
      <c r="I1" s="673"/>
      <c r="J1" s="673"/>
      <c r="K1" s="673"/>
      <c r="L1" s="673"/>
      <c r="M1" s="673"/>
      <c r="N1" s="673"/>
      <c r="O1" s="673"/>
      <c r="P1" s="673"/>
      <c r="Q1" s="257" t="s">
        <v>0</v>
      </c>
      <c r="R1" s="258"/>
      <c r="S1" s="258"/>
    </row>
    <row r="2" spans="1:20" ht="19.149999999999999" customHeight="1">
      <c r="A2" s="260"/>
      <c r="Q2" s="257" t="s">
        <v>0</v>
      </c>
      <c r="T2" s="257"/>
    </row>
    <row r="3" spans="1:20" ht="15.75">
      <c r="A3" s="674" t="s">
        <v>146</v>
      </c>
      <c r="B3" s="675"/>
      <c r="C3" s="675"/>
      <c r="D3" s="675"/>
      <c r="E3" s="675"/>
      <c r="F3" s="675"/>
      <c r="G3" s="675"/>
      <c r="H3" s="675"/>
      <c r="I3" s="675"/>
      <c r="J3" s="675"/>
      <c r="K3" s="675"/>
      <c r="L3" s="675"/>
      <c r="M3" s="675"/>
      <c r="N3" s="675"/>
      <c r="O3" s="675"/>
      <c r="P3" s="675"/>
      <c r="Q3" s="257" t="s">
        <v>0</v>
      </c>
      <c r="R3" s="49"/>
      <c r="S3" s="49"/>
      <c r="T3" s="257"/>
    </row>
    <row r="4" spans="1:20" ht="15.75">
      <c r="A4" s="676" t="str">
        <f>'B. Summary of Requirements '!A5:X5</f>
        <v>General Administration</v>
      </c>
      <c r="B4" s="675"/>
      <c r="C4" s="675"/>
      <c r="D4" s="675"/>
      <c r="E4" s="675"/>
      <c r="F4" s="675"/>
      <c r="G4" s="675"/>
      <c r="H4" s="675"/>
      <c r="I4" s="675"/>
      <c r="J4" s="675"/>
      <c r="K4" s="675"/>
      <c r="L4" s="675"/>
      <c r="M4" s="675"/>
      <c r="N4" s="675"/>
      <c r="O4" s="675"/>
      <c r="P4" s="675"/>
      <c r="Q4" s="257" t="s">
        <v>0</v>
      </c>
      <c r="R4" s="47"/>
      <c r="S4" s="47"/>
    </row>
    <row r="5" spans="1:20" ht="15">
      <c r="A5" s="677" t="s">
        <v>119</v>
      </c>
      <c r="B5" s="675"/>
      <c r="C5" s="675"/>
      <c r="D5" s="675"/>
      <c r="E5" s="675"/>
      <c r="F5" s="675"/>
      <c r="G5" s="675"/>
      <c r="H5" s="675"/>
      <c r="I5" s="675"/>
      <c r="J5" s="675"/>
      <c r="K5" s="675"/>
      <c r="L5" s="675"/>
      <c r="M5" s="675"/>
      <c r="N5" s="675"/>
      <c r="O5" s="675"/>
      <c r="P5" s="675"/>
      <c r="Q5" s="257" t="s">
        <v>0</v>
      </c>
      <c r="R5" s="49"/>
      <c r="S5" s="49"/>
      <c r="T5" s="257"/>
    </row>
    <row r="6" spans="1:20">
      <c r="Q6" s="257" t="s">
        <v>0</v>
      </c>
      <c r="T6" s="257"/>
    </row>
    <row r="7" spans="1:20" ht="13.5" thickBot="1">
      <c r="Q7" s="257" t="s">
        <v>0</v>
      </c>
      <c r="T7" s="257"/>
    </row>
    <row r="8" spans="1:20" ht="37.5" customHeight="1">
      <c r="A8" s="261"/>
      <c r="B8" s="262"/>
      <c r="C8" s="678" t="s">
        <v>195</v>
      </c>
      <c r="D8" s="679"/>
      <c r="E8" s="263"/>
      <c r="F8" s="678" t="s">
        <v>188</v>
      </c>
      <c r="G8" s="679"/>
      <c r="H8" s="263"/>
      <c r="I8" s="690" t="s">
        <v>170</v>
      </c>
      <c r="J8" s="679"/>
      <c r="K8" s="691">
        <v>2013</v>
      </c>
      <c r="L8" s="692"/>
      <c r="M8" s="692"/>
      <c r="N8" s="693"/>
      <c r="O8" s="690" t="s">
        <v>176</v>
      </c>
      <c r="P8" s="679"/>
      <c r="Q8" s="257" t="s">
        <v>0</v>
      </c>
      <c r="S8" s="264"/>
      <c r="T8" s="257"/>
    </row>
    <row r="9" spans="1:20" ht="14.25" customHeight="1">
      <c r="A9" s="262"/>
      <c r="B9" s="262"/>
      <c r="C9" s="680"/>
      <c r="D9" s="681"/>
      <c r="E9" s="263"/>
      <c r="F9" s="688"/>
      <c r="G9" s="689"/>
      <c r="H9" s="263"/>
      <c r="I9" s="688"/>
      <c r="J9" s="689"/>
      <c r="K9" s="694" t="s">
        <v>138</v>
      </c>
      <c r="L9" s="695"/>
      <c r="M9" s="685" t="s">
        <v>147</v>
      </c>
      <c r="N9" s="658"/>
      <c r="O9" s="688"/>
      <c r="P9" s="689"/>
      <c r="Q9" s="257" t="s">
        <v>0</v>
      </c>
      <c r="S9" s="264"/>
      <c r="T9" s="257"/>
    </row>
    <row r="10" spans="1:20" hidden="1">
      <c r="A10" s="686" t="s">
        <v>148</v>
      </c>
      <c r="B10" s="262"/>
      <c r="C10" s="265"/>
      <c r="D10" s="266"/>
      <c r="E10" s="267"/>
      <c r="F10" s="265"/>
      <c r="G10" s="266"/>
      <c r="H10" s="267"/>
      <c r="I10" s="265"/>
      <c r="J10" s="266"/>
      <c r="K10" s="265"/>
      <c r="L10" s="266"/>
      <c r="M10" s="268"/>
      <c r="N10" s="266"/>
      <c r="O10" s="265"/>
      <c r="P10" s="266"/>
      <c r="Q10" s="257" t="s">
        <v>0</v>
      </c>
      <c r="S10" s="268"/>
      <c r="T10" s="257"/>
    </row>
    <row r="11" spans="1:20" ht="25.5">
      <c r="A11" s="687"/>
      <c r="B11" s="262"/>
      <c r="C11" s="269" t="s">
        <v>149</v>
      </c>
      <c r="D11" s="270" t="s">
        <v>150</v>
      </c>
      <c r="E11" s="267"/>
      <c r="F11" s="269" t="s">
        <v>149</v>
      </c>
      <c r="G11" s="270" t="s">
        <v>150</v>
      </c>
      <c r="H11" s="267"/>
      <c r="I11" s="269" t="s">
        <v>149</v>
      </c>
      <c r="J11" s="270" t="s">
        <v>150</v>
      </c>
      <c r="K11" s="269" t="s">
        <v>149</v>
      </c>
      <c r="L11" s="270" t="s">
        <v>150</v>
      </c>
      <c r="M11" s="269" t="s">
        <v>149</v>
      </c>
      <c r="N11" s="270" t="s">
        <v>150</v>
      </c>
      <c r="O11" s="269" t="s">
        <v>149</v>
      </c>
      <c r="P11" s="270" t="s">
        <v>150</v>
      </c>
      <c r="Q11" s="257" t="s">
        <v>0</v>
      </c>
      <c r="S11" s="271"/>
      <c r="T11" s="257"/>
    </row>
    <row r="12" spans="1:20" hidden="1">
      <c r="A12" s="272"/>
      <c r="B12" s="262"/>
      <c r="C12" s="273"/>
      <c r="D12" s="274"/>
      <c r="E12" s="275"/>
      <c r="F12" s="273"/>
      <c r="G12" s="274"/>
      <c r="H12" s="275"/>
      <c r="I12" s="273"/>
      <c r="J12" s="274"/>
      <c r="K12" s="273"/>
      <c r="L12" s="276"/>
      <c r="M12" s="277"/>
      <c r="N12" s="274"/>
      <c r="O12" s="273"/>
      <c r="P12" s="274"/>
      <c r="Q12" s="257" t="s">
        <v>0</v>
      </c>
      <c r="S12" s="278"/>
      <c r="T12" s="257"/>
    </row>
    <row r="13" spans="1:20" ht="25.5" hidden="1">
      <c r="A13" s="412" t="s">
        <v>206</v>
      </c>
      <c r="B13" s="262"/>
      <c r="C13" s="273"/>
      <c r="D13" s="280"/>
      <c r="E13" s="275"/>
      <c r="F13" s="273"/>
      <c r="G13" s="280"/>
      <c r="H13" s="275"/>
      <c r="I13" s="273"/>
      <c r="J13" s="280"/>
      <c r="K13" s="273"/>
      <c r="L13" s="276"/>
      <c r="M13" s="273"/>
      <c r="N13" s="280"/>
      <c r="O13" s="273"/>
      <c r="P13" s="280"/>
      <c r="Q13" s="257" t="s">
        <v>0</v>
      </c>
      <c r="S13" s="281"/>
      <c r="T13" s="257"/>
    </row>
    <row r="14" spans="1:20" hidden="1">
      <c r="A14" s="414" t="s">
        <v>151</v>
      </c>
      <c r="B14" s="262"/>
      <c r="C14" s="273"/>
      <c r="D14" s="280"/>
      <c r="E14" s="275"/>
      <c r="F14" s="273"/>
      <c r="G14" s="280"/>
      <c r="H14" s="275"/>
      <c r="I14" s="273">
        <f>+F14+C14</f>
        <v>0</v>
      </c>
      <c r="J14" s="274">
        <f>+G14+D14</f>
        <v>0</v>
      </c>
      <c r="K14" s="273"/>
      <c r="L14" s="276"/>
      <c r="M14" s="273"/>
      <c r="N14" s="280"/>
      <c r="O14" s="273">
        <f t="shared" ref="O14:P16" si="0">+I14+K14+M14</f>
        <v>0</v>
      </c>
      <c r="P14" s="274">
        <f t="shared" si="0"/>
        <v>0</v>
      </c>
      <c r="Q14" s="257" t="s">
        <v>0</v>
      </c>
      <c r="S14" s="281"/>
      <c r="T14" s="257"/>
    </row>
    <row r="15" spans="1:20" hidden="1">
      <c r="A15" s="413" t="s">
        <v>197</v>
      </c>
      <c r="B15" s="262"/>
      <c r="C15" s="273"/>
      <c r="D15" s="280"/>
      <c r="E15" s="275"/>
      <c r="F15" s="273"/>
      <c r="G15" s="280"/>
      <c r="H15" s="275"/>
      <c r="I15" s="273">
        <f t="shared" ref="I15:J16" si="1">+F15+C15</f>
        <v>0</v>
      </c>
      <c r="J15" s="274">
        <f t="shared" si="1"/>
        <v>0</v>
      </c>
      <c r="K15" s="273"/>
      <c r="L15" s="276"/>
      <c r="M15" s="273"/>
      <c r="N15" s="280"/>
      <c r="O15" s="273">
        <f t="shared" si="0"/>
        <v>0</v>
      </c>
      <c r="P15" s="274">
        <f t="shared" si="0"/>
        <v>0</v>
      </c>
      <c r="Q15" s="257" t="s">
        <v>0</v>
      </c>
      <c r="S15" s="281"/>
      <c r="T15" s="257"/>
    </row>
    <row r="16" spans="1:20" ht="13.5" hidden="1" customHeight="1">
      <c r="A16" s="414" t="s">
        <v>198</v>
      </c>
      <c r="B16" s="282"/>
      <c r="C16" s="417"/>
      <c r="D16" s="418"/>
      <c r="E16" s="283"/>
      <c r="F16" s="417"/>
      <c r="G16" s="418"/>
      <c r="H16" s="284"/>
      <c r="I16" s="273">
        <f t="shared" si="1"/>
        <v>0</v>
      </c>
      <c r="J16" s="274">
        <f t="shared" si="1"/>
        <v>0</v>
      </c>
      <c r="K16" s="417"/>
      <c r="L16" s="419"/>
      <c r="M16" s="417"/>
      <c r="N16" s="418"/>
      <c r="O16" s="417">
        <f t="shared" si="0"/>
        <v>0</v>
      </c>
      <c r="P16" s="418">
        <f t="shared" si="0"/>
        <v>0</v>
      </c>
      <c r="Q16" s="257" t="s">
        <v>0</v>
      </c>
      <c r="S16" s="285"/>
      <c r="T16" s="257"/>
    </row>
    <row r="17" spans="1:20" s="287" customFormat="1" hidden="1">
      <c r="A17" s="415" t="s">
        <v>152</v>
      </c>
      <c r="B17" s="279"/>
      <c r="C17" s="292">
        <f>SUM(C14:C16)</f>
        <v>0</v>
      </c>
      <c r="D17" s="420">
        <f>SUM(D14:D16)</f>
        <v>0</v>
      </c>
      <c r="E17" s="421"/>
      <c r="F17" s="292">
        <f>SUM(F14:F16)</f>
        <v>0</v>
      </c>
      <c r="G17" s="420">
        <f>SUM(G14:G16)</f>
        <v>0</v>
      </c>
      <c r="H17" s="422"/>
      <c r="I17" s="292">
        <f t="shared" ref="I17:P17" si="2">SUM(I14:I16)</f>
        <v>0</v>
      </c>
      <c r="J17" s="420">
        <f t="shared" si="2"/>
        <v>0</v>
      </c>
      <c r="K17" s="292">
        <f t="shared" si="2"/>
        <v>0</v>
      </c>
      <c r="L17" s="420">
        <f t="shared" si="2"/>
        <v>0</v>
      </c>
      <c r="M17" s="292">
        <f t="shared" si="2"/>
        <v>0</v>
      </c>
      <c r="N17" s="420">
        <f t="shared" si="2"/>
        <v>0</v>
      </c>
      <c r="O17" s="292">
        <f t="shared" si="2"/>
        <v>0</v>
      </c>
      <c r="P17" s="420">
        <f t="shared" si="2"/>
        <v>0</v>
      </c>
      <c r="Q17" s="257" t="s">
        <v>0</v>
      </c>
      <c r="R17" s="259"/>
      <c r="S17" s="286"/>
      <c r="T17" s="257"/>
    </row>
    <row r="18" spans="1:20" hidden="1">
      <c r="A18" s="416"/>
      <c r="B18" s="262"/>
      <c r="C18" s="273"/>
      <c r="D18" s="274"/>
      <c r="E18" s="288"/>
      <c r="F18" s="273"/>
      <c r="G18" s="274"/>
      <c r="H18" s="288"/>
      <c r="I18" s="273"/>
      <c r="J18" s="274"/>
      <c r="K18" s="273"/>
      <c r="L18" s="276"/>
      <c r="M18" s="273"/>
      <c r="N18" s="274"/>
      <c r="O18" s="273"/>
      <c r="P18" s="274"/>
      <c r="Q18" s="257" t="s">
        <v>0</v>
      </c>
      <c r="S18" s="278"/>
      <c r="T18" s="257"/>
    </row>
    <row r="19" spans="1:20" ht="25.5" hidden="1">
      <c r="A19" s="412" t="s">
        <v>207</v>
      </c>
      <c r="B19" s="262"/>
      <c r="C19" s="273"/>
      <c r="D19" s="274"/>
      <c r="E19" s="289"/>
      <c r="F19" s="273"/>
      <c r="G19" s="274"/>
      <c r="H19" s="289"/>
      <c r="I19" s="273"/>
      <c r="J19" s="274"/>
      <c r="K19" s="273"/>
      <c r="L19" s="276"/>
      <c r="M19" s="273"/>
      <c r="N19" s="274"/>
      <c r="O19" s="290"/>
      <c r="P19" s="291"/>
      <c r="Q19" s="257" t="s">
        <v>0</v>
      </c>
      <c r="S19" s="278"/>
      <c r="T19" s="257"/>
    </row>
    <row r="20" spans="1:20" hidden="1">
      <c r="A20" s="414" t="s">
        <v>199</v>
      </c>
      <c r="B20" s="262"/>
      <c r="C20" s="273"/>
      <c r="D20" s="274"/>
      <c r="E20" s="289"/>
      <c r="F20" s="273"/>
      <c r="G20" s="274"/>
      <c r="H20" s="289"/>
      <c r="I20" s="273">
        <f t="shared" ref="I20:J25" si="3">+F20+C20</f>
        <v>0</v>
      </c>
      <c r="J20" s="274">
        <f t="shared" si="3"/>
        <v>0</v>
      </c>
      <c r="K20" s="273"/>
      <c r="L20" s="276"/>
      <c r="M20" s="273"/>
      <c r="N20" s="274"/>
      <c r="O20" s="273">
        <f t="shared" ref="O20:P25" si="4">+I20+K20+M20</f>
        <v>0</v>
      </c>
      <c r="P20" s="274">
        <f t="shared" si="4"/>
        <v>0</v>
      </c>
      <c r="Q20" s="257" t="s">
        <v>0</v>
      </c>
      <c r="S20" s="278"/>
      <c r="T20" s="257"/>
    </row>
    <row r="21" spans="1:20" ht="31.5" hidden="1" customHeight="1">
      <c r="A21" s="413" t="s">
        <v>204</v>
      </c>
      <c r="B21" s="262"/>
      <c r="C21" s="273"/>
      <c r="D21" s="274"/>
      <c r="E21" s="289"/>
      <c r="F21" s="273"/>
      <c r="G21" s="274"/>
      <c r="H21" s="289"/>
      <c r="I21" s="273">
        <f t="shared" si="3"/>
        <v>0</v>
      </c>
      <c r="J21" s="274">
        <f t="shared" si="3"/>
        <v>0</v>
      </c>
      <c r="K21" s="273"/>
      <c r="L21" s="276"/>
      <c r="M21" s="273"/>
      <c r="N21" s="274"/>
      <c r="O21" s="273">
        <f t="shared" si="4"/>
        <v>0</v>
      </c>
      <c r="P21" s="274">
        <f t="shared" si="4"/>
        <v>0</v>
      </c>
      <c r="Q21" s="257" t="s">
        <v>0</v>
      </c>
      <c r="S21" s="278"/>
      <c r="T21" s="257"/>
    </row>
    <row r="22" spans="1:20" ht="25.5" hidden="1">
      <c r="A22" s="413" t="s">
        <v>203</v>
      </c>
      <c r="B22" s="262"/>
      <c r="C22" s="273"/>
      <c r="D22" s="274"/>
      <c r="E22" s="289"/>
      <c r="F22" s="273"/>
      <c r="G22" s="274"/>
      <c r="H22" s="289"/>
      <c r="I22" s="273">
        <f t="shared" si="3"/>
        <v>0</v>
      </c>
      <c r="J22" s="274">
        <f t="shared" si="3"/>
        <v>0</v>
      </c>
      <c r="K22" s="273"/>
      <c r="L22" s="276"/>
      <c r="M22" s="273"/>
      <c r="N22" s="274"/>
      <c r="O22" s="273">
        <f t="shared" si="4"/>
        <v>0</v>
      </c>
      <c r="P22" s="274">
        <f t="shared" si="4"/>
        <v>0</v>
      </c>
      <c r="Q22" s="257" t="s">
        <v>0</v>
      </c>
      <c r="S22" s="278"/>
      <c r="T22" s="257"/>
    </row>
    <row r="23" spans="1:20" hidden="1">
      <c r="A23" s="413" t="s">
        <v>200</v>
      </c>
      <c r="B23" s="262"/>
      <c r="C23" s="273"/>
      <c r="D23" s="274"/>
      <c r="E23" s="289"/>
      <c r="F23" s="273"/>
      <c r="G23" s="274"/>
      <c r="H23" s="289"/>
      <c r="I23" s="273">
        <f t="shared" si="3"/>
        <v>0</v>
      </c>
      <c r="J23" s="274">
        <f t="shared" si="3"/>
        <v>0</v>
      </c>
      <c r="K23" s="273"/>
      <c r="L23" s="276"/>
      <c r="M23" s="273"/>
      <c r="N23" s="274"/>
      <c r="O23" s="273">
        <f t="shared" si="4"/>
        <v>0</v>
      </c>
      <c r="P23" s="274">
        <f t="shared" si="4"/>
        <v>0</v>
      </c>
      <c r="Q23" s="257" t="s">
        <v>0</v>
      </c>
      <c r="S23" s="278"/>
      <c r="T23" s="257"/>
    </row>
    <row r="24" spans="1:20" hidden="1">
      <c r="A24" s="414" t="s">
        <v>201</v>
      </c>
      <c r="B24" s="262"/>
      <c r="C24" s="273"/>
      <c r="D24" s="274"/>
      <c r="E24" s="289"/>
      <c r="F24" s="273"/>
      <c r="G24" s="274"/>
      <c r="H24" s="289"/>
      <c r="I24" s="273">
        <f t="shared" si="3"/>
        <v>0</v>
      </c>
      <c r="J24" s="274">
        <f t="shared" si="3"/>
        <v>0</v>
      </c>
      <c r="K24" s="273"/>
      <c r="L24" s="276"/>
      <c r="M24" s="273"/>
      <c r="N24" s="274"/>
      <c r="O24" s="273">
        <f t="shared" si="4"/>
        <v>0</v>
      </c>
      <c r="P24" s="274">
        <f t="shared" si="4"/>
        <v>0</v>
      </c>
      <c r="Q24" s="257" t="s">
        <v>0</v>
      </c>
      <c r="S24" s="278"/>
      <c r="T24" s="257"/>
    </row>
    <row r="25" spans="1:20" hidden="1">
      <c r="A25" s="413" t="s">
        <v>202</v>
      </c>
      <c r="B25" s="262"/>
      <c r="C25" s="273"/>
      <c r="D25" s="274"/>
      <c r="E25" s="289"/>
      <c r="F25" s="273"/>
      <c r="G25" s="274"/>
      <c r="H25" s="289"/>
      <c r="I25" s="273">
        <f t="shared" si="3"/>
        <v>0</v>
      </c>
      <c r="J25" s="274">
        <f t="shared" si="3"/>
        <v>0</v>
      </c>
      <c r="K25" s="273"/>
      <c r="L25" s="276"/>
      <c r="M25" s="273"/>
      <c r="N25" s="274"/>
      <c r="O25" s="273">
        <f t="shared" si="4"/>
        <v>0</v>
      </c>
      <c r="P25" s="274">
        <f t="shared" si="4"/>
        <v>0</v>
      </c>
      <c r="Q25" s="257" t="s">
        <v>0</v>
      </c>
      <c r="R25" s="278"/>
      <c r="S25" s="278"/>
      <c r="T25" s="257"/>
    </row>
    <row r="26" spans="1:20" hidden="1">
      <c r="A26" s="415" t="s">
        <v>153</v>
      </c>
      <c r="B26" s="279"/>
      <c r="C26" s="292">
        <f>SUM(C20:C25)</f>
        <v>0</v>
      </c>
      <c r="D26" s="420">
        <f>SUM(D20:D25)</f>
        <v>0</v>
      </c>
      <c r="E26" s="423"/>
      <c r="F26" s="292">
        <f>SUM(F20:F25)</f>
        <v>0</v>
      </c>
      <c r="G26" s="420">
        <f>SUM(G20:G25)</f>
        <v>0</v>
      </c>
      <c r="H26" s="424"/>
      <c r="I26" s="292">
        <f t="shared" ref="I26:P26" si="5">SUM(I20:I25)</f>
        <v>0</v>
      </c>
      <c r="J26" s="420">
        <f t="shared" si="5"/>
        <v>0</v>
      </c>
      <c r="K26" s="292">
        <f t="shared" si="5"/>
        <v>0</v>
      </c>
      <c r="L26" s="425">
        <f t="shared" si="5"/>
        <v>0</v>
      </c>
      <c r="M26" s="292">
        <f t="shared" si="5"/>
        <v>0</v>
      </c>
      <c r="N26" s="420">
        <f t="shared" si="5"/>
        <v>0</v>
      </c>
      <c r="O26" s="292">
        <f t="shared" si="5"/>
        <v>0</v>
      </c>
      <c r="P26" s="420">
        <f t="shared" si="5"/>
        <v>0</v>
      </c>
      <c r="Q26" s="257" t="s">
        <v>0</v>
      </c>
      <c r="R26" s="286"/>
      <c r="S26" s="286"/>
      <c r="T26" s="257"/>
    </row>
    <row r="27" spans="1:20">
      <c r="A27" s="416"/>
      <c r="B27" s="262"/>
      <c r="C27" s="273"/>
      <c r="D27" s="274"/>
      <c r="E27" s="262"/>
      <c r="F27" s="273"/>
      <c r="G27" s="274"/>
      <c r="H27" s="262"/>
      <c r="I27" s="273"/>
      <c r="J27" s="274"/>
      <c r="K27" s="273"/>
      <c r="L27" s="276"/>
      <c r="M27" s="273"/>
      <c r="N27" s="274"/>
      <c r="O27" s="273"/>
      <c r="P27" s="274"/>
      <c r="Q27" s="257" t="s">
        <v>0</v>
      </c>
      <c r="R27" s="278"/>
      <c r="S27" s="278"/>
      <c r="T27" s="257"/>
    </row>
    <row r="28" spans="1:20" ht="39" customHeight="1">
      <c r="A28" s="412" t="s">
        <v>208</v>
      </c>
      <c r="B28" s="262"/>
      <c r="C28" s="273"/>
      <c r="D28" s="274"/>
      <c r="E28" s="275"/>
      <c r="F28" s="273"/>
      <c r="G28" s="274"/>
      <c r="H28" s="275"/>
      <c r="I28" s="273"/>
      <c r="J28" s="274"/>
      <c r="K28" s="273"/>
      <c r="L28" s="276"/>
      <c r="M28" s="273"/>
      <c r="N28" s="274"/>
      <c r="O28" s="273"/>
      <c r="P28" s="274"/>
      <c r="Q28" s="257" t="s">
        <v>0</v>
      </c>
      <c r="R28" s="278"/>
      <c r="S28" s="278"/>
      <c r="T28" s="257"/>
    </row>
    <row r="29" spans="1:20" ht="25.5">
      <c r="A29" s="495" t="s">
        <v>229</v>
      </c>
      <c r="B29" s="262"/>
      <c r="C29" s="273"/>
      <c r="D29" s="274"/>
      <c r="E29" s="275"/>
      <c r="F29" s="273"/>
      <c r="G29" s="274"/>
      <c r="H29" s="275"/>
      <c r="I29" s="273">
        <v>4</v>
      </c>
      <c r="J29" s="274">
        <v>1086</v>
      </c>
      <c r="K29" s="273">
        <v>3</v>
      </c>
      <c r="L29" s="276">
        <v>707</v>
      </c>
      <c r="M29" s="273"/>
      <c r="N29" s="274"/>
      <c r="O29" s="273">
        <f t="shared" ref="O29:P32" si="6">+I29+K29+M29</f>
        <v>7</v>
      </c>
      <c r="P29" s="274">
        <f t="shared" si="6"/>
        <v>1793</v>
      </c>
      <c r="Q29" s="257" t="s">
        <v>0</v>
      </c>
      <c r="R29" s="278"/>
      <c r="S29" s="278"/>
      <c r="T29" s="257"/>
    </row>
    <row r="30" spans="1:20" ht="38.25" hidden="1">
      <c r="A30" s="495" t="s">
        <v>230</v>
      </c>
      <c r="B30" s="262"/>
      <c r="C30" s="273"/>
      <c r="D30" s="274"/>
      <c r="E30" s="275"/>
      <c r="F30" s="273"/>
      <c r="G30" s="274"/>
      <c r="H30" s="275"/>
      <c r="I30" s="273">
        <f t="shared" ref="I30:J32" si="7">+F30+C30</f>
        <v>0</v>
      </c>
      <c r="J30" s="274">
        <f t="shared" si="7"/>
        <v>0</v>
      </c>
      <c r="K30" s="273"/>
      <c r="L30" s="276"/>
      <c r="M30" s="273"/>
      <c r="N30" s="274"/>
      <c r="O30" s="273">
        <f t="shared" si="6"/>
        <v>0</v>
      </c>
      <c r="P30" s="274">
        <f t="shared" si="6"/>
        <v>0</v>
      </c>
      <c r="Q30" s="257" t="s">
        <v>0</v>
      </c>
      <c r="R30" s="278"/>
      <c r="S30" s="278"/>
      <c r="T30" s="257"/>
    </row>
    <row r="31" spans="1:20" ht="42" hidden="1" customHeight="1">
      <c r="A31" s="413" t="s">
        <v>205</v>
      </c>
      <c r="B31" s="262"/>
      <c r="C31" s="273"/>
      <c r="D31" s="274"/>
      <c r="E31" s="275"/>
      <c r="F31" s="273"/>
      <c r="G31" s="274"/>
      <c r="H31" s="275"/>
      <c r="I31" s="273">
        <f t="shared" si="7"/>
        <v>0</v>
      </c>
      <c r="J31" s="274">
        <f t="shared" si="7"/>
        <v>0</v>
      </c>
      <c r="K31" s="273"/>
      <c r="L31" s="276"/>
      <c r="M31" s="273"/>
      <c r="N31" s="274"/>
      <c r="O31" s="273">
        <f t="shared" si="6"/>
        <v>0</v>
      </c>
      <c r="P31" s="274">
        <f t="shared" si="6"/>
        <v>0</v>
      </c>
      <c r="Q31" s="257" t="s">
        <v>0</v>
      </c>
      <c r="R31" s="278"/>
      <c r="S31" s="278"/>
      <c r="T31" s="257"/>
    </row>
    <row r="32" spans="1:20" ht="25.5" hidden="1">
      <c r="A32" s="495" t="s">
        <v>231</v>
      </c>
      <c r="B32" s="262"/>
      <c r="C32" s="273"/>
      <c r="D32" s="274"/>
      <c r="E32" s="275"/>
      <c r="F32" s="273"/>
      <c r="G32" s="274"/>
      <c r="H32" s="275"/>
      <c r="I32" s="426">
        <f t="shared" si="7"/>
        <v>0</v>
      </c>
      <c r="J32" s="427">
        <f t="shared" si="7"/>
        <v>0</v>
      </c>
      <c r="K32" s="273"/>
      <c r="L32" s="276"/>
      <c r="M32" s="273"/>
      <c r="N32" s="274"/>
      <c r="O32" s="273">
        <f t="shared" si="6"/>
        <v>0</v>
      </c>
      <c r="P32" s="274">
        <f t="shared" si="6"/>
        <v>0</v>
      </c>
      <c r="Q32" s="257" t="s">
        <v>0</v>
      </c>
      <c r="R32" s="278"/>
      <c r="S32" s="278"/>
      <c r="T32" s="257"/>
    </row>
    <row r="33" spans="1:20">
      <c r="A33" s="415" t="s">
        <v>154</v>
      </c>
      <c r="B33" s="279"/>
      <c r="C33" s="292">
        <f>SUM(C29:C32)</f>
        <v>0</v>
      </c>
      <c r="D33" s="420">
        <f>SUM(D29:D32)</f>
        <v>0</v>
      </c>
      <c r="E33" s="421"/>
      <c r="F33" s="292">
        <f>SUM(F29:F32)</f>
        <v>0</v>
      </c>
      <c r="G33" s="420">
        <f>SUM(G29:G32)</f>
        <v>0</v>
      </c>
      <c r="H33" s="422"/>
      <c r="I33" s="292">
        <f t="shared" ref="I33:P33" si="8">SUM(I29:I32)</f>
        <v>4</v>
      </c>
      <c r="J33" s="420">
        <f t="shared" si="8"/>
        <v>1086</v>
      </c>
      <c r="K33" s="292">
        <f t="shared" si="8"/>
        <v>3</v>
      </c>
      <c r="L33" s="425">
        <f t="shared" si="8"/>
        <v>707</v>
      </c>
      <c r="M33" s="292">
        <f t="shared" si="8"/>
        <v>0</v>
      </c>
      <c r="N33" s="420">
        <f t="shared" si="8"/>
        <v>0</v>
      </c>
      <c r="O33" s="292">
        <f t="shared" si="8"/>
        <v>7</v>
      </c>
      <c r="P33" s="420">
        <f t="shared" si="8"/>
        <v>1793</v>
      </c>
      <c r="Q33" s="257" t="s">
        <v>0</v>
      </c>
      <c r="R33" s="286"/>
      <c r="S33" s="286"/>
      <c r="T33" s="257"/>
    </row>
    <row r="34" spans="1:20">
      <c r="A34" s="504"/>
      <c r="B34" s="503"/>
      <c r="C34" s="502"/>
      <c r="D34" s="502"/>
      <c r="E34" s="501"/>
      <c r="F34" s="502"/>
      <c r="G34" s="502"/>
      <c r="H34" s="501"/>
      <c r="I34" s="502"/>
      <c r="J34" s="502"/>
      <c r="K34" s="502"/>
      <c r="L34" s="502"/>
      <c r="M34" s="500"/>
      <c r="N34" s="502"/>
      <c r="O34" s="502"/>
      <c r="P34" s="502"/>
      <c r="Q34" s="257"/>
      <c r="R34" s="286"/>
      <c r="S34" s="286"/>
      <c r="T34" s="257"/>
    </row>
    <row r="35" spans="1:20">
      <c r="A35" s="486" t="s">
        <v>228</v>
      </c>
      <c r="B35" s="503"/>
      <c r="C35" s="292">
        <f>554+97</f>
        <v>651</v>
      </c>
      <c r="D35" s="420">
        <v>118251</v>
      </c>
      <c r="E35" s="501"/>
      <c r="F35" s="292">
        <f>557+90</f>
        <v>647</v>
      </c>
      <c r="G35" s="420">
        <v>110822</v>
      </c>
      <c r="H35" s="501"/>
      <c r="I35" s="292">
        <f>657-4</f>
        <v>653</v>
      </c>
      <c r="J35" s="420">
        <v>125902</v>
      </c>
      <c r="K35" s="292"/>
      <c r="L35" s="420"/>
      <c r="M35" s="292"/>
      <c r="N35" s="420">
        <v>-28</v>
      </c>
      <c r="O35" s="292">
        <f>+I35+K35+M35</f>
        <v>653</v>
      </c>
      <c r="P35" s="420">
        <f>+J35+L35+N35</f>
        <v>125874</v>
      </c>
      <c r="Q35" s="257"/>
      <c r="R35" s="286"/>
      <c r="S35" s="286"/>
      <c r="T35" s="257"/>
    </row>
    <row r="36" spans="1:20" ht="13.5" thickBot="1">
      <c r="A36" s="262"/>
      <c r="B36" s="262"/>
      <c r="C36" s="262"/>
      <c r="D36" s="262"/>
      <c r="E36" s="262"/>
      <c r="F36" s="262"/>
      <c r="G36" s="262"/>
      <c r="H36" s="262"/>
      <c r="I36" s="262"/>
      <c r="J36" s="262"/>
      <c r="K36" s="293"/>
      <c r="L36" s="293"/>
      <c r="M36" s="499"/>
      <c r="N36" s="262"/>
      <c r="O36" s="262"/>
      <c r="P36" s="262"/>
      <c r="Q36" s="257" t="s">
        <v>0</v>
      </c>
      <c r="R36" s="278"/>
      <c r="S36" s="278"/>
      <c r="T36" s="257"/>
    </row>
    <row r="37" spans="1:20" s="298" customFormat="1" ht="18.75" customHeight="1" thickBot="1">
      <c r="A37" s="294" t="s">
        <v>155</v>
      </c>
      <c r="B37" s="295"/>
      <c r="C37" s="557">
        <f>+C33+C35</f>
        <v>651</v>
      </c>
      <c r="D37" s="558">
        <f>+D33+D35</f>
        <v>118251</v>
      </c>
      <c r="E37" s="559"/>
      <c r="F37" s="557">
        <f>+F33+F35</f>
        <v>647</v>
      </c>
      <c r="G37" s="558">
        <f>+G33+G35</f>
        <v>110822</v>
      </c>
      <c r="H37" s="559"/>
      <c r="I37" s="557">
        <f t="shared" ref="I37:P37" si="9">+I33+I35</f>
        <v>657</v>
      </c>
      <c r="J37" s="558">
        <f t="shared" si="9"/>
        <v>126988</v>
      </c>
      <c r="K37" s="557">
        <f t="shared" si="9"/>
        <v>3</v>
      </c>
      <c r="L37" s="558">
        <f t="shared" si="9"/>
        <v>707</v>
      </c>
      <c r="M37" s="557">
        <f t="shared" si="9"/>
        <v>0</v>
      </c>
      <c r="N37" s="558">
        <f t="shared" si="9"/>
        <v>-28</v>
      </c>
      <c r="O37" s="557">
        <f t="shared" si="9"/>
        <v>660</v>
      </c>
      <c r="P37" s="558">
        <f t="shared" si="9"/>
        <v>127667</v>
      </c>
      <c r="Q37" s="257" t="s">
        <v>20</v>
      </c>
      <c r="R37" s="296"/>
      <c r="S37" s="297"/>
      <c r="T37" s="257"/>
    </row>
    <row r="38" spans="1:20">
      <c r="A38" s="300"/>
      <c r="B38" s="300"/>
      <c r="C38" s="296"/>
      <c r="D38" s="297"/>
      <c r="E38" s="300"/>
      <c r="F38" s="296"/>
      <c r="G38" s="297"/>
      <c r="H38" s="300"/>
      <c r="I38" s="296"/>
      <c r="J38" s="297"/>
      <c r="K38" s="298"/>
      <c r="L38" s="298"/>
      <c r="M38" s="298"/>
      <c r="N38" s="298"/>
      <c r="O38" s="298"/>
      <c r="P38" s="298"/>
      <c r="Q38" s="298"/>
      <c r="R38" s="299"/>
      <c r="S38" s="299"/>
      <c r="T38" s="257"/>
    </row>
    <row r="39" spans="1:20">
      <c r="A39" s="300"/>
      <c r="B39" s="300"/>
      <c r="C39" s="296"/>
      <c r="D39" s="297"/>
      <c r="E39" s="300"/>
      <c r="F39" s="296"/>
      <c r="G39" s="297"/>
      <c r="H39" s="300"/>
      <c r="I39" s="296"/>
      <c r="J39" s="297"/>
      <c r="K39" s="298"/>
      <c r="L39" s="298"/>
      <c r="M39" s="298"/>
      <c r="N39" s="298"/>
      <c r="O39" s="298"/>
      <c r="P39" s="298"/>
      <c r="Q39" s="298"/>
      <c r="R39" s="299"/>
      <c r="S39" s="299"/>
      <c r="T39" s="257"/>
    </row>
    <row r="40" spans="1:20">
      <c r="A40" s="300"/>
      <c r="B40" s="300"/>
      <c r="C40" s="296"/>
      <c r="D40" s="297"/>
      <c r="E40" s="300"/>
      <c r="F40" s="296"/>
      <c r="G40" s="297"/>
      <c r="H40" s="300"/>
      <c r="I40" s="296"/>
      <c r="J40" s="297"/>
      <c r="K40" s="298"/>
      <c r="L40" s="298"/>
      <c r="M40" s="298"/>
      <c r="N40" s="298"/>
      <c r="O40" s="298"/>
      <c r="P40" s="298"/>
      <c r="Q40" s="298"/>
      <c r="R40" s="299"/>
      <c r="S40" s="299"/>
    </row>
    <row r="41" spans="1:20" ht="15">
      <c r="A41" s="682"/>
      <c r="B41" s="683"/>
      <c r="C41" s="683"/>
      <c r="D41" s="683"/>
      <c r="E41" s="683"/>
      <c r="F41" s="683"/>
      <c r="G41" s="683"/>
      <c r="H41" s="683"/>
      <c r="I41" s="683"/>
      <c r="J41" s="684"/>
      <c r="K41" s="684"/>
      <c r="L41" s="684"/>
      <c r="M41" s="684"/>
      <c r="N41" s="684"/>
      <c r="O41" s="684"/>
      <c r="P41" s="684"/>
      <c r="Q41" s="684"/>
      <c r="R41" s="684"/>
      <c r="S41" s="684"/>
    </row>
    <row r="42" spans="1:20" ht="15">
      <c r="A42" s="682"/>
      <c r="B42" s="683"/>
      <c r="C42" s="683"/>
      <c r="D42" s="683"/>
      <c r="E42" s="683"/>
      <c r="F42" s="683"/>
      <c r="G42" s="683"/>
      <c r="H42" s="683"/>
      <c r="I42" s="683"/>
      <c r="J42" s="684"/>
      <c r="K42" s="684"/>
      <c r="L42" s="684"/>
      <c r="M42" s="684"/>
      <c r="N42" s="684"/>
      <c r="O42" s="684"/>
      <c r="P42" s="684"/>
      <c r="Q42" s="684"/>
      <c r="R42" s="684"/>
      <c r="S42" s="684"/>
    </row>
    <row r="43" spans="1:20">
      <c r="S43" s="257"/>
    </row>
  </sheetData>
  <customSheetViews>
    <customSheetView guid="{3118AF25-8423-420A-806A-487665220C68}" scale="75" showPageBreaks="1" printArea="1" hiddenRows="1" view="pageBreakPreview" topLeftCell="A8">
      <selection activeCell="P43" sqref="P43"/>
      <pageMargins left="0.75" right="0.75" top="1" bottom="0.79" header="0.5" footer="0.5"/>
      <printOptions horizontalCentered="1"/>
      <pageSetup scale="54" orientation="landscape" r:id="rId1"/>
      <headerFooter alignWithMargins="0">
        <oddFooter>&amp;C&amp;"Times New Roman,Regular"Exhibit D - Resources by DOJ Strategic Goals &amp; Strategic Objectives</oddFooter>
      </headerFooter>
    </customSheetView>
    <customSheetView guid="{56C0A34E-45B4-448B-85E5-70B3A8E63333}" scale="75" showPageBreaks="1" printArea="1" hiddenRows="1" view="pageBreakPreview" topLeftCell="A7">
      <selection activeCell="F11" sqref="F11"/>
      <pageMargins left="0.75" right="0.75" top="1" bottom="0.79" header="0.5" footer="0.5"/>
      <printOptions horizontalCentered="1"/>
      <pageSetup scale="54" orientation="landscape" r:id="rId2"/>
      <headerFooter alignWithMargins="0">
        <oddFooter>&amp;C&amp;"Times New Roman,Regular"Exhibit D - Resources by DOJ Strategic Goals &amp; Strategic Objectives</oddFooter>
      </headerFooter>
    </customSheetView>
    <customSheetView guid="{4148B88B-8ED7-4FDE-9459-DEB244AD0552}" scale="75" showPageBreaks="1" printArea="1" hiddenRows="1" view="pageBreakPreview">
      <selection activeCell="D45" sqref="D45"/>
      <pageMargins left="0.75" right="0.75" top="1" bottom="0.79" header="0.5" footer="0.5"/>
      <printOptions horizontalCentered="1"/>
      <pageSetup scale="54" orientation="landscape" r:id="rId3"/>
      <headerFooter alignWithMargins="0">
        <oddFooter>&amp;C&amp;"Times New Roman,Regular"Exhibit D - Resources by DOJ Strategic Goals &amp; Strategic Objectives</oddFooter>
      </headerFooter>
    </customSheetView>
    <customSheetView guid="{12C66D54-5067-4346-818B-6EAB1C8A9183}" scale="70" showPageBreaks="1" printArea="1" hiddenRows="1" view="pageBreakPreview">
      <selection activeCell="J23" sqref="J23"/>
      <pageMargins left="0.75" right="0.75" top="1" bottom="0.79" header="0.5" footer="0.5"/>
      <printOptions horizontalCentered="1"/>
      <pageSetup scale="54" orientation="landscape" r:id="rId4"/>
      <headerFooter alignWithMargins="0">
        <oddFooter>&amp;C&amp;"Times New Roman,Regular"Exhibit D - Resources by DOJ Strategic Goals &amp; Strategic Objectives</oddFooter>
      </headerFooter>
    </customSheetView>
    <customSheetView guid="{87EA6C51-A281-4696-9262-A16F553E7025}" scale="70" showPageBreaks="1" printArea="1" hiddenRows="1" view="pageBreakPreview">
      <selection activeCell="J23" sqref="J23"/>
      <pageMargins left="0.75" right="0.75" top="1" bottom="0.79" header="0.5" footer="0.5"/>
      <printOptions horizontalCentered="1"/>
      <pageSetup scale="54" orientation="landscape" r:id="rId5"/>
      <headerFooter alignWithMargins="0">
        <oddFooter>&amp;C&amp;"Times New Roman,Regular"Exhibit D - Resources by DOJ Strategic Goals &amp; Strategic Objectives</oddFooter>
      </headerFooter>
    </customSheetView>
  </customSheetViews>
  <mergeCells count="14">
    <mergeCell ref="A42:S42"/>
    <mergeCell ref="M9:N9"/>
    <mergeCell ref="A10:A11"/>
    <mergeCell ref="F8:G9"/>
    <mergeCell ref="O8:P9"/>
    <mergeCell ref="K8:N8"/>
    <mergeCell ref="A41:S41"/>
    <mergeCell ref="K9:L9"/>
    <mergeCell ref="I8:J9"/>
    <mergeCell ref="A1:P1"/>
    <mergeCell ref="A3:P3"/>
    <mergeCell ref="A4:P4"/>
    <mergeCell ref="A5:P5"/>
    <mergeCell ref="C8:D9"/>
  </mergeCells>
  <printOptions horizontalCentered="1"/>
  <pageMargins left="0.75" right="0.75" top="1" bottom="0.79" header="0.5" footer="0.5"/>
  <pageSetup scale="54" orientation="landscape" r:id="rId6"/>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W36"/>
  <sheetViews>
    <sheetView view="pageBreakPreview" topLeftCell="A22" zoomScaleNormal="75" zoomScaleSheetLayoutView="100" workbookViewId="0">
      <selection sqref="A1:I1"/>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35" customWidth="1"/>
    <col min="8" max="8" width="7.77734375" style="35" customWidth="1"/>
    <col min="9" max="9" width="12.109375" style="35" customWidth="1"/>
  </cols>
  <sheetData>
    <row r="1" spans="1:23" ht="20.25">
      <c r="A1" s="715" t="s">
        <v>166</v>
      </c>
      <c r="B1" s="716"/>
      <c r="C1" s="716"/>
      <c r="D1" s="716"/>
      <c r="E1" s="716"/>
      <c r="F1" s="716"/>
      <c r="G1" s="716"/>
      <c r="H1" s="716"/>
      <c r="I1" s="716"/>
      <c r="J1" s="67" t="s">
        <v>0</v>
      </c>
    </row>
    <row r="2" spans="1:23" ht="15.75">
      <c r="A2" s="717" t="s">
        <v>136</v>
      </c>
      <c r="B2" s="717"/>
      <c r="C2" s="717"/>
      <c r="D2" s="717"/>
      <c r="E2" s="717"/>
      <c r="F2" s="717"/>
      <c r="G2" s="717"/>
      <c r="H2" s="717"/>
      <c r="I2" s="718"/>
      <c r="J2" s="67" t="s">
        <v>0</v>
      </c>
    </row>
    <row r="3" spans="1:23" ht="15" customHeight="1">
      <c r="A3" s="674" t="s">
        <v>113</v>
      </c>
      <c r="B3" s="675"/>
      <c r="C3" s="675"/>
      <c r="D3" s="675"/>
      <c r="E3" s="675"/>
      <c r="F3" s="675"/>
      <c r="G3" s="675"/>
      <c r="H3" s="675"/>
      <c r="I3" s="675"/>
      <c r="J3" s="67" t="s">
        <v>0</v>
      </c>
      <c r="K3" s="47"/>
      <c r="L3" s="47"/>
      <c r="M3" s="47"/>
      <c r="N3" s="47"/>
      <c r="O3" s="47"/>
      <c r="P3" s="47"/>
      <c r="Q3" s="47"/>
      <c r="R3" s="47"/>
      <c r="S3" s="47"/>
      <c r="T3" s="47"/>
      <c r="U3" s="47"/>
      <c r="V3" s="47"/>
      <c r="W3" s="47"/>
    </row>
    <row r="4" spans="1:23" ht="15.75">
      <c r="A4" s="676" t="str">
        <f>+'B. Summary of Requirements '!A5</f>
        <v>General Administration</v>
      </c>
      <c r="B4" s="675"/>
      <c r="C4" s="675"/>
      <c r="D4" s="675"/>
      <c r="E4" s="675"/>
      <c r="F4" s="675"/>
      <c r="G4" s="675"/>
      <c r="H4" s="675"/>
      <c r="I4" s="675"/>
      <c r="J4" s="67" t="s">
        <v>0</v>
      </c>
      <c r="K4" s="49"/>
      <c r="L4" s="47"/>
      <c r="M4" s="47"/>
      <c r="N4" s="47"/>
      <c r="O4" s="47"/>
      <c r="P4" s="47"/>
      <c r="Q4" s="47"/>
      <c r="R4" s="47"/>
      <c r="S4" s="47"/>
      <c r="T4" s="47"/>
      <c r="U4" s="47"/>
      <c r="V4" s="47"/>
      <c r="W4" s="47"/>
    </row>
    <row r="5" spans="1:23">
      <c r="A5" s="710"/>
      <c r="B5" s="710"/>
      <c r="C5" s="710"/>
      <c r="D5" s="710"/>
      <c r="E5" s="710"/>
      <c r="F5" s="710"/>
      <c r="G5" s="710"/>
      <c r="H5" s="710"/>
      <c r="I5" s="710"/>
      <c r="J5" s="67" t="s">
        <v>0</v>
      </c>
      <c r="K5" s="48"/>
      <c r="L5" s="47"/>
      <c r="M5" s="47"/>
      <c r="N5" s="47"/>
      <c r="O5" s="47"/>
      <c r="P5" s="47"/>
      <c r="Q5" s="47"/>
      <c r="R5" s="47"/>
      <c r="S5" s="47"/>
      <c r="T5" s="47"/>
      <c r="U5" s="47"/>
      <c r="V5" s="47"/>
      <c r="W5" s="47"/>
    </row>
    <row r="6" spans="1:23">
      <c r="A6" s="710"/>
      <c r="B6" s="710"/>
      <c r="C6" s="710"/>
      <c r="D6" s="710"/>
      <c r="E6" s="710"/>
      <c r="F6" s="710"/>
      <c r="G6" s="710"/>
      <c r="H6" s="710"/>
      <c r="I6" s="710"/>
      <c r="J6" s="67" t="s">
        <v>0</v>
      </c>
      <c r="K6" s="48"/>
      <c r="L6" s="47"/>
      <c r="M6" s="47"/>
      <c r="N6" s="47"/>
      <c r="O6" s="47"/>
      <c r="P6" s="47"/>
      <c r="Q6" s="47"/>
      <c r="R6" s="47"/>
      <c r="S6" s="47"/>
      <c r="T6" s="47"/>
      <c r="U6" s="47"/>
      <c r="V6" s="47"/>
      <c r="W6" s="47"/>
    </row>
    <row r="7" spans="1:23">
      <c r="A7" s="222"/>
      <c r="B7" s="47"/>
      <c r="C7" s="47"/>
      <c r="D7" s="47"/>
      <c r="E7" s="47"/>
      <c r="F7" s="47"/>
      <c r="G7" s="218" t="s">
        <v>115</v>
      </c>
      <c r="H7" s="218" t="s">
        <v>37</v>
      </c>
      <c r="I7" s="218" t="s">
        <v>137</v>
      </c>
      <c r="J7" s="67" t="s">
        <v>0</v>
      </c>
      <c r="K7" s="48"/>
      <c r="L7" s="47"/>
      <c r="M7" s="47"/>
      <c r="N7" s="47"/>
      <c r="O7" s="47"/>
      <c r="P7" s="47"/>
      <c r="Q7" s="47"/>
      <c r="R7" s="47"/>
      <c r="S7" s="47"/>
      <c r="T7" s="47"/>
      <c r="U7" s="47"/>
      <c r="V7" s="47"/>
      <c r="W7" s="47"/>
    </row>
    <row r="8" spans="1:23">
      <c r="A8" s="712" t="s">
        <v>41</v>
      </c>
      <c r="B8" s="675"/>
      <c r="C8" s="675"/>
      <c r="D8" s="675"/>
      <c r="E8" s="675"/>
      <c r="F8" s="675"/>
      <c r="G8" s="675"/>
      <c r="H8" s="675"/>
      <c r="I8" s="675"/>
      <c r="J8" s="67" t="s">
        <v>0</v>
      </c>
      <c r="K8" s="48"/>
      <c r="L8" s="48"/>
      <c r="M8" s="48"/>
    </row>
    <row r="9" spans="1:23">
      <c r="A9" s="48"/>
      <c r="B9" s="48"/>
      <c r="C9" s="48"/>
      <c r="D9" s="48"/>
      <c r="E9" s="48"/>
      <c r="F9" s="48"/>
      <c r="G9" s="218"/>
      <c r="H9" s="218"/>
      <c r="I9" s="218"/>
      <c r="J9" s="67" t="s">
        <v>0</v>
      </c>
      <c r="K9" s="48"/>
    </row>
    <row r="10" spans="1:23" s="490" customFormat="1" ht="26.25" customHeight="1">
      <c r="A10" s="713" t="s">
        <v>282</v>
      </c>
      <c r="B10" s="714"/>
      <c r="C10" s="714"/>
      <c r="D10" s="714"/>
      <c r="E10" s="714"/>
      <c r="F10" s="714"/>
      <c r="G10" s="505" t="s">
        <v>136</v>
      </c>
      <c r="H10" s="505" t="s">
        <v>136</v>
      </c>
      <c r="I10" s="506">
        <v>433000</v>
      </c>
      <c r="J10" s="67" t="s">
        <v>0</v>
      </c>
      <c r="K10" s="488"/>
    </row>
    <row r="11" spans="1:23" s="137" customFormat="1" ht="26.25" customHeight="1">
      <c r="A11" s="713" t="s">
        <v>232</v>
      </c>
      <c r="B11" s="714"/>
      <c r="C11" s="714"/>
      <c r="D11" s="714"/>
      <c r="E11" s="714"/>
      <c r="F11" s="714"/>
      <c r="G11" s="505">
        <v>18</v>
      </c>
      <c r="H11" s="505">
        <v>18</v>
      </c>
      <c r="I11" s="506">
        <v>4364000</v>
      </c>
      <c r="J11" s="67" t="s">
        <v>0</v>
      </c>
      <c r="K11" s="48"/>
    </row>
    <row r="12" spans="1:23" s="137" customFormat="1" ht="24" customHeight="1">
      <c r="A12" s="713" t="s">
        <v>233</v>
      </c>
      <c r="B12" s="714"/>
      <c r="C12" s="714"/>
      <c r="D12" s="714"/>
      <c r="E12" s="714"/>
      <c r="F12" s="714"/>
      <c r="G12" s="505">
        <v>43</v>
      </c>
      <c r="H12" s="505">
        <v>43</v>
      </c>
      <c r="I12" s="506">
        <v>6188000</v>
      </c>
      <c r="J12" s="67" t="s">
        <v>0</v>
      </c>
      <c r="K12" s="48"/>
    </row>
    <row r="13" spans="1:23" s="137" customFormat="1" ht="25.9" customHeight="1">
      <c r="A13" s="713" t="s">
        <v>234</v>
      </c>
      <c r="B13" s="714"/>
      <c r="C13" s="714"/>
      <c r="D13" s="714"/>
      <c r="E13" s="714"/>
      <c r="F13" s="714"/>
      <c r="G13" s="505">
        <v>3</v>
      </c>
      <c r="H13" s="505">
        <v>3</v>
      </c>
      <c r="I13" s="506">
        <v>795000</v>
      </c>
      <c r="J13" s="67" t="s">
        <v>0</v>
      </c>
      <c r="K13" s="48"/>
    </row>
    <row r="14" spans="1:23" s="490" customFormat="1" ht="28.15" customHeight="1">
      <c r="A14" s="713" t="s">
        <v>236</v>
      </c>
      <c r="B14" s="714"/>
      <c r="C14" s="714"/>
      <c r="D14" s="714"/>
      <c r="E14" s="714"/>
      <c r="F14" s="714"/>
      <c r="G14" s="505">
        <v>3</v>
      </c>
      <c r="H14" s="505">
        <v>3</v>
      </c>
      <c r="I14" s="506">
        <v>618000</v>
      </c>
      <c r="J14" s="67" t="s">
        <v>0</v>
      </c>
      <c r="K14" s="488"/>
    </row>
    <row r="15" spans="1:23" s="490" customFormat="1" ht="49.15" customHeight="1">
      <c r="A15" s="719" t="s">
        <v>235</v>
      </c>
      <c r="B15" s="720"/>
      <c r="C15" s="720"/>
      <c r="D15" s="720"/>
      <c r="E15" s="720"/>
      <c r="F15" s="720"/>
      <c r="G15" s="505">
        <v>4</v>
      </c>
      <c r="H15" s="505">
        <v>4</v>
      </c>
      <c r="I15" s="506">
        <v>1086000</v>
      </c>
      <c r="J15" s="67" t="s">
        <v>0</v>
      </c>
      <c r="K15" s="488"/>
    </row>
    <row r="16" spans="1:23" s="137" customFormat="1" ht="15" customHeight="1">
      <c r="A16" s="711" t="s">
        <v>136</v>
      </c>
      <c r="B16" s="701"/>
      <c r="C16" s="701"/>
      <c r="D16" s="701"/>
      <c r="E16" s="701"/>
      <c r="F16" s="701"/>
      <c r="G16" s="140"/>
      <c r="H16" s="140"/>
      <c r="I16" s="220"/>
      <c r="J16" s="67" t="s">
        <v>0</v>
      </c>
      <c r="K16" s="48"/>
    </row>
    <row r="17" spans="1:11" s="137" customFormat="1">
      <c r="A17" s="702" t="s">
        <v>138</v>
      </c>
      <c r="B17" s="703"/>
      <c r="C17" s="703"/>
      <c r="D17" s="703"/>
      <c r="E17" s="703"/>
      <c r="F17" s="703"/>
      <c r="G17" s="703"/>
      <c r="H17" s="703"/>
      <c r="I17" s="703"/>
      <c r="J17" s="67" t="s">
        <v>0</v>
      </c>
      <c r="K17" s="48"/>
    </row>
    <row r="18" spans="1:11" s="137" customFormat="1" ht="19.5" customHeight="1">
      <c r="A18" s="480"/>
      <c r="B18" s="480"/>
      <c r="C18" s="480"/>
      <c r="D18" s="480"/>
      <c r="E18" s="480"/>
      <c r="F18" s="480"/>
      <c r="G18" s="480"/>
      <c r="H18" s="480"/>
      <c r="I18" s="480"/>
      <c r="J18" s="67" t="s">
        <v>0</v>
      </c>
    </row>
    <row r="19" spans="1:11" s="137" customFormat="1" ht="22.5" customHeight="1">
      <c r="A19" s="706" t="s">
        <v>237</v>
      </c>
      <c r="B19" s="707"/>
      <c r="C19" s="707"/>
      <c r="D19" s="707"/>
      <c r="E19" s="707"/>
      <c r="F19" s="707"/>
      <c r="G19" s="489"/>
      <c r="H19" s="489"/>
      <c r="I19" s="494">
        <v>253000</v>
      </c>
      <c r="J19" s="67" t="s">
        <v>0</v>
      </c>
    </row>
    <row r="20" spans="1:11" s="137" customFormat="1">
      <c r="A20" s="489"/>
      <c r="B20" s="489"/>
      <c r="C20" s="489"/>
      <c r="D20" s="489"/>
      <c r="E20" s="489"/>
      <c r="F20" s="489"/>
      <c r="G20" s="489"/>
      <c r="H20" s="489"/>
      <c r="I20" s="489"/>
      <c r="J20" s="67" t="s">
        <v>0</v>
      </c>
    </row>
    <row r="21" spans="1:11" s="490" customFormat="1" ht="46.9" customHeight="1">
      <c r="A21" s="708" t="s">
        <v>238</v>
      </c>
      <c r="B21" s="699"/>
      <c r="C21" s="699"/>
      <c r="D21" s="699"/>
      <c r="E21" s="699"/>
      <c r="F21" s="699"/>
      <c r="G21" s="491"/>
      <c r="H21" s="491"/>
      <c r="I21" s="494">
        <v>153000</v>
      </c>
      <c r="J21" s="67" t="s">
        <v>0</v>
      </c>
      <c r="K21" s="488"/>
    </row>
    <row r="22" spans="1:11" s="490" customFormat="1" ht="15" customHeight="1">
      <c r="A22" s="496"/>
      <c r="B22" s="497"/>
      <c r="C22" s="497"/>
      <c r="D22" s="497"/>
      <c r="E22" s="497"/>
      <c r="F22" s="497"/>
      <c r="G22" s="491"/>
      <c r="H22" s="491"/>
      <c r="I22" s="494"/>
      <c r="J22" s="67" t="s">
        <v>0</v>
      </c>
      <c r="K22" s="488"/>
    </row>
    <row r="23" spans="1:11" s="490" customFormat="1" ht="72.599999999999994" customHeight="1">
      <c r="A23" s="709" t="s">
        <v>239</v>
      </c>
      <c r="B23" s="709"/>
      <c r="C23" s="709"/>
      <c r="D23" s="709"/>
      <c r="E23" s="709"/>
      <c r="F23" s="709"/>
      <c r="G23" s="492"/>
      <c r="H23" s="492"/>
      <c r="I23" s="494">
        <v>104000</v>
      </c>
      <c r="J23" s="67" t="s">
        <v>0</v>
      </c>
      <c r="K23" s="488"/>
    </row>
    <row r="24" spans="1:11" s="490" customFormat="1" ht="15" customHeight="1">
      <c r="A24" s="493"/>
      <c r="B24" s="493"/>
      <c r="C24" s="493"/>
      <c r="D24" s="493"/>
      <c r="E24" s="493"/>
      <c r="F24" s="493"/>
      <c r="G24" s="492"/>
      <c r="H24" s="492"/>
      <c r="I24" s="494"/>
      <c r="J24" s="67" t="s">
        <v>0</v>
      </c>
      <c r="K24" s="488"/>
    </row>
    <row r="25" spans="1:11" s="490" customFormat="1" ht="34.9" customHeight="1">
      <c r="A25" s="704" t="s">
        <v>240</v>
      </c>
      <c r="B25" s="701"/>
      <c r="C25" s="701"/>
      <c r="D25" s="701"/>
      <c r="E25" s="701"/>
      <c r="F25" s="701"/>
      <c r="G25" s="491"/>
      <c r="H25" s="491"/>
      <c r="I25" s="494">
        <v>-28000</v>
      </c>
      <c r="J25" s="67" t="s">
        <v>0</v>
      </c>
      <c r="K25" s="488"/>
    </row>
    <row r="26" spans="1:11" s="490" customFormat="1" ht="15" customHeight="1">
      <c r="A26" s="498"/>
      <c r="B26" s="487"/>
      <c r="C26" s="487"/>
      <c r="D26" s="487"/>
      <c r="E26" s="487"/>
      <c r="F26" s="487"/>
      <c r="G26" s="491"/>
      <c r="H26" s="491"/>
      <c r="I26" s="494"/>
      <c r="J26" s="67" t="s">
        <v>0</v>
      </c>
      <c r="K26" s="488"/>
    </row>
    <row r="27" spans="1:11" s="490" customFormat="1" ht="46.9" customHeight="1">
      <c r="A27" s="705" t="s">
        <v>243</v>
      </c>
      <c r="B27" s="701"/>
      <c r="C27" s="701"/>
      <c r="D27" s="701"/>
      <c r="E27" s="701"/>
      <c r="F27" s="701"/>
      <c r="G27" s="491"/>
      <c r="H27" s="491"/>
      <c r="I27" s="494">
        <v>247000</v>
      </c>
      <c r="J27" s="67" t="s">
        <v>0</v>
      </c>
      <c r="K27" s="488"/>
    </row>
    <row r="28" spans="1:11" s="490" customFormat="1" ht="15" customHeight="1">
      <c r="A28" s="138"/>
      <c r="B28" s="139"/>
      <c r="C28" s="139"/>
      <c r="D28" s="139"/>
      <c r="E28" s="139"/>
      <c r="F28" s="139"/>
      <c r="G28" s="139"/>
      <c r="H28" s="139"/>
      <c r="I28" s="221"/>
      <c r="J28" s="67" t="s">
        <v>0</v>
      </c>
      <c r="K28" s="488"/>
    </row>
    <row r="29" spans="1:11" s="137" customFormat="1" ht="34.5" customHeight="1">
      <c r="A29" s="138"/>
      <c r="B29" s="138"/>
      <c r="C29" s="138"/>
      <c r="D29" s="138"/>
      <c r="E29" s="138"/>
      <c r="F29" s="138"/>
      <c r="G29" s="218" t="s">
        <v>115</v>
      </c>
      <c r="H29" s="218" t="s">
        <v>37</v>
      </c>
      <c r="I29" s="218" t="s">
        <v>137</v>
      </c>
      <c r="J29" s="67" t="s">
        <v>0</v>
      </c>
      <c r="K29" s="48"/>
    </row>
    <row r="30" spans="1:11" s="137" customFormat="1" ht="15" customHeight="1">
      <c r="A30" s="216"/>
      <c r="B30" s="216"/>
      <c r="C30" s="216"/>
      <c r="D30" s="216"/>
      <c r="E30" s="216"/>
      <c r="F30" s="216"/>
      <c r="G30" s="216"/>
      <c r="H30" s="216"/>
      <c r="I30" s="216"/>
      <c r="J30" s="67" t="s">
        <v>0</v>
      </c>
      <c r="K30" s="48"/>
    </row>
    <row r="31" spans="1:11" s="137" customFormat="1" ht="31.9" customHeight="1">
      <c r="A31" s="698" t="s">
        <v>242</v>
      </c>
      <c r="B31" s="699"/>
      <c r="C31" s="699"/>
      <c r="D31" s="699"/>
      <c r="E31" s="699"/>
      <c r="F31" s="699"/>
      <c r="G31" s="140"/>
      <c r="H31" s="140"/>
      <c r="I31" s="494">
        <v>282000</v>
      </c>
      <c r="J31" s="67" t="s">
        <v>0</v>
      </c>
      <c r="K31" s="48"/>
    </row>
    <row r="32" spans="1:11" s="137" customFormat="1" ht="11.25" customHeight="1">
      <c r="A32" s="217"/>
      <c r="B32" s="217"/>
      <c r="C32" s="217"/>
      <c r="D32" s="217"/>
      <c r="E32" s="217"/>
      <c r="F32" s="217"/>
      <c r="G32" s="217"/>
      <c r="H32" s="217"/>
      <c r="I32" s="217"/>
      <c r="J32" s="67" t="s">
        <v>0</v>
      </c>
      <c r="K32" s="48"/>
    </row>
    <row r="33" spans="1:11" s="137" customFormat="1" ht="51" customHeight="1">
      <c r="A33" s="700" t="s">
        <v>241</v>
      </c>
      <c r="B33" s="701"/>
      <c r="C33" s="701"/>
      <c r="D33" s="701"/>
      <c r="E33" s="701"/>
      <c r="F33" s="701"/>
      <c r="G33" s="140"/>
      <c r="H33" s="140"/>
      <c r="I33" s="494">
        <v>1598000</v>
      </c>
      <c r="J33" s="67" t="s">
        <v>0</v>
      </c>
      <c r="K33" s="48"/>
    </row>
    <row r="34" spans="1:11" s="490" customFormat="1" ht="10.9" customHeight="1">
      <c r="A34" s="530"/>
      <c r="B34" s="529"/>
      <c r="C34" s="529"/>
      <c r="D34" s="529"/>
      <c r="E34" s="529"/>
      <c r="F34" s="529"/>
      <c r="G34" s="528"/>
      <c r="H34" s="528"/>
      <c r="I34" s="494"/>
      <c r="J34" s="67" t="s">
        <v>0</v>
      </c>
      <c r="K34" s="488"/>
    </row>
    <row r="35" spans="1:11" s="137" customFormat="1" ht="27.6" customHeight="1">
      <c r="A35" s="696" t="s">
        <v>271</v>
      </c>
      <c r="B35" s="697"/>
      <c r="C35" s="697"/>
      <c r="D35" s="697"/>
      <c r="E35" s="697"/>
      <c r="F35" s="697"/>
      <c r="G35" s="217"/>
      <c r="H35" s="217"/>
      <c r="I35" s="531">
        <v>73000</v>
      </c>
      <c r="J35" s="67" t="s">
        <v>0</v>
      </c>
      <c r="K35" s="48"/>
    </row>
    <row r="36" spans="1:11">
      <c r="A36" s="137"/>
      <c r="B36" s="215"/>
      <c r="C36" s="215"/>
      <c r="D36" s="215"/>
      <c r="E36" s="215"/>
      <c r="F36" s="219" t="s">
        <v>116</v>
      </c>
      <c r="G36" s="140">
        <f>+G11+G12+G13+G14+G15</f>
        <v>71</v>
      </c>
      <c r="H36" s="140">
        <f>+H11+H12+H13+H14+H15</f>
        <v>71</v>
      </c>
      <c r="I36" s="494">
        <f>+I10+I11+I12+I13+I14+I15+I19+I21+I23+I25+I27+I31+I33+I35</f>
        <v>16166000</v>
      </c>
      <c r="J36" s="257" t="s">
        <v>20</v>
      </c>
    </row>
  </sheetData>
  <customSheetViews>
    <customSheetView guid="{3118AF25-8423-420A-806A-487665220C68}" showPageBreaks="1" printArea="1" view="pageBreakPreview" topLeftCell="A55">
      <selection activeCell="I71" sqref="I71"/>
      <rowBreaks count="2" manualBreakCount="2">
        <brk id="34" max="8" man="1"/>
        <brk id="55" max="8" man="1"/>
      </rowBreaks>
      <pageMargins left="0.75" right="0.75" top="1" bottom="1" header="0.5" footer="0.5"/>
      <pageSetup scale="67" fitToHeight="3" orientation="landscape" r:id="rId1"/>
      <headerFooter alignWithMargins="0">
        <oddFooter>&amp;C&amp;"Times New Roman,Regular"&amp;11Exhibit E - Justification for Base Adjustments</oddFooter>
      </headerFooter>
    </customSheetView>
    <customSheetView guid="{56C0A34E-45B4-448B-85E5-70B3A8E63333}" showPageBreaks="1" printArea="1" view="pageBreakPreview" topLeftCell="A55">
      <selection activeCell="F64" sqref="F64"/>
      <rowBreaks count="2" manualBreakCount="2">
        <brk id="36" max="8" man="1"/>
        <brk id="57" max="8" man="1"/>
      </rowBreaks>
      <pageMargins left="0.75" right="0.75" top="1" bottom="1" header="0.5" footer="0.5"/>
      <pageSetup scale="67" fitToHeight="3" orientation="landscape" r:id="rId2"/>
      <headerFooter alignWithMargins="0">
        <oddFooter>&amp;C&amp;"Times New Roman,Regular"&amp;11Exhibit E - Justification for Base Adjustments</oddFooter>
      </headerFooter>
    </customSheetView>
    <customSheetView guid="{4148B88B-8ED7-4FDE-9459-DEB244AD0552}" showPageBreaks="1" printArea="1" view="pageBreakPreview">
      <selection activeCell="F64" sqref="F64"/>
      <rowBreaks count="2" manualBreakCount="2">
        <brk id="36" max="8" man="1"/>
        <brk id="57" max="8" man="1"/>
      </rowBreaks>
      <pageMargins left="0.75" right="0.75" top="1" bottom="1" header="0.5" footer="0.5"/>
      <pageSetup scale="67" fitToHeight="3" orientation="landscape" r:id="rId3"/>
      <headerFooter alignWithMargins="0">
        <oddFooter>&amp;C&amp;"Times New Roman,Regular"&amp;11Exhibit E - Justification for Base Adjustments</oddFooter>
      </headerFooter>
    </customSheetView>
    <customSheetView guid="{12C66D54-5067-4346-818B-6EAB1C8A9183}" showPageBreaks="1" printArea="1" view="pageBreakPreview" topLeftCell="A31">
      <selection activeCell="B39" sqref="B39"/>
      <rowBreaks count="2" manualBreakCount="2">
        <brk id="34" max="8" man="1"/>
        <brk id="55" max="8" man="1"/>
      </rowBreaks>
      <pageMargins left="0.75" right="0.75" top="1" bottom="1" header="0.5" footer="0.5"/>
      <pageSetup scale="67" fitToHeight="3" orientation="landscape" r:id="rId4"/>
      <headerFooter alignWithMargins="0">
        <oddFooter>&amp;C&amp;"Times New Roman,Regular"&amp;11Exhibit E - Justification for Base Adjustments</oddFooter>
      </headerFooter>
    </customSheetView>
    <customSheetView guid="{87EA6C51-A281-4696-9262-A16F553E7025}" showPageBreaks="1" printArea="1" view="pageBreakPreview">
      <selection sqref="A1:I1"/>
      <rowBreaks count="2" manualBreakCount="2">
        <brk id="34" max="8" man="1"/>
        <brk id="55" max="8" man="1"/>
      </rowBreaks>
      <pageMargins left="0.75" right="0.75" top="1" bottom="1" header="0.5" footer="0.5"/>
      <pageSetup scale="67" fitToHeight="3" orientation="landscape" r:id="rId5"/>
      <headerFooter alignWithMargins="0">
        <oddFooter>&amp;C&amp;"Times New Roman,Regular"&amp;11Exhibit E - Justification for Base Adjustments</oddFooter>
      </headerFooter>
    </customSheetView>
  </customSheetViews>
  <mergeCells count="23">
    <mergeCell ref="A6:I6"/>
    <mergeCell ref="A16:F16"/>
    <mergeCell ref="A8:I8"/>
    <mergeCell ref="A10:F10"/>
    <mergeCell ref="A1:I1"/>
    <mergeCell ref="A3:I3"/>
    <mergeCell ref="A4:I4"/>
    <mergeCell ref="A2:I2"/>
    <mergeCell ref="A5:I5"/>
    <mergeCell ref="A13:F13"/>
    <mergeCell ref="A11:F11"/>
    <mergeCell ref="A12:F12"/>
    <mergeCell ref="A14:F14"/>
    <mergeCell ref="A15:F15"/>
    <mergeCell ref="A35:F35"/>
    <mergeCell ref="A31:F31"/>
    <mergeCell ref="A33:F33"/>
    <mergeCell ref="A17:I17"/>
    <mergeCell ref="A25:F25"/>
    <mergeCell ref="A27:F27"/>
    <mergeCell ref="A19:F19"/>
    <mergeCell ref="A21:F21"/>
    <mergeCell ref="A23:F23"/>
  </mergeCells>
  <phoneticPr fontId="0" type="noConversion"/>
  <pageMargins left="0.75" right="0.75" top="1" bottom="1" header="0.5" footer="0.5"/>
  <pageSetup scale="67" fitToHeight="3" orientation="landscape" r:id="rId6"/>
  <headerFooter alignWithMargins="0">
    <oddFooter>&amp;C&amp;"Times New Roman,Regular"&amp;11Exhibit E - Justification for Base Adjustments</oddFooter>
  </headerFooter>
  <rowBreaks count="1" manualBreakCount="1">
    <brk id="28"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C35"/>
  <sheetViews>
    <sheetView showGridLines="0" showOutlineSymbols="0" view="pageBreakPreview" zoomScale="75" zoomScaleNormal="75" zoomScaleSheetLayoutView="75" workbookViewId="0">
      <selection sqref="A1:O1"/>
    </sheetView>
  </sheetViews>
  <sheetFormatPr defaultColWidth="8.8867187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8" width="5.5546875" style="8" customWidth="1"/>
    <col min="9" max="9" width="5.6640625" style="8" customWidth="1"/>
    <col min="10" max="10" width="7.77734375" style="8" customWidth="1"/>
    <col min="11" max="11" width="8.77734375" style="8" customWidth="1"/>
    <col min="12" max="12" width="10" style="8" customWidth="1"/>
    <col min="13" max="13" width="8.5546875" style="8" bestFit="1" customWidth="1"/>
    <col min="14" max="14" width="6.77734375" style="8" customWidth="1"/>
    <col min="15" max="15" width="10.88671875" style="8" bestFit="1" customWidth="1"/>
    <col min="16" max="16" width="1" style="79" customWidth="1"/>
    <col min="17" max="16384" width="8.88671875" style="8"/>
  </cols>
  <sheetData>
    <row r="1" spans="1:16" ht="20.25">
      <c r="A1" s="661" t="s">
        <v>178</v>
      </c>
      <c r="B1" s="662"/>
      <c r="C1" s="662"/>
      <c r="D1" s="662"/>
      <c r="E1" s="662"/>
      <c r="F1" s="662"/>
      <c r="G1" s="662"/>
      <c r="H1" s="662"/>
      <c r="I1" s="662"/>
      <c r="J1" s="662"/>
      <c r="K1" s="662"/>
      <c r="L1" s="662"/>
      <c r="M1" s="662"/>
      <c r="N1" s="662"/>
      <c r="O1" s="662"/>
      <c r="P1" s="78" t="s">
        <v>0</v>
      </c>
    </row>
    <row r="2" spans="1:16" ht="16.5" customHeight="1">
      <c r="A2" s="736"/>
      <c r="B2" s="736"/>
      <c r="C2" s="736"/>
      <c r="D2" s="736"/>
      <c r="E2" s="736"/>
      <c r="F2" s="736"/>
      <c r="G2" s="736"/>
      <c r="H2" s="736"/>
      <c r="I2" s="736"/>
      <c r="J2" s="736"/>
      <c r="K2" s="736"/>
      <c r="L2" s="736"/>
      <c r="M2" s="736"/>
      <c r="N2" s="736"/>
      <c r="O2" s="736"/>
      <c r="P2" s="78" t="s">
        <v>0</v>
      </c>
    </row>
    <row r="3" spans="1:16" ht="16.5" customHeight="1">
      <c r="A3" s="721" t="s">
        <v>156</v>
      </c>
      <c r="B3" s="722"/>
      <c r="C3" s="722"/>
      <c r="D3" s="722"/>
      <c r="E3" s="722"/>
      <c r="F3" s="722"/>
      <c r="G3" s="722"/>
      <c r="H3" s="722"/>
      <c r="I3" s="722"/>
      <c r="J3" s="722"/>
      <c r="K3" s="722"/>
      <c r="L3" s="722"/>
      <c r="M3" s="722"/>
      <c r="N3" s="722"/>
      <c r="O3" s="722"/>
      <c r="P3" s="78" t="s">
        <v>0</v>
      </c>
    </row>
    <row r="4" spans="1:16" ht="16.5" customHeight="1">
      <c r="A4" s="723" t="str">
        <f>+'B. Summary of Requirements '!A5</f>
        <v>General Administration</v>
      </c>
      <c r="B4" s="724"/>
      <c r="C4" s="724"/>
      <c r="D4" s="724"/>
      <c r="E4" s="724"/>
      <c r="F4" s="724"/>
      <c r="G4" s="724"/>
      <c r="H4" s="724"/>
      <c r="I4" s="724"/>
      <c r="J4" s="724"/>
      <c r="K4" s="724"/>
      <c r="L4" s="724"/>
      <c r="M4" s="724"/>
      <c r="N4" s="724"/>
      <c r="O4" s="724"/>
      <c r="P4" s="78" t="s">
        <v>0</v>
      </c>
    </row>
    <row r="5" spans="1:16" ht="16.5" customHeight="1">
      <c r="A5" s="723" t="str">
        <f>+'B. Summary of Requirements '!A6</f>
        <v>Salaries and Expenses</v>
      </c>
      <c r="B5" s="722"/>
      <c r="C5" s="722"/>
      <c r="D5" s="722"/>
      <c r="E5" s="722"/>
      <c r="F5" s="722"/>
      <c r="G5" s="722"/>
      <c r="H5" s="722"/>
      <c r="I5" s="722"/>
      <c r="J5" s="722"/>
      <c r="K5" s="722"/>
      <c r="L5" s="722"/>
      <c r="M5" s="722"/>
      <c r="N5" s="722"/>
      <c r="O5" s="722"/>
      <c r="P5" s="78" t="s">
        <v>0</v>
      </c>
    </row>
    <row r="6" spans="1:16" ht="16.5" customHeight="1">
      <c r="A6" s="738" t="s">
        <v>119</v>
      </c>
      <c r="B6" s="724"/>
      <c r="C6" s="724"/>
      <c r="D6" s="724"/>
      <c r="E6" s="724"/>
      <c r="F6" s="724"/>
      <c r="G6" s="724"/>
      <c r="H6" s="724"/>
      <c r="I6" s="724"/>
      <c r="J6" s="724"/>
      <c r="K6" s="724"/>
      <c r="L6" s="724"/>
      <c r="M6" s="724"/>
      <c r="N6" s="724"/>
      <c r="O6" s="724"/>
      <c r="P6" s="78" t="s">
        <v>0</v>
      </c>
    </row>
    <row r="7" spans="1:16" ht="16.5" customHeight="1">
      <c r="A7" s="736"/>
      <c r="B7" s="736"/>
      <c r="C7" s="736"/>
      <c r="D7" s="736"/>
      <c r="E7" s="736"/>
      <c r="F7" s="736"/>
      <c r="G7" s="736"/>
      <c r="H7" s="736"/>
      <c r="I7" s="736"/>
      <c r="J7" s="736"/>
      <c r="K7" s="736"/>
      <c r="L7" s="736"/>
      <c r="M7" s="736"/>
      <c r="N7" s="736"/>
      <c r="O7" s="736"/>
      <c r="P7" s="78" t="s">
        <v>0</v>
      </c>
    </row>
    <row r="8" spans="1:16" ht="16.5" customHeight="1">
      <c r="A8" s="737"/>
      <c r="B8" s="737"/>
      <c r="C8" s="737"/>
      <c r="D8" s="737"/>
      <c r="E8" s="737"/>
      <c r="F8" s="737"/>
      <c r="G8" s="737"/>
      <c r="H8" s="737"/>
      <c r="I8" s="737"/>
      <c r="J8" s="737"/>
      <c r="K8" s="737"/>
      <c r="L8" s="737"/>
      <c r="M8" s="737"/>
      <c r="N8" s="737"/>
      <c r="O8" s="737"/>
      <c r="P8" s="78" t="s">
        <v>0</v>
      </c>
    </row>
    <row r="9" spans="1:16" ht="16.5" customHeight="1">
      <c r="A9" s="733" t="s">
        <v>33</v>
      </c>
      <c r="B9" s="727" t="s">
        <v>273</v>
      </c>
      <c r="C9" s="728"/>
      <c r="D9" s="729"/>
      <c r="E9" s="741" t="s">
        <v>281</v>
      </c>
      <c r="F9" s="742"/>
      <c r="G9" s="743"/>
      <c r="H9" s="727" t="s">
        <v>19</v>
      </c>
      <c r="I9" s="728"/>
      <c r="J9" s="728"/>
      <c r="K9" s="739" t="s">
        <v>159</v>
      </c>
      <c r="L9" s="739" t="s">
        <v>160</v>
      </c>
      <c r="M9" s="727" t="s">
        <v>157</v>
      </c>
      <c r="N9" s="728"/>
      <c r="O9" s="729"/>
      <c r="P9" s="78" t="s">
        <v>0</v>
      </c>
    </row>
    <row r="10" spans="1:16" ht="16.5" customHeight="1">
      <c r="A10" s="734"/>
      <c r="B10" s="730"/>
      <c r="C10" s="731"/>
      <c r="D10" s="732"/>
      <c r="E10" s="744"/>
      <c r="F10" s="745"/>
      <c r="G10" s="746"/>
      <c r="H10" s="730"/>
      <c r="I10" s="731"/>
      <c r="J10" s="731"/>
      <c r="K10" s="740"/>
      <c r="L10" s="740"/>
      <c r="M10" s="730"/>
      <c r="N10" s="731"/>
      <c r="O10" s="732"/>
      <c r="P10" s="78" t="s">
        <v>0</v>
      </c>
    </row>
    <row r="11" spans="1:16" ht="16.5" customHeight="1" thickBot="1">
      <c r="A11" s="735"/>
      <c r="B11" s="457" t="s">
        <v>135</v>
      </c>
      <c r="C11" s="458" t="s">
        <v>37</v>
      </c>
      <c r="D11" s="458" t="s">
        <v>137</v>
      </c>
      <c r="E11" s="457" t="s">
        <v>135</v>
      </c>
      <c r="F11" s="458" t="s">
        <v>37</v>
      </c>
      <c r="G11" s="458" t="s">
        <v>137</v>
      </c>
      <c r="H11" s="457" t="s">
        <v>135</v>
      </c>
      <c r="I11" s="458" t="s">
        <v>37</v>
      </c>
      <c r="J11" s="458" t="s">
        <v>137</v>
      </c>
      <c r="K11" s="474" t="s">
        <v>137</v>
      </c>
      <c r="L11" s="475" t="s">
        <v>137</v>
      </c>
      <c r="M11" s="457" t="s">
        <v>135</v>
      </c>
      <c r="N11" s="458" t="s">
        <v>37</v>
      </c>
      <c r="O11" s="459" t="s">
        <v>137</v>
      </c>
      <c r="P11" s="78" t="s">
        <v>0</v>
      </c>
    </row>
    <row r="12" spans="1:16" ht="16.5" customHeight="1">
      <c r="A12" s="478" t="s">
        <v>218</v>
      </c>
      <c r="B12" s="454">
        <v>71</v>
      </c>
      <c r="C12" s="450">
        <v>62</v>
      </c>
      <c r="D12" s="450">
        <v>18924</v>
      </c>
      <c r="E12" s="454"/>
      <c r="F12" s="450"/>
      <c r="G12" s="450"/>
      <c r="H12" s="454"/>
      <c r="I12" s="450"/>
      <c r="J12" s="450"/>
      <c r="K12" s="447"/>
      <c r="L12" s="450"/>
      <c r="M12" s="454">
        <f t="shared" ref="M12:N15" si="0">+B12+E12+H12</f>
        <v>71</v>
      </c>
      <c r="N12" s="450">
        <f t="shared" si="0"/>
        <v>62</v>
      </c>
      <c r="O12" s="448">
        <f>+D12+G12+J12+K12+L12</f>
        <v>18924</v>
      </c>
      <c r="P12" s="78" t="s">
        <v>0</v>
      </c>
    </row>
    <row r="13" spans="1:16" ht="16.5" customHeight="1">
      <c r="A13" s="479" t="s">
        <v>219</v>
      </c>
      <c r="B13" s="454">
        <v>49</v>
      </c>
      <c r="C13" s="450">
        <v>49</v>
      </c>
      <c r="D13" s="450">
        <v>8385</v>
      </c>
      <c r="E13" s="454"/>
      <c r="F13" s="450"/>
      <c r="G13" s="450"/>
      <c r="H13" s="454"/>
      <c r="I13" s="450"/>
      <c r="J13" s="450"/>
      <c r="K13" s="447"/>
      <c r="L13" s="450"/>
      <c r="M13" s="454">
        <f t="shared" si="0"/>
        <v>49</v>
      </c>
      <c r="N13" s="450">
        <f t="shared" si="0"/>
        <v>49</v>
      </c>
      <c r="O13" s="448">
        <f>+D13+G13+J13+K13+L13</f>
        <v>8385</v>
      </c>
      <c r="P13" s="78" t="s">
        <v>0</v>
      </c>
    </row>
    <row r="14" spans="1:16" ht="16.5" customHeight="1">
      <c r="A14" s="479" t="s">
        <v>227</v>
      </c>
      <c r="B14" s="454">
        <v>58</v>
      </c>
      <c r="C14" s="450">
        <v>58</v>
      </c>
      <c r="D14" s="450">
        <v>12402</v>
      </c>
      <c r="E14" s="454"/>
      <c r="F14" s="450"/>
      <c r="G14" s="450"/>
      <c r="H14" s="454"/>
      <c r="I14" s="450"/>
      <c r="J14" s="450"/>
      <c r="K14" s="447"/>
      <c r="L14" s="450"/>
      <c r="M14" s="454">
        <f t="shared" si="0"/>
        <v>58</v>
      </c>
      <c r="N14" s="450">
        <f t="shared" si="0"/>
        <v>58</v>
      </c>
      <c r="O14" s="448">
        <f>+D14+G14+J14+K14+L14</f>
        <v>12402</v>
      </c>
      <c r="P14" s="78" t="s">
        <v>0</v>
      </c>
    </row>
    <row r="15" spans="1:16" ht="16.5" customHeight="1">
      <c r="A15" s="534" t="s">
        <v>221</v>
      </c>
      <c r="B15" s="536">
        <v>391</v>
      </c>
      <c r="C15" s="537">
        <v>385</v>
      </c>
      <c r="D15" s="538">
        <f>78777-237</f>
        <v>78540</v>
      </c>
      <c r="E15" s="539"/>
      <c r="F15" s="541"/>
      <c r="G15" s="541" t="s">
        <v>136</v>
      </c>
      <c r="H15" s="539"/>
      <c r="I15" s="537"/>
      <c r="J15" s="538"/>
      <c r="K15" s="544"/>
      <c r="L15" s="541"/>
      <c r="M15" s="546">
        <f t="shared" si="0"/>
        <v>391</v>
      </c>
      <c r="N15" s="547">
        <f t="shared" si="0"/>
        <v>385</v>
      </c>
      <c r="O15" s="548">
        <f>+D15</f>
        <v>78540</v>
      </c>
      <c r="P15" s="78" t="s">
        <v>0</v>
      </c>
    </row>
    <row r="16" spans="1:16" ht="16.5" customHeight="1">
      <c r="A16" s="535" t="s">
        <v>274</v>
      </c>
      <c r="B16" s="460" t="s">
        <v>136</v>
      </c>
      <c r="C16" s="461" t="s">
        <v>136</v>
      </c>
      <c r="D16" s="461" t="s">
        <v>136</v>
      </c>
      <c r="E16" s="540"/>
      <c r="F16" s="542"/>
      <c r="G16" s="543" t="s">
        <v>136</v>
      </c>
      <c r="H16" s="540"/>
      <c r="I16" s="461"/>
      <c r="J16" s="461">
        <v>1317</v>
      </c>
      <c r="K16" s="545">
        <v>464</v>
      </c>
      <c r="L16" s="545">
        <v>147</v>
      </c>
      <c r="M16" s="451">
        <v>0</v>
      </c>
      <c r="N16" s="455">
        <v>0</v>
      </c>
      <c r="O16" s="543">
        <f>+J16+K16+L16</f>
        <v>1928</v>
      </c>
      <c r="P16" s="78" t="s">
        <v>0</v>
      </c>
    </row>
    <row r="17" spans="1:29" ht="16.5" customHeight="1">
      <c r="A17" s="462" t="s">
        <v>144</v>
      </c>
      <c r="B17" s="463">
        <f t="shared" ref="B17:O17" si="1">SUM(B12:B16)</f>
        <v>569</v>
      </c>
      <c r="C17" s="464">
        <f t="shared" si="1"/>
        <v>554</v>
      </c>
      <c r="D17" s="465">
        <f t="shared" si="1"/>
        <v>118251</v>
      </c>
      <c r="E17" s="463">
        <f t="shared" si="1"/>
        <v>0</v>
      </c>
      <c r="F17" s="464">
        <f t="shared" si="1"/>
        <v>0</v>
      </c>
      <c r="G17" s="466">
        <f t="shared" si="1"/>
        <v>0</v>
      </c>
      <c r="H17" s="463">
        <f t="shared" si="1"/>
        <v>0</v>
      </c>
      <c r="I17" s="464">
        <f t="shared" si="1"/>
        <v>0</v>
      </c>
      <c r="J17" s="465">
        <f t="shared" si="1"/>
        <v>1317</v>
      </c>
      <c r="K17" s="472">
        <f t="shared" si="1"/>
        <v>464</v>
      </c>
      <c r="L17" s="465">
        <f t="shared" si="1"/>
        <v>147</v>
      </c>
      <c r="M17" s="476">
        <f t="shared" si="1"/>
        <v>569</v>
      </c>
      <c r="N17" s="477">
        <f t="shared" si="1"/>
        <v>554</v>
      </c>
      <c r="O17" s="467">
        <f t="shared" si="1"/>
        <v>120179</v>
      </c>
      <c r="P17" s="78" t="s">
        <v>0</v>
      </c>
    </row>
    <row r="18" spans="1:29" ht="16.5" customHeight="1">
      <c r="A18" s="456" t="s">
        <v>123</v>
      </c>
      <c r="B18" s="452" t="s">
        <v>136</v>
      </c>
      <c r="C18" s="453">
        <v>97</v>
      </c>
      <c r="D18" s="453"/>
      <c r="E18" s="452"/>
      <c r="F18" s="453"/>
      <c r="G18" s="453"/>
      <c r="H18" s="452"/>
      <c r="I18" s="453"/>
      <c r="J18" s="453"/>
      <c r="K18" s="449"/>
      <c r="L18" s="453"/>
      <c r="M18" s="452"/>
      <c r="N18" s="453">
        <f>+C18</f>
        <v>97</v>
      </c>
      <c r="O18" s="468"/>
      <c r="P18" s="78" t="s">
        <v>0</v>
      </c>
      <c r="Q18" s="10"/>
      <c r="R18" s="10"/>
      <c r="S18" s="10"/>
      <c r="T18" s="10"/>
      <c r="U18" s="10"/>
      <c r="V18" s="10"/>
      <c r="W18" s="10"/>
      <c r="X18" s="10"/>
      <c r="Y18" s="10"/>
      <c r="Z18" s="10"/>
      <c r="AA18" s="10"/>
      <c r="AB18" s="10"/>
      <c r="AC18" s="10"/>
    </row>
    <row r="19" spans="1:29" ht="16.5" customHeight="1">
      <c r="A19" s="456" t="s">
        <v>122</v>
      </c>
      <c r="B19" s="469"/>
      <c r="C19" s="470">
        <v>651</v>
      </c>
      <c r="D19" s="470"/>
      <c r="E19" s="469"/>
      <c r="F19" s="470">
        <v>0</v>
      </c>
      <c r="G19" s="470"/>
      <c r="H19" s="469"/>
      <c r="I19" s="470">
        <v>0</v>
      </c>
      <c r="J19" s="470"/>
      <c r="K19" s="473"/>
      <c r="L19" s="470"/>
      <c r="M19" s="469"/>
      <c r="N19" s="470">
        <f>SUM(N17:N18)</f>
        <v>651</v>
      </c>
      <c r="O19" s="471"/>
      <c r="P19" s="78" t="s">
        <v>0</v>
      </c>
    </row>
    <row r="20" spans="1:29" ht="16.5" customHeight="1">
      <c r="A20" s="240" t="s">
        <v>124</v>
      </c>
      <c r="B20" s="206"/>
      <c r="C20" s="158"/>
      <c r="D20" s="158"/>
      <c r="E20" s="206"/>
      <c r="F20" s="158"/>
      <c r="G20" s="158"/>
      <c r="H20" s="206"/>
      <c r="I20" s="158"/>
      <c r="J20" s="158"/>
      <c r="K20" s="84"/>
      <c r="L20" s="158"/>
      <c r="M20" s="206"/>
      <c r="N20" s="158"/>
      <c r="O20" s="85"/>
      <c r="P20" s="78" t="s">
        <v>0</v>
      </c>
    </row>
    <row r="21" spans="1:29" ht="16.5" customHeight="1">
      <c r="A21" s="241" t="s">
        <v>43</v>
      </c>
      <c r="B21" s="206"/>
      <c r="C21" s="158"/>
      <c r="D21" s="158"/>
      <c r="E21" s="206"/>
      <c r="F21" s="158"/>
      <c r="G21" s="158"/>
      <c r="H21" s="206"/>
      <c r="I21" s="158"/>
      <c r="J21" s="158"/>
      <c r="K21" s="84"/>
      <c r="L21" s="158"/>
      <c r="M21" s="206"/>
      <c r="N21" s="158">
        <f>C21+F21+I21</f>
        <v>0</v>
      </c>
      <c r="O21" s="85"/>
      <c r="P21" s="78" t="s">
        <v>0</v>
      </c>
    </row>
    <row r="22" spans="1:29" ht="16.5" customHeight="1">
      <c r="A22" s="242" t="s">
        <v>75</v>
      </c>
      <c r="B22" s="204"/>
      <c r="C22" s="205"/>
      <c r="D22" s="205"/>
      <c r="E22" s="204"/>
      <c r="F22" s="205"/>
      <c r="G22" s="205"/>
      <c r="H22" s="204"/>
      <c r="I22" s="205"/>
      <c r="J22" s="205"/>
      <c r="K22" s="88"/>
      <c r="L22" s="205"/>
      <c r="M22" s="204"/>
      <c r="N22" s="205">
        <f>C22+F22+I22</f>
        <v>0</v>
      </c>
      <c r="O22" s="236"/>
      <c r="P22" s="78" t="s">
        <v>0</v>
      </c>
    </row>
    <row r="23" spans="1:29" ht="16.5" customHeight="1">
      <c r="A23" s="224" t="s">
        <v>125</v>
      </c>
      <c r="B23" s="204"/>
      <c r="C23" s="205">
        <f>C22+C21+C19</f>
        <v>651</v>
      </c>
      <c r="D23" s="243"/>
      <c r="E23" s="204"/>
      <c r="F23" s="205">
        <f>F22+F21+F19</f>
        <v>0</v>
      </c>
      <c r="G23" s="243"/>
      <c r="H23" s="204"/>
      <c r="I23" s="205">
        <f>I22+I21+I19</f>
        <v>0</v>
      </c>
      <c r="J23" s="243"/>
      <c r="K23" s="332"/>
      <c r="L23" s="243"/>
      <c r="M23" s="204"/>
      <c r="N23" s="205">
        <f>N22+N21+N19</f>
        <v>651</v>
      </c>
      <c r="O23" s="244"/>
      <c r="P23" s="78" t="s">
        <v>0</v>
      </c>
    </row>
    <row r="24" spans="1:29" ht="16.5" customHeight="1">
      <c r="B24" s="1"/>
      <c r="C24" s="1"/>
      <c r="D24" s="1"/>
      <c r="E24" s="1"/>
      <c r="F24" s="1"/>
      <c r="G24" s="1"/>
      <c r="H24" s="1"/>
      <c r="I24" s="1"/>
      <c r="J24" s="1"/>
      <c r="K24" s="1"/>
      <c r="L24" s="1"/>
      <c r="M24" s="1"/>
      <c r="N24" s="1"/>
      <c r="O24" s="1"/>
    </row>
    <row r="25" spans="1:29" ht="16.5" customHeight="1">
      <c r="A25" s="1"/>
      <c r="B25" s="19"/>
      <c r="C25" s="1"/>
      <c r="D25" s="1"/>
      <c r="E25" s="1"/>
      <c r="F25" s="1"/>
      <c r="G25" s="1"/>
      <c r="H25" s="1"/>
      <c r="I25" s="1"/>
      <c r="J25" s="1"/>
      <c r="K25" s="1"/>
      <c r="L25" s="1"/>
      <c r="M25" s="1"/>
      <c r="N25" s="1"/>
      <c r="O25" s="1"/>
      <c r="P25" s="78"/>
    </row>
    <row r="26" spans="1:29" ht="16.5" customHeight="1">
      <c r="A26" s="1"/>
      <c r="B26" s="19"/>
      <c r="C26" s="1"/>
      <c r="D26" s="1"/>
      <c r="E26" s="1"/>
      <c r="F26" s="1"/>
      <c r="G26" s="1"/>
      <c r="H26" s="1"/>
      <c r="I26" s="1"/>
      <c r="J26" s="1"/>
      <c r="K26" s="1"/>
      <c r="L26" s="1"/>
      <c r="M26" s="1"/>
      <c r="N26" s="1"/>
      <c r="O26" s="1"/>
      <c r="P26" s="78"/>
    </row>
    <row r="27" spans="1:29" ht="16.5" customHeight="1">
      <c r="A27" s="1"/>
      <c r="B27" s="19"/>
      <c r="C27" s="1"/>
      <c r="D27" s="1"/>
      <c r="E27" s="1"/>
      <c r="F27" s="1"/>
      <c r="G27" s="1"/>
      <c r="H27" s="1"/>
      <c r="I27" s="1"/>
      <c r="J27" s="1"/>
      <c r="K27" s="1"/>
      <c r="L27" s="1"/>
      <c r="M27" s="1"/>
      <c r="N27" s="1"/>
      <c r="O27" s="1"/>
      <c r="P27" s="78"/>
    </row>
    <row r="28" spans="1:29" ht="16.5" customHeight="1">
      <c r="A28" s="1"/>
      <c r="B28" s="19"/>
      <c r="C28" s="1"/>
      <c r="D28" s="1"/>
      <c r="E28" s="1"/>
      <c r="F28" s="1"/>
      <c r="G28" s="1"/>
      <c r="H28" s="1"/>
      <c r="I28" s="1"/>
      <c r="J28" s="1"/>
      <c r="K28" s="1"/>
      <c r="L28" s="1"/>
      <c r="M28" s="1"/>
      <c r="N28" s="1"/>
      <c r="O28" s="1"/>
      <c r="P28" s="78"/>
    </row>
    <row r="29" spans="1:29" ht="16.5" customHeight="1">
      <c r="A29" s="1"/>
      <c r="B29" s="34"/>
      <c r="C29" s="34"/>
      <c r="D29" s="34"/>
      <c r="E29" s="34"/>
      <c r="F29" s="34"/>
      <c r="G29" s="34"/>
      <c r="H29" s="34"/>
      <c r="I29" s="34"/>
      <c r="J29" s="34"/>
      <c r="K29" s="34"/>
      <c r="L29" s="326"/>
      <c r="M29" s="1"/>
      <c r="N29" s="1"/>
      <c r="O29" s="1"/>
      <c r="P29" s="78"/>
    </row>
    <row r="30" spans="1:29" ht="16.5" customHeight="1">
      <c r="A30" s="214"/>
      <c r="B30" s="1"/>
      <c r="C30" s="1"/>
      <c r="D30" s="1"/>
      <c r="E30" s="1"/>
      <c r="F30" s="1"/>
      <c r="G30" s="1"/>
      <c r="H30" s="1"/>
      <c r="I30" s="1"/>
      <c r="J30" s="1"/>
      <c r="K30" s="1"/>
      <c r="L30" s="1"/>
      <c r="M30" s="1"/>
      <c r="N30" s="1"/>
      <c r="O30" s="1"/>
    </row>
    <row r="31" spans="1:29" ht="16.5" customHeight="1">
      <c r="A31" s="36"/>
      <c r="B31" s="36"/>
      <c r="C31" s="36"/>
      <c r="D31" s="36"/>
      <c r="E31" s="36"/>
      <c r="F31" s="36"/>
      <c r="G31" s="36"/>
      <c r="H31" s="1"/>
      <c r="I31" s="1"/>
      <c r="J31" s="1"/>
      <c r="K31" s="1"/>
      <c r="L31" s="1"/>
      <c r="M31" s="1"/>
      <c r="N31" s="1"/>
      <c r="O31" s="1"/>
      <c r="P31" s="67" t="s">
        <v>20</v>
      </c>
    </row>
    <row r="32" spans="1:29" ht="16.5" customHeight="1">
      <c r="A32" s="725"/>
      <c r="B32" s="726"/>
      <c r="C32" s="726"/>
      <c r="D32" s="726"/>
      <c r="E32" s="726"/>
      <c r="F32" s="726"/>
      <c r="G32" s="726"/>
      <c r="H32" s="726"/>
      <c r="I32" s="726"/>
      <c r="J32" s="726"/>
      <c r="K32" s="726"/>
      <c r="L32" s="726"/>
      <c r="M32" s="726"/>
      <c r="N32" s="726"/>
      <c r="O32" s="726"/>
      <c r="P32" s="19"/>
    </row>
    <row r="33" ht="16.5" customHeight="1"/>
    <row r="34" ht="16.5" customHeight="1"/>
    <row r="35" ht="16.5" customHeight="1"/>
  </sheetData>
  <customSheetViews>
    <customSheetView guid="{3118AF25-8423-420A-806A-487665220C68}" scale="75" showPageBreaks="1" showGridLines="0" outlineSymbols="0" fitToPage="1" printArea="1" view="pageBreakPreview">
      <selection activeCell="N22" sqref="N22"/>
      <pageMargins left="0.5" right="0.5" top="0.5" bottom="0.55000000000000004" header="0" footer="0"/>
      <printOptions horizontalCentered="1"/>
      <pageSetup scale="79" firstPageNumber="2" orientation="landscape" useFirstPageNumber="1" horizontalDpi="300" verticalDpi="300" r:id="rId1"/>
      <headerFooter alignWithMargins="0">
        <oddFooter>&amp;C&amp;"Times New Roman,Regular"Exhibit F - Crosswalk of 2011 Availability</oddFooter>
      </headerFooter>
    </customSheetView>
    <customSheetView guid="{56C0A34E-45B4-448B-85E5-70B3A8E63333}" scale="75" showPageBreaks="1" showGridLines="0" outlineSymbols="0" fitToPage="1" printArea="1" view="pageBreakPreview">
      <selection activeCell="S30" sqref="S30"/>
      <pageMargins left="0.5" right="0.5" top="0.5" bottom="0.55000000000000004" header="0" footer="0"/>
      <printOptions horizontalCentered="1"/>
      <pageSetup scale="68" firstPageNumber="2" orientation="landscape" useFirstPageNumber="1" horizontalDpi="300" verticalDpi="300" r:id="rId2"/>
      <headerFooter alignWithMargins="0">
        <oddFooter>&amp;C&amp;"Times New Roman,Regular"Exhibit F - Crosswalk of 2011 Availability</oddFooter>
      </headerFooter>
    </customSheetView>
    <customSheetView guid="{4148B88B-8ED7-4FDE-9459-DEB244AD0552}" scale="75" showPageBreaks="1" showGridLines="0" outlineSymbols="0" fitToPage="1" printArea="1" hiddenColumns="1" view="pageBreakPreview">
      <selection activeCell="L12" sqref="L12"/>
      <pageMargins left="0.5" right="0.5" top="0.5" bottom="0.55000000000000004" header="0" footer="0"/>
      <printOptions horizontalCentered="1"/>
      <pageSetup scale="79" firstPageNumber="2" orientation="landscape" useFirstPageNumber="1" horizontalDpi="300" verticalDpi="300" r:id="rId3"/>
      <headerFooter alignWithMargins="0">
        <oddFooter>&amp;C&amp;"Times New Roman,Regular"Exhibit F - Crosswalk of 2011 Availability</oddFooter>
      </headerFooter>
    </customSheetView>
    <customSheetView guid="{12C66D54-5067-4346-818B-6EAB1C8A9183}" scale="75" showPageBreaks="1" showGridLines="0" outlineSymbols="0" fitToPage="1" printArea="1" view="pageBreakPreview">
      <selection activeCell="A36" sqref="A36:O36"/>
      <pageMargins left="0.5" right="0.5" top="0.5" bottom="0.55000000000000004" header="0" footer="0"/>
      <printOptions horizontalCentered="1"/>
      <pageSetup scale="79" firstPageNumber="2" orientation="landscape" useFirstPageNumber="1" horizontalDpi="300" verticalDpi="300" r:id="rId4"/>
      <headerFooter alignWithMargins="0">
        <oddFooter>&amp;C&amp;"Times New Roman,Regular"Exhibit F - Crosswalk of 2011 Availability</oddFooter>
      </headerFooter>
    </customSheetView>
    <customSheetView guid="{87EA6C51-A281-4696-9262-A16F553E7025}" scale="75" showPageBreaks="1" showGridLines="0" outlineSymbols="0" fitToPage="1" printArea="1" view="pageBreakPreview">
      <selection activeCell="A12" sqref="A12:A15"/>
      <pageMargins left="0.5" right="0.5" top="0.5" bottom="0.55000000000000004" header="0" footer="0"/>
      <printOptions horizontalCentered="1"/>
      <pageSetup scale="78" firstPageNumber="2" orientation="landscape" useFirstPageNumber="1" horizontalDpi="300" verticalDpi="300" r:id="rId5"/>
      <headerFooter alignWithMargins="0">
        <oddFooter>&amp;C&amp;"Times New Roman,Regular"Exhibit F - Crosswalk of 2011 Availability</oddFooter>
      </headerFooter>
    </customSheetView>
  </customSheetViews>
  <mergeCells count="16">
    <mergeCell ref="A1:O1"/>
    <mergeCell ref="A3:O3"/>
    <mergeCell ref="A4:O4"/>
    <mergeCell ref="A5:O5"/>
    <mergeCell ref="A32:O32"/>
    <mergeCell ref="B9:D10"/>
    <mergeCell ref="A9:A11"/>
    <mergeCell ref="A7:O7"/>
    <mergeCell ref="A8:O8"/>
    <mergeCell ref="A2:O2"/>
    <mergeCell ref="A6:O6"/>
    <mergeCell ref="M9:O10"/>
    <mergeCell ref="H9:J10"/>
    <mergeCell ref="K9:K10"/>
    <mergeCell ref="L9:L10"/>
    <mergeCell ref="E9:G10"/>
  </mergeCells>
  <phoneticPr fontId="0" type="noConversion"/>
  <printOptions horizontalCentered="1"/>
  <pageMargins left="0.5" right="0.5" top="0.5" bottom="0.55000000000000004" header="0" footer="0"/>
  <pageSetup scale="78" firstPageNumber="2" orientation="landscape" useFirstPageNumber="1" horizontalDpi="300" verticalDpi="300" r:id="rId6"/>
  <headerFooter alignWithMargins="0">
    <oddFooter>&amp;C&amp;"Times New Roman,Regular"Exhibit F - Crosswalk of 2011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T26"/>
  <sheetViews>
    <sheetView view="pageBreakPreview" zoomScale="75" zoomScaleNormal="100" zoomScaleSheetLayoutView="75" workbookViewId="0">
      <selection sqref="A1:R1"/>
    </sheetView>
  </sheetViews>
  <sheetFormatPr defaultRowHeight="15.75"/>
  <cols>
    <col min="1" max="1" width="35.21875" customWidth="1"/>
    <col min="8" max="8" width="8.88671875" hidden="1" customWidth="1"/>
    <col min="9" max="9" width="8.88671875" style="301" hidden="1" customWidth="1"/>
    <col min="10" max="10" width="8.88671875" hidden="1" customWidth="1"/>
    <col min="14" max="14" width="9.44140625" style="8" customWidth="1"/>
    <col min="15" max="15" width="10" style="8" customWidth="1"/>
  </cols>
  <sheetData>
    <row r="1" spans="1:20" ht="20.25">
      <c r="A1" s="661" t="s">
        <v>275</v>
      </c>
      <c r="B1" s="662"/>
      <c r="C1" s="662"/>
      <c r="D1" s="662"/>
      <c r="E1" s="662"/>
      <c r="F1" s="662"/>
      <c r="G1" s="662"/>
      <c r="H1" s="662"/>
      <c r="I1" s="662"/>
      <c r="J1" s="662"/>
      <c r="K1" s="662"/>
      <c r="L1" s="662"/>
      <c r="M1" s="662"/>
      <c r="N1" s="662"/>
      <c r="O1" s="662"/>
      <c r="P1" s="662"/>
      <c r="Q1" s="662"/>
      <c r="R1" s="662"/>
      <c r="S1" s="78" t="s">
        <v>0</v>
      </c>
      <c r="T1" s="8"/>
    </row>
    <row r="2" spans="1:20">
      <c r="A2" s="736"/>
      <c r="B2" s="736"/>
      <c r="C2" s="736"/>
      <c r="D2" s="736"/>
      <c r="E2" s="736"/>
      <c r="F2" s="736"/>
      <c r="G2" s="736"/>
      <c r="H2" s="736"/>
      <c r="I2" s="736"/>
      <c r="J2" s="736"/>
      <c r="K2" s="736"/>
      <c r="L2" s="736"/>
      <c r="M2" s="736"/>
      <c r="N2" s="736"/>
      <c r="O2" s="736"/>
      <c r="P2" s="736"/>
      <c r="Q2" s="736"/>
      <c r="R2" s="736"/>
      <c r="S2" s="78" t="s">
        <v>0</v>
      </c>
      <c r="T2" s="8"/>
    </row>
    <row r="3" spans="1:20" ht="18.75">
      <c r="A3" s="721" t="s">
        <v>180</v>
      </c>
      <c r="B3" s="722"/>
      <c r="C3" s="722"/>
      <c r="D3" s="722"/>
      <c r="E3" s="722"/>
      <c r="F3" s="722"/>
      <c r="G3" s="722"/>
      <c r="H3" s="722"/>
      <c r="I3" s="722"/>
      <c r="J3" s="722"/>
      <c r="K3" s="722"/>
      <c r="L3" s="722"/>
      <c r="M3" s="722"/>
      <c r="N3" s="722"/>
      <c r="O3" s="722"/>
      <c r="P3" s="722"/>
      <c r="Q3" s="722"/>
      <c r="R3" s="722"/>
      <c r="S3" s="78" t="s">
        <v>0</v>
      </c>
      <c r="T3" s="8"/>
    </row>
    <row r="4" spans="1:20" ht="16.5">
      <c r="A4" s="723" t="str">
        <f>+'B. Summary of Requirements '!A5</f>
        <v>General Administration</v>
      </c>
      <c r="B4" s="724"/>
      <c r="C4" s="724"/>
      <c r="D4" s="724"/>
      <c r="E4" s="724"/>
      <c r="F4" s="724"/>
      <c r="G4" s="724"/>
      <c r="H4" s="724"/>
      <c r="I4" s="724"/>
      <c r="J4" s="724"/>
      <c r="K4" s="724"/>
      <c r="L4" s="724"/>
      <c r="M4" s="724"/>
      <c r="N4" s="724"/>
      <c r="O4" s="724"/>
      <c r="P4" s="724"/>
      <c r="Q4" s="724"/>
      <c r="R4" s="724"/>
      <c r="S4" s="78" t="s">
        <v>0</v>
      </c>
      <c r="T4" s="8"/>
    </row>
    <row r="5" spans="1:20" ht="16.5">
      <c r="A5" s="723" t="str">
        <f>+'B. Summary of Requirements '!A6</f>
        <v>Salaries and Expenses</v>
      </c>
      <c r="B5" s="722"/>
      <c r="C5" s="722"/>
      <c r="D5" s="722"/>
      <c r="E5" s="722"/>
      <c r="F5" s="722"/>
      <c r="G5" s="722"/>
      <c r="H5" s="722"/>
      <c r="I5" s="722"/>
      <c r="J5" s="722"/>
      <c r="K5" s="722"/>
      <c r="L5" s="722"/>
      <c r="M5" s="722"/>
      <c r="N5" s="722"/>
      <c r="O5" s="722"/>
      <c r="P5" s="722"/>
      <c r="Q5" s="722"/>
      <c r="R5" s="722"/>
      <c r="S5" s="78" t="s">
        <v>0</v>
      </c>
      <c r="T5" s="8"/>
    </row>
    <row r="6" spans="1:20">
      <c r="A6" s="738" t="s">
        <v>119</v>
      </c>
      <c r="B6" s="724"/>
      <c r="C6" s="724"/>
      <c r="D6" s="724"/>
      <c r="E6" s="724"/>
      <c r="F6" s="724"/>
      <c r="G6" s="724"/>
      <c r="H6" s="724"/>
      <c r="I6" s="724"/>
      <c r="J6" s="724"/>
      <c r="K6" s="724"/>
      <c r="L6" s="724"/>
      <c r="M6" s="724"/>
      <c r="N6" s="724"/>
      <c r="O6" s="724"/>
      <c r="P6" s="724"/>
      <c r="Q6" s="724"/>
      <c r="R6" s="724"/>
      <c r="S6" s="78" t="s">
        <v>0</v>
      </c>
      <c r="T6" s="8"/>
    </row>
    <row r="7" spans="1:20">
      <c r="A7" s="736"/>
      <c r="B7" s="736"/>
      <c r="C7" s="736"/>
      <c r="D7" s="736"/>
      <c r="E7" s="736"/>
      <c r="F7" s="736"/>
      <c r="G7" s="736"/>
      <c r="H7" s="736"/>
      <c r="I7" s="736"/>
      <c r="J7" s="736"/>
      <c r="K7" s="736"/>
      <c r="L7" s="736"/>
      <c r="M7" s="736"/>
      <c r="N7" s="736"/>
      <c r="O7" s="736"/>
      <c r="P7" s="736"/>
      <c r="Q7" s="736"/>
      <c r="R7" s="736"/>
      <c r="S7" s="78" t="s">
        <v>0</v>
      </c>
      <c r="T7" s="8"/>
    </row>
    <row r="8" spans="1:20">
      <c r="A8" s="737"/>
      <c r="B8" s="737"/>
      <c r="C8" s="737"/>
      <c r="D8" s="737"/>
      <c r="E8" s="737"/>
      <c r="F8" s="737"/>
      <c r="G8" s="737"/>
      <c r="H8" s="737"/>
      <c r="I8" s="737"/>
      <c r="J8" s="737"/>
      <c r="K8" s="737"/>
      <c r="L8" s="737"/>
      <c r="M8" s="737"/>
      <c r="N8" s="737"/>
      <c r="O8" s="737"/>
      <c r="P8" s="737"/>
      <c r="Q8" s="737"/>
      <c r="R8" s="737"/>
      <c r="S8" s="78" t="s">
        <v>0</v>
      </c>
      <c r="T8" s="8"/>
    </row>
    <row r="9" spans="1:20" ht="15.75" customHeight="1">
      <c r="A9" s="763" t="s">
        <v>33</v>
      </c>
      <c r="B9" s="753" t="s">
        <v>189</v>
      </c>
      <c r="C9" s="754"/>
      <c r="D9" s="755"/>
      <c r="E9" s="747" t="s">
        <v>130</v>
      </c>
      <c r="F9" s="748"/>
      <c r="G9" s="749"/>
      <c r="H9" s="747" t="s">
        <v>131</v>
      </c>
      <c r="I9" s="748"/>
      <c r="J9" s="749"/>
      <c r="K9" s="753" t="s">
        <v>19</v>
      </c>
      <c r="L9" s="754"/>
      <c r="M9" s="755"/>
      <c r="N9" s="759" t="s">
        <v>159</v>
      </c>
      <c r="O9" s="761" t="s">
        <v>160</v>
      </c>
      <c r="P9" s="753" t="s">
        <v>179</v>
      </c>
      <c r="Q9" s="754"/>
      <c r="R9" s="755"/>
      <c r="S9" s="78" t="s">
        <v>0</v>
      </c>
      <c r="T9" s="8"/>
    </row>
    <row r="10" spans="1:20">
      <c r="A10" s="764"/>
      <c r="B10" s="756"/>
      <c r="C10" s="757"/>
      <c r="D10" s="758"/>
      <c r="E10" s="750"/>
      <c r="F10" s="751"/>
      <c r="G10" s="752"/>
      <c r="H10" s="750"/>
      <c r="I10" s="751"/>
      <c r="J10" s="752"/>
      <c r="K10" s="756"/>
      <c r="L10" s="757"/>
      <c r="M10" s="758"/>
      <c r="N10" s="760"/>
      <c r="O10" s="762"/>
      <c r="P10" s="756"/>
      <c r="Q10" s="757"/>
      <c r="R10" s="758"/>
      <c r="S10" s="78" t="s">
        <v>0</v>
      </c>
      <c r="T10" s="8"/>
    </row>
    <row r="11" spans="1:20" ht="16.5" thickBot="1">
      <c r="A11" s="765"/>
      <c r="B11" s="225" t="s">
        <v>135</v>
      </c>
      <c r="C11" s="226" t="s">
        <v>37</v>
      </c>
      <c r="D11" s="226" t="s">
        <v>137</v>
      </c>
      <c r="E11" s="225" t="s">
        <v>135</v>
      </c>
      <c r="F11" s="226" t="s">
        <v>37</v>
      </c>
      <c r="G11" s="226" t="s">
        <v>137</v>
      </c>
      <c r="H11" s="225" t="s">
        <v>135</v>
      </c>
      <c r="I11" s="226" t="s">
        <v>37</v>
      </c>
      <c r="J11" s="226" t="s">
        <v>137</v>
      </c>
      <c r="K11" s="225" t="s">
        <v>135</v>
      </c>
      <c r="L11" s="226" t="s">
        <v>37</v>
      </c>
      <c r="M11" s="226" t="s">
        <v>137</v>
      </c>
      <c r="N11" s="333" t="s">
        <v>137</v>
      </c>
      <c r="O11" s="334" t="s">
        <v>137</v>
      </c>
      <c r="P11" s="225" t="s">
        <v>135</v>
      </c>
      <c r="Q11" s="226" t="s">
        <v>37</v>
      </c>
      <c r="R11" s="227" t="s">
        <v>137</v>
      </c>
      <c r="S11" s="78" t="s">
        <v>0</v>
      </c>
      <c r="T11" s="8"/>
    </row>
    <row r="12" spans="1:20">
      <c r="A12" s="478" t="s">
        <v>218</v>
      </c>
      <c r="B12" s="206">
        <v>71</v>
      </c>
      <c r="C12" s="158">
        <v>71</v>
      </c>
      <c r="D12" s="158">
        <v>18401</v>
      </c>
      <c r="E12" s="206"/>
      <c r="F12" s="158"/>
      <c r="G12" s="158"/>
      <c r="H12" s="206"/>
      <c r="I12" s="158"/>
      <c r="J12" s="158"/>
      <c r="K12" s="206"/>
      <c r="L12" s="158"/>
      <c r="M12" s="158"/>
      <c r="N12" s="84"/>
      <c r="O12" s="158"/>
      <c r="P12" s="206">
        <f t="shared" ref="P12:R13" si="0">+B12</f>
        <v>71</v>
      </c>
      <c r="Q12" s="158">
        <f t="shared" si="0"/>
        <v>71</v>
      </c>
      <c r="R12" s="85">
        <f t="shared" si="0"/>
        <v>18401</v>
      </c>
      <c r="S12" s="78" t="s">
        <v>0</v>
      </c>
      <c r="T12" s="8"/>
    </row>
    <row r="13" spans="1:20">
      <c r="A13" s="479" t="s">
        <v>219</v>
      </c>
      <c r="B13" s="206">
        <v>46</v>
      </c>
      <c r="C13" s="158">
        <v>46</v>
      </c>
      <c r="D13" s="158">
        <v>8142</v>
      </c>
      <c r="E13" s="206"/>
      <c r="F13" s="158"/>
      <c r="G13" s="158"/>
      <c r="H13" s="206"/>
      <c r="I13" s="158"/>
      <c r="J13" s="158"/>
      <c r="K13" s="206"/>
      <c r="L13" s="158"/>
      <c r="M13" s="158"/>
      <c r="N13" s="84"/>
      <c r="O13" s="158"/>
      <c r="P13" s="206">
        <f t="shared" si="0"/>
        <v>46</v>
      </c>
      <c r="Q13" s="158">
        <f t="shared" si="0"/>
        <v>46</v>
      </c>
      <c r="R13" s="85">
        <f t="shared" si="0"/>
        <v>8142</v>
      </c>
      <c r="S13" s="78" t="s">
        <v>0</v>
      </c>
      <c r="T13" s="8"/>
    </row>
    <row r="14" spans="1:20">
      <c r="A14" s="479" t="s">
        <v>227</v>
      </c>
      <c r="B14" s="206">
        <v>58</v>
      </c>
      <c r="C14" s="158">
        <v>58</v>
      </c>
      <c r="D14" s="158">
        <v>12971</v>
      </c>
      <c r="E14" s="206"/>
      <c r="F14" s="158"/>
      <c r="G14" s="158"/>
      <c r="H14" s="206"/>
      <c r="I14" s="158"/>
      <c r="J14" s="158"/>
      <c r="K14" s="206">
        <v>3</v>
      </c>
      <c r="L14" s="158">
        <v>3</v>
      </c>
      <c r="M14" s="158">
        <v>795</v>
      </c>
      <c r="N14" s="84"/>
      <c r="O14" s="158"/>
      <c r="P14" s="206">
        <f>+B14+K14</f>
        <v>61</v>
      </c>
      <c r="Q14" s="158">
        <f>+C14+L14</f>
        <v>61</v>
      </c>
      <c r="R14" s="85">
        <f>+D14+M14</f>
        <v>13766</v>
      </c>
      <c r="S14" s="78" t="s">
        <v>0</v>
      </c>
      <c r="T14" s="8"/>
    </row>
    <row r="15" spans="1:20" s="533" customFormat="1">
      <c r="A15" s="550" t="s">
        <v>221</v>
      </c>
      <c r="B15" s="515">
        <v>382</v>
      </c>
      <c r="C15" s="516">
        <v>382</v>
      </c>
      <c r="D15" s="520">
        <v>71308</v>
      </c>
      <c r="E15" s="515"/>
      <c r="F15" s="516"/>
      <c r="G15" s="520"/>
      <c r="H15" s="228"/>
      <c r="I15" s="229"/>
      <c r="J15" s="229"/>
      <c r="K15" s="515"/>
      <c r="L15" s="516"/>
      <c r="M15" s="520"/>
      <c r="N15" s="551"/>
      <c r="O15" s="551"/>
      <c r="P15" s="554">
        <f>+B15</f>
        <v>382</v>
      </c>
      <c r="Q15" s="516">
        <f>+C15</f>
        <v>382</v>
      </c>
      <c r="R15" s="523">
        <f>+D15</f>
        <v>71308</v>
      </c>
      <c r="S15" s="78" t="s">
        <v>0</v>
      </c>
      <c r="T15" s="8"/>
    </row>
    <row r="16" spans="1:20">
      <c r="A16" s="549" t="s">
        <v>274</v>
      </c>
      <c r="B16" s="552" t="s">
        <v>136</v>
      </c>
      <c r="C16" s="553" t="s">
        <v>136</v>
      </c>
      <c r="D16" s="553" t="s">
        <v>136</v>
      </c>
      <c r="E16" s="228"/>
      <c r="F16" s="229"/>
      <c r="G16" s="229"/>
      <c r="H16" s="228"/>
      <c r="I16" s="229"/>
      <c r="J16" s="229"/>
      <c r="K16" s="228"/>
      <c r="L16" s="229"/>
      <c r="M16" s="229"/>
      <c r="N16" s="329">
        <v>601</v>
      </c>
      <c r="O16" s="229"/>
      <c r="P16" s="552" t="s">
        <v>136</v>
      </c>
      <c r="Q16" s="553" t="s">
        <v>136</v>
      </c>
      <c r="R16" s="555">
        <f>+N16</f>
        <v>601</v>
      </c>
      <c r="S16" s="78" t="s">
        <v>0</v>
      </c>
      <c r="T16" s="8"/>
    </row>
    <row r="17" spans="1:20">
      <c r="A17" s="230" t="s">
        <v>144</v>
      </c>
      <c r="B17" s="231">
        <f t="shared" ref="B17:G17" si="1">SUM(B12:B16)</f>
        <v>557</v>
      </c>
      <c r="C17" s="232">
        <f t="shared" si="1"/>
        <v>557</v>
      </c>
      <c r="D17" s="233">
        <f t="shared" si="1"/>
        <v>110822</v>
      </c>
      <c r="E17" s="231">
        <f t="shared" si="1"/>
        <v>0</v>
      </c>
      <c r="F17" s="232">
        <f t="shared" si="1"/>
        <v>0</v>
      </c>
      <c r="G17" s="234">
        <f t="shared" si="1"/>
        <v>0</v>
      </c>
      <c r="H17" s="231">
        <f t="shared" ref="H17:O17" si="2">SUM(H12:H16)</f>
        <v>0</v>
      </c>
      <c r="I17" s="232">
        <f>SUM(I12:I16)</f>
        <v>0</v>
      </c>
      <c r="J17" s="233">
        <f t="shared" si="2"/>
        <v>0</v>
      </c>
      <c r="K17" s="231">
        <f>SUM(K12:K16)</f>
        <v>3</v>
      </c>
      <c r="L17" s="232">
        <f>SUM(L12:L16)</f>
        <v>3</v>
      </c>
      <c r="M17" s="233">
        <f>SUM(M12:M16)</f>
        <v>795</v>
      </c>
      <c r="N17" s="330">
        <f>SUM(N12:N16)</f>
        <v>601</v>
      </c>
      <c r="O17" s="233">
        <f t="shared" si="2"/>
        <v>0</v>
      </c>
      <c r="P17" s="231">
        <f>SUM(P12:P16)</f>
        <v>560</v>
      </c>
      <c r="Q17" s="232">
        <f>SUM(Q12:Q16)</f>
        <v>560</v>
      </c>
      <c r="R17" s="235">
        <f>SUM(R12:R16)</f>
        <v>112218</v>
      </c>
      <c r="S17" s="78" t="s">
        <v>0</v>
      </c>
      <c r="T17" s="8"/>
    </row>
    <row r="18" spans="1:20">
      <c r="A18" s="224" t="s">
        <v>123</v>
      </c>
      <c r="B18" s="204" t="s">
        <v>136</v>
      </c>
      <c r="C18" s="205">
        <v>90</v>
      </c>
      <c r="D18" s="205"/>
      <c r="E18" s="204"/>
      <c r="F18" s="205"/>
      <c r="G18" s="205"/>
      <c r="H18" s="204"/>
      <c r="I18" s="205"/>
      <c r="J18" s="205"/>
      <c r="K18" s="204"/>
      <c r="L18" s="205"/>
      <c r="M18" s="205"/>
      <c r="N18" s="88"/>
      <c r="O18" s="205"/>
      <c r="P18" s="204"/>
      <c r="Q18" s="205">
        <f>C18+F18+I18+L18</f>
        <v>90</v>
      </c>
      <c r="R18" s="236"/>
      <c r="S18" s="78" t="s">
        <v>0</v>
      </c>
      <c r="T18" s="10"/>
    </row>
    <row r="19" spans="1:20">
      <c r="A19" s="224" t="s">
        <v>122</v>
      </c>
      <c r="B19" s="237"/>
      <c r="C19" s="238">
        <f>SUM(C17:C18)</f>
        <v>647</v>
      </c>
      <c r="D19" s="238"/>
      <c r="E19" s="237"/>
      <c r="F19" s="238">
        <f>+F17+F18</f>
        <v>0</v>
      </c>
      <c r="G19" s="238"/>
      <c r="H19" s="237"/>
      <c r="I19" s="238">
        <f>+I17+I18</f>
        <v>0</v>
      </c>
      <c r="J19" s="238"/>
      <c r="K19" s="237"/>
      <c r="L19" s="238">
        <f>+L17+L18</f>
        <v>3</v>
      </c>
      <c r="M19" s="238"/>
      <c r="N19" s="331"/>
      <c r="O19" s="238"/>
      <c r="P19" s="237"/>
      <c r="Q19" s="238">
        <f>SUM(Q17:Q18)</f>
        <v>650</v>
      </c>
      <c r="R19" s="239"/>
      <c r="S19" s="78" t="s">
        <v>0</v>
      </c>
      <c r="T19" s="8"/>
    </row>
    <row r="20" spans="1:20">
      <c r="A20" s="240" t="s">
        <v>124</v>
      </c>
      <c r="B20" s="206"/>
      <c r="C20" s="158"/>
      <c r="D20" s="158"/>
      <c r="E20" s="206"/>
      <c r="F20" s="158"/>
      <c r="G20" s="158"/>
      <c r="H20" s="206"/>
      <c r="I20" s="158"/>
      <c r="J20" s="158"/>
      <c r="K20" s="206"/>
      <c r="L20" s="158"/>
      <c r="M20" s="158"/>
      <c r="N20" s="84"/>
      <c r="O20" s="158"/>
      <c r="P20" s="206"/>
      <c r="Q20" s="158"/>
      <c r="R20" s="85"/>
      <c r="S20" s="78" t="s">
        <v>0</v>
      </c>
      <c r="T20" s="8"/>
    </row>
    <row r="21" spans="1:20">
      <c r="A21" s="241" t="s">
        <v>43</v>
      </c>
      <c r="B21" s="206"/>
      <c r="C21" s="158">
        <v>0</v>
      </c>
      <c r="D21" s="158"/>
      <c r="E21" s="206"/>
      <c r="F21" s="158">
        <v>0</v>
      </c>
      <c r="G21" s="158"/>
      <c r="H21" s="206"/>
      <c r="I21" s="158">
        <v>0</v>
      </c>
      <c r="J21" s="158"/>
      <c r="K21" s="206"/>
      <c r="L21" s="158">
        <v>0</v>
      </c>
      <c r="M21" s="158"/>
      <c r="N21" s="84"/>
      <c r="O21" s="158"/>
      <c r="P21" s="206"/>
      <c r="Q21" s="158">
        <f>C21+F21+I21+L21</f>
        <v>0</v>
      </c>
      <c r="R21" s="85"/>
      <c r="S21" s="78" t="s">
        <v>0</v>
      </c>
      <c r="T21" s="8"/>
    </row>
    <row r="22" spans="1:20">
      <c r="A22" s="242" t="s">
        <v>75</v>
      </c>
      <c r="B22" s="204"/>
      <c r="C22" s="205">
        <v>0</v>
      </c>
      <c r="D22" s="205"/>
      <c r="E22" s="204"/>
      <c r="F22" s="205">
        <v>0</v>
      </c>
      <c r="G22" s="205"/>
      <c r="H22" s="204"/>
      <c r="I22" s="205">
        <v>0</v>
      </c>
      <c r="J22" s="205"/>
      <c r="K22" s="204"/>
      <c r="L22" s="205">
        <v>0</v>
      </c>
      <c r="M22" s="205"/>
      <c r="N22" s="88"/>
      <c r="O22" s="205"/>
      <c r="P22" s="204"/>
      <c r="Q22" s="205">
        <f>C22+F22+I22+L22</f>
        <v>0</v>
      </c>
      <c r="R22" s="236"/>
      <c r="S22" s="78" t="s">
        <v>0</v>
      </c>
      <c r="T22" s="8"/>
    </row>
    <row r="23" spans="1:20">
      <c r="A23" s="224" t="s">
        <v>125</v>
      </c>
      <c r="B23" s="204"/>
      <c r="C23" s="205">
        <f>C22+C21+C19</f>
        <v>647</v>
      </c>
      <c r="D23" s="243"/>
      <c r="E23" s="204"/>
      <c r="F23" s="205">
        <f>F22+F21+F19</f>
        <v>0</v>
      </c>
      <c r="G23" s="243"/>
      <c r="H23" s="204"/>
      <c r="I23" s="205">
        <f>I22+I21+I19</f>
        <v>0</v>
      </c>
      <c r="J23" s="243"/>
      <c r="K23" s="204"/>
      <c r="L23" s="205">
        <f>L22+L21+L19</f>
        <v>3</v>
      </c>
      <c r="M23" s="243"/>
      <c r="N23" s="332"/>
      <c r="O23" s="243"/>
      <c r="P23" s="204"/>
      <c r="Q23" s="205">
        <f>Q22+Q21+Q19</f>
        <v>650</v>
      </c>
      <c r="R23" s="244"/>
      <c r="S23" s="78" t="s">
        <v>0</v>
      </c>
      <c r="T23" s="8"/>
    </row>
    <row r="24" spans="1:20">
      <c r="A24" s="8"/>
      <c r="B24" s="1"/>
      <c r="C24" s="1"/>
      <c r="D24" s="1"/>
      <c r="E24" s="1"/>
      <c r="F24" s="1"/>
      <c r="G24" s="1"/>
      <c r="H24" s="1"/>
      <c r="I24" s="1"/>
      <c r="J24" s="1"/>
      <c r="K24" s="1"/>
      <c r="L24" s="1"/>
      <c r="M24" s="1"/>
      <c r="N24" s="1"/>
      <c r="O24" s="1"/>
      <c r="P24" s="1"/>
      <c r="Q24" s="1"/>
      <c r="R24" s="1"/>
      <c r="S24" s="67" t="s">
        <v>20</v>
      </c>
      <c r="T24" s="8"/>
    </row>
    <row r="25" spans="1:20">
      <c r="A25" s="1"/>
      <c r="B25" s="19"/>
      <c r="C25" s="1"/>
      <c r="D25" s="1"/>
      <c r="E25" s="1"/>
      <c r="F25" s="1"/>
      <c r="G25" s="1"/>
      <c r="H25" s="1"/>
      <c r="I25" s="1"/>
      <c r="J25" s="2"/>
      <c r="K25" s="1"/>
      <c r="L25" s="1"/>
      <c r="M25" s="1"/>
      <c r="N25" s="1"/>
      <c r="O25" s="1"/>
      <c r="P25" s="1"/>
      <c r="Q25" s="1"/>
      <c r="R25" s="1"/>
      <c r="S25" s="78"/>
      <c r="T25" s="8"/>
    </row>
    <row r="26" spans="1:20" ht="18">
      <c r="A26" s="148"/>
      <c r="B26" s="19"/>
      <c r="C26" s="19"/>
      <c r="D26" s="19"/>
      <c r="E26" s="19"/>
      <c r="F26" s="19"/>
      <c r="G26" s="19"/>
      <c r="H26" s="19"/>
      <c r="I26" s="19"/>
      <c r="J26" s="19"/>
      <c r="K26" s="19"/>
      <c r="L26" s="19"/>
      <c r="M26" s="19"/>
      <c r="P26" s="19"/>
      <c r="Q26" s="19"/>
      <c r="R26" s="19"/>
      <c r="S26" s="19"/>
      <c r="T26" s="79"/>
    </row>
  </sheetData>
  <customSheetViews>
    <customSheetView guid="{3118AF25-8423-420A-806A-487665220C68}" scale="75" showPageBreaks="1" fitToPage="1" printArea="1" hiddenColumns="1" view="pageBreakPreview">
      <selection activeCell="R16" sqref="R16"/>
      <pageMargins left="0.75" right="0.75" top="1" bottom="1" header="0.5" footer="0.5"/>
      <pageSetup scale="62" orientation="landscape" r:id="rId1"/>
      <headerFooter alignWithMargins="0">
        <oddFooter>&amp;C&amp;"Times New Roman,Regular"Exhibit G:  Crosswalk of 2012 Availability</oddFooter>
      </headerFooter>
    </customSheetView>
    <customSheetView guid="{56C0A34E-45B4-448B-85E5-70B3A8E63333}" scale="75" showPageBreaks="1" fitToPage="1" printArea="1" view="pageBreakPreview">
      <selection activeCell="E13" sqref="E13"/>
      <pageMargins left="0.75" right="0.75" top="1" bottom="1" header="0.5" footer="0.5"/>
      <pageSetup scale="54" orientation="landscape" r:id="rId2"/>
      <headerFooter alignWithMargins="0">
        <oddFooter>&amp;C&amp;"Times New Roman,Regular"Exhibit G:  Crosswalk of 2012 Availability</oddFooter>
      </headerFooter>
    </customSheetView>
    <customSheetView guid="{4148B88B-8ED7-4FDE-9459-DEB244AD0552}" scale="75" showPageBreaks="1" fitToPage="1" printArea="1" hiddenColumns="1" view="pageBreakPreview">
      <selection activeCell="N11" sqref="N11"/>
      <pageMargins left="0.75" right="0.75" top="1" bottom="1" header="0.5" footer="0.5"/>
      <pageSetup scale="62" orientation="landscape" r:id="rId3"/>
      <headerFooter alignWithMargins="0">
        <oddFooter>&amp;C&amp;"Times New Roman,Regular"Exhibit G:  Crosswalk of 2012 Availability</oddFooter>
      </headerFooter>
    </customSheetView>
    <customSheetView guid="{12C66D54-5067-4346-818B-6EAB1C8A9183}" scale="75" showPageBreaks="1" fitToPage="1" printArea="1" hiddenColumns="1" view="pageBreakPreview">
      <selection activeCell="E43" sqref="E43"/>
      <pageMargins left="0.75" right="0.75" top="1" bottom="1" header="0.5" footer="0.5"/>
      <pageSetup scale="62" orientation="landscape" r:id="rId4"/>
      <headerFooter alignWithMargins="0">
        <oddFooter>&amp;C&amp;"Times New Roman,Regular"Exhibit G:  Crosswalk of 2012 Availability</oddFooter>
      </headerFooter>
    </customSheetView>
    <customSheetView guid="{87EA6C51-A281-4696-9262-A16F553E7025}" scale="75" showPageBreaks="1" fitToPage="1" printArea="1" hiddenColumns="1" view="pageBreakPreview">
      <selection activeCell="O14" sqref="O14"/>
      <pageMargins left="0.75" right="0.75" top="1" bottom="1" header="0.5" footer="0.5"/>
      <pageSetup scale="63" orientation="landscape" r:id="rId5"/>
      <headerFooter alignWithMargins="0">
        <oddFooter>&amp;C&amp;"Times New Roman,Regular"Exhibit G:  Crosswalk of 2012 Availability</oddFooter>
      </headerFooter>
    </customSheetView>
  </customSheetViews>
  <mergeCells count="16">
    <mergeCell ref="H9:J10"/>
    <mergeCell ref="K9:M10"/>
    <mergeCell ref="A1:R1"/>
    <mergeCell ref="A2:R2"/>
    <mergeCell ref="A3:R3"/>
    <mergeCell ref="A4:R4"/>
    <mergeCell ref="A5:R5"/>
    <mergeCell ref="P9:R10"/>
    <mergeCell ref="N9:N10"/>
    <mergeCell ref="O9:O10"/>
    <mergeCell ref="A6:R6"/>
    <mergeCell ref="A7:R7"/>
    <mergeCell ref="A8:R8"/>
    <mergeCell ref="A9:A11"/>
    <mergeCell ref="B9:D10"/>
    <mergeCell ref="E9:G10"/>
  </mergeCells>
  <phoneticPr fontId="43" type="noConversion"/>
  <pageMargins left="0.75" right="0.75" top="1" bottom="1" header="0.5" footer="0.5"/>
  <pageSetup scale="62" orientation="landscape" r:id="rId6"/>
  <headerFooter alignWithMargins="0">
    <oddFooter>&amp;C&amp;"Times New Roman,Regular"Exhibit G:  Crosswalk of 2012 Availability</oddFooter>
  </headerFooter>
  <ignoredErrors>
    <ignoredError sqref="P14:R14" formula="1"/>
  </ignoredErrors>
</worksheet>
</file>

<file path=xl/worksheets/sheet8.xml><?xml version="1.0" encoding="utf-8"?>
<worksheet xmlns="http://schemas.openxmlformats.org/spreadsheetml/2006/main" xmlns:r="http://schemas.openxmlformats.org/officeDocument/2006/relationships">
  <sheetPr codeName="Sheet13">
    <pageSetUpPr fitToPage="1"/>
  </sheetPr>
  <dimension ref="A1:AE49"/>
  <sheetViews>
    <sheetView showGridLines="0" showOutlineSymbols="0" view="pageBreakPreview" zoomScale="75" zoomScaleNormal="75" workbookViewId="0"/>
  </sheetViews>
  <sheetFormatPr defaultColWidth="9.6640625" defaultRowHeight="15.75"/>
  <cols>
    <col min="1" max="1" width="45.6640625" style="19" customWidth="1"/>
    <col min="2" max="2" width="6.5546875" style="19" customWidth="1"/>
    <col min="3" max="3" width="5.6640625" style="19" customWidth="1"/>
    <col min="4" max="4" width="10.44140625" style="19" bestFit="1" customWidth="1"/>
    <col min="5" max="6" width="5.6640625" style="19" customWidth="1"/>
    <col min="7" max="7" width="11.77734375" style="19" customWidth="1"/>
    <col min="8" max="9" width="5.6640625" style="19" customWidth="1"/>
    <col min="10" max="10" width="10.44140625" style="19" bestFit="1" customWidth="1"/>
    <col min="11" max="12" width="5.6640625" style="19" customWidth="1"/>
    <col min="13" max="13" width="8.33203125" style="19" bestFit="1" customWidth="1"/>
    <col min="14" max="14" width="1.21875" style="71" customWidth="1"/>
    <col min="15" max="15" width="27.5546875" style="19" customWidth="1"/>
    <col min="16" max="19" width="7.6640625" style="19" customWidth="1"/>
    <col min="20" max="20" width="3.6640625" style="19" customWidth="1"/>
    <col min="21" max="23" width="7.6640625" style="19" customWidth="1"/>
    <col min="24" max="24" width="3.6640625" style="19" customWidth="1"/>
    <col min="25" max="27" width="7.6640625" style="19" customWidth="1"/>
    <col min="28" max="28" width="3.6640625" style="19" customWidth="1"/>
    <col min="29" max="31" width="7.6640625" style="19" customWidth="1"/>
    <col min="32" max="16384" width="9.6640625" style="19"/>
  </cols>
  <sheetData>
    <row r="1" spans="1:20" ht="20.25">
      <c r="A1" s="481" t="s">
        <v>167</v>
      </c>
      <c r="B1" s="485"/>
      <c r="C1" s="485"/>
      <c r="D1" s="485"/>
      <c r="E1" s="485"/>
      <c r="F1" s="485"/>
      <c r="G1" s="485"/>
      <c r="H1" s="485"/>
      <c r="I1" s="485"/>
      <c r="J1" s="485"/>
      <c r="K1" s="485"/>
      <c r="L1" s="485"/>
      <c r="M1" s="485"/>
      <c r="N1" s="70" t="s">
        <v>0</v>
      </c>
      <c r="O1" s="1"/>
      <c r="P1" s="1"/>
      <c r="Q1" s="1"/>
      <c r="R1" s="1"/>
      <c r="S1" s="1"/>
      <c r="T1" s="1"/>
    </row>
    <row r="2" spans="1:20" ht="13.9" customHeight="1">
      <c r="A2" s="7"/>
      <c r="B2" s="7"/>
      <c r="C2" s="7"/>
      <c r="D2" s="7"/>
      <c r="E2" s="7"/>
      <c r="F2" s="7"/>
      <c r="G2" s="7"/>
      <c r="H2" s="7"/>
      <c r="I2" s="7"/>
      <c r="J2" s="7"/>
      <c r="K2" s="7"/>
      <c r="L2" s="7"/>
      <c r="M2" s="7"/>
      <c r="N2" s="70" t="s">
        <v>0</v>
      </c>
      <c r="O2" s="1"/>
      <c r="P2" s="1"/>
      <c r="Q2" s="1"/>
      <c r="R2" s="1"/>
      <c r="S2" s="1"/>
      <c r="T2" s="1"/>
    </row>
    <row r="3" spans="1:20">
      <c r="A3" s="769"/>
      <c r="B3" s="769"/>
      <c r="C3" s="769"/>
      <c r="D3" s="769"/>
      <c r="E3" s="769"/>
      <c r="F3" s="769"/>
      <c r="G3" s="769"/>
      <c r="H3" s="769"/>
      <c r="I3" s="769"/>
      <c r="J3" s="769"/>
      <c r="K3" s="769"/>
      <c r="L3" s="769"/>
      <c r="M3" s="769"/>
      <c r="N3" s="70" t="s">
        <v>0</v>
      </c>
      <c r="O3" s="1"/>
      <c r="P3" s="1"/>
      <c r="Q3" s="1"/>
      <c r="R3" s="1"/>
      <c r="S3" s="1"/>
      <c r="T3" s="1"/>
    </row>
    <row r="4" spans="1:20">
      <c r="A4" s="770"/>
      <c r="B4" s="770"/>
      <c r="C4" s="770"/>
      <c r="D4" s="770"/>
      <c r="E4" s="770"/>
      <c r="F4" s="770"/>
      <c r="G4" s="770"/>
      <c r="H4" s="770"/>
      <c r="I4" s="770"/>
      <c r="J4" s="770"/>
      <c r="K4" s="770"/>
      <c r="L4" s="770"/>
      <c r="M4" s="770"/>
      <c r="N4" s="70" t="s">
        <v>0</v>
      </c>
      <c r="O4" s="1"/>
      <c r="P4" s="1"/>
      <c r="Q4" s="1"/>
      <c r="R4" s="1"/>
      <c r="S4" s="1"/>
      <c r="T4" s="1"/>
    </row>
    <row r="5" spans="1:20">
      <c r="A5" s="769"/>
      <c r="B5" s="769"/>
      <c r="C5" s="769"/>
      <c r="D5" s="769"/>
      <c r="E5" s="769"/>
      <c r="F5" s="769"/>
      <c r="G5" s="769"/>
      <c r="H5" s="769"/>
      <c r="I5" s="769"/>
      <c r="J5" s="769"/>
      <c r="K5" s="769"/>
      <c r="L5" s="769"/>
      <c r="M5" s="769"/>
      <c r="N5" s="70" t="s">
        <v>0</v>
      </c>
      <c r="O5" s="1"/>
      <c r="P5" s="1"/>
      <c r="Q5" s="1"/>
      <c r="R5" s="1"/>
      <c r="S5" s="1"/>
      <c r="T5" s="1"/>
    </row>
    <row r="6" spans="1:20">
      <c r="A6" s="770"/>
      <c r="B6" s="770"/>
      <c r="C6" s="770"/>
      <c r="D6" s="770"/>
      <c r="E6" s="770"/>
      <c r="F6" s="770"/>
      <c r="G6" s="770"/>
      <c r="H6" s="770"/>
      <c r="I6" s="770"/>
      <c r="J6" s="770"/>
      <c r="K6" s="770"/>
      <c r="L6" s="770"/>
      <c r="M6" s="770"/>
      <c r="N6" s="70" t="s">
        <v>0</v>
      </c>
      <c r="O6" s="1"/>
      <c r="P6" s="1"/>
      <c r="Q6" s="1"/>
      <c r="R6" s="1"/>
      <c r="S6" s="1"/>
      <c r="T6" s="1"/>
    </row>
    <row r="7" spans="1:20">
      <c r="A7" s="7"/>
      <c r="B7" s="7"/>
      <c r="C7" s="7"/>
      <c r="D7" s="7"/>
      <c r="E7" s="245"/>
      <c r="F7" s="245"/>
      <c r="G7" s="245"/>
      <c r="H7" s="7"/>
      <c r="I7" s="7"/>
      <c r="J7" s="7"/>
      <c r="K7" s="7"/>
      <c r="L7" s="7"/>
      <c r="M7" s="7"/>
      <c r="N7" s="70" t="s">
        <v>0</v>
      </c>
      <c r="O7" s="1"/>
      <c r="P7" s="1"/>
      <c r="Q7" s="1"/>
      <c r="R7" s="1"/>
      <c r="S7" s="1"/>
      <c r="T7" s="1"/>
    </row>
    <row r="8" spans="1:20">
      <c r="A8" s="512"/>
      <c r="B8" s="766" t="s">
        <v>190</v>
      </c>
      <c r="C8" s="767"/>
      <c r="D8" s="768"/>
      <c r="E8" s="766" t="s">
        <v>181</v>
      </c>
      <c r="F8" s="767"/>
      <c r="G8" s="768"/>
      <c r="H8" s="766" t="s">
        <v>176</v>
      </c>
      <c r="I8" s="767"/>
      <c r="J8" s="768"/>
      <c r="K8" s="766" t="s">
        <v>32</v>
      </c>
      <c r="L8" s="767"/>
      <c r="M8" s="768"/>
      <c r="N8" s="70" t="s">
        <v>0</v>
      </c>
      <c r="O8" s="1"/>
      <c r="P8" s="1"/>
      <c r="Q8" s="1"/>
      <c r="R8" s="1"/>
      <c r="S8" s="1"/>
      <c r="T8" s="1"/>
    </row>
    <row r="9" spans="1:20" ht="16.5" thickBot="1">
      <c r="A9" s="482" t="s">
        <v>133</v>
      </c>
      <c r="B9" s="225" t="s">
        <v>135</v>
      </c>
      <c r="C9" s="226" t="s">
        <v>37</v>
      </c>
      <c r="D9" s="227" t="s">
        <v>137</v>
      </c>
      <c r="E9" s="225" t="s">
        <v>135</v>
      </c>
      <c r="F9" s="226" t="s">
        <v>37</v>
      </c>
      <c r="G9" s="226" t="s">
        <v>137</v>
      </c>
      <c r="H9" s="225" t="s">
        <v>135</v>
      </c>
      <c r="I9" s="226" t="s">
        <v>37</v>
      </c>
      <c r="J9" s="226" t="s">
        <v>137</v>
      </c>
      <c r="K9" s="225" t="s">
        <v>135</v>
      </c>
      <c r="L9" s="226" t="s">
        <v>37</v>
      </c>
      <c r="M9" s="227" t="s">
        <v>137</v>
      </c>
      <c r="N9" s="70" t="s">
        <v>0</v>
      </c>
      <c r="O9" s="1"/>
      <c r="P9" s="1"/>
      <c r="Q9" s="1"/>
      <c r="R9" s="1"/>
      <c r="S9" s="1"/>
      <c r="T9" s="1"/>
    </row>
    <row r="10" spans="1:20">
      <c r="A10" s="507" t="s">
        <v>244</v>
      </c>
      <c r="B10" s="206"/>
      <c r="C10" s="158"/>
      <c r="D10" s="19">
        <v>601.34499999999991</v>
      </c>
      <c r="E10" s="206"/>
      <c r="F10" s="158"/>
      <c r="G10" s="525">
        <v>716.95950694707255</v>
      </c>
      <c r="H10" s="206"/>
      <c r="I10" s="158"/>
      <c r="J10" s="158">
        <v>457</v>
      </c>
      <c r="K10" s="206">
        <f>H10-E10</f>
        <v>0</v>
      </c>
      <c r="L10" s="158">
        <f>I10-F10</f>
        <v>0</v>
      </c>
      <c r="M10" s="85">
        <f>J10-G10</f>
        <v>-259.95950694707255</v>
      </c>
      <c r="N10" s="70" t="s">
        <v>0</v>
      </c>
      <c r="O10" s="1"/>
      <c r="P10" s="1"/>
      <c r="Q10" s="1"/>
      <c r="R10" s="1"/>
      <c r="S10" s="1"/>
      <c r="T10" s="1"/>
    </row>
    <row r="11" spans="1:20">
      <c r="A11" s="508" t="s">
        <v>245</v>
      </c>
      <c r="B11" s="206"/>
      <c r="C11" s="158"/>
      <c r="D11" s="514">
        <v>462.13599999999997</v>
      </c>
      <c r="E11" s="206"/>
      <c r="F11" s="158"/>
      <c r="G11" s="19">
        <v>599.21068281342923</v>
      </c>
      <c r="H11" s="206"/>
      <c r="I11" s="158"/>
      <c r="J11" s="158">
        <v>293</v>
      </c>
      <c r="K11" s="206">
        <f t="shared" ref="K11:K13" si="0">H11-E11</f>
        <v>0</v>
      </c>
      <c r="L11" s="158">
        <f t="shared" ref="L11:L13" si="1">I11-F11</f>
        <v>0</v>
      </c>
      <c r="M11" s="85">
        <f t="shared" ref="M11:M13" si="2">J11-G11</f>
        <v>-306.21068281342923</v>
      </c>
      <c r="N11" s="70" t="s">
        <v>0</v>
      </c>
      <c r="O11" s="1"/>
      <c r="P11" s="1"/>
      <c r="Q11" s="1"/>
      <c r="R11" s="1"/>
      <c r="S11" s="1"/>
      <c r="T11" s="1"/>
    </row>
    <row r="12" spans="1:20">
      <c r="A12" s="508" t="s">
        <v>246</v>
      </c>
      <c r="B12" s="206"/>
      <c r="C12" s="158"/>
      <c r="D12" s="514">
        <v>7.5759999999999996</v>
      </c>
      <c r="E12" s="206"/>
      <c r="F12" s="158"/>
      <c r="G12" s="513">
        <v>10.466562145212738</v>
      </c>
      <c r="H12" s="206"/>
      <c r="I12" s="158"/>
      <c r="J12" s="158">
        <v>5</v>
      </c>
      <c r="K12" s="206">
        <f t="shared" si="0"/>
        <v>0</v>
      </c>
      <c r="L12" s="158">
        <f t="shared" si="1"/>
        <v>0</v>
      </c>
      <c r="M12" s="85">
        <f t="shared" si="2"/>
        <v>-5.4665621452127375</v>
      </c>
      <c r="N12" s="70" t="s">
        <v>0</v>
      </c>
      <c r="O12" s="1"/>
      <c r="P12" s="1"/>
      <c r="Q12" s="1"/>
      <c r="R12" s="1"/>
      <c r="S12" s="1"/>
      <c r="T12" s="1"/>
    </row>
    <row r="13" spans="1:20">
      <c r="A13" s="508" t="s">
        <v>247</v>
      </c>
      <c r="B13" s="515"/>
      <c r="C13" s="516"/>
      <c r="D13" s="514">
        <v>2469.7759999999998</v>
      </c>
      <c r="E13" s="518"/>
      <c r="F13" s="516"/>
      <c r="G13" s="514">
        <v>3436.9573444342327</v>
      </c>
      <c r="H13" s="515"/>
      <c r="I13" s="521"/>
      <c r="J13" s="520">
        <v>1751</v>
      </c>
      <c r="K13" s="206">
        <f t="shared" si="0"/>
        <v>0</v>
      </c>
      <c r="L13" s="158">
        <f t="shared" si="1"/>
        <v>0</v>
      </c>
      <c r="M13" s="85">
        <f t="shared" si="2"/>
        <v>-1685.9573444342327</v>
      </c>
      <c r="N13" s="70" t="s">
        <v>0</v>
      </c>
      <c r="O13" s="9"/>
      <c r="P13" s="9"/>
      <c r="Q13" s="1"/>
      <c r="R13" s="1"/>
      <c r="S13" s="1"/>
      <c r="T13" s="1"/>
    </row>
    <row r="14" spans="1:20">
      <c r="A14" s="509" t="s">
        <v>248</v>
      </c>
      <c r="B14" s="206"/>
      <c r="C14" s="158"/>
      <c r="D14" s="19">
        <v>16.099</v>
      </c>
      <c r="E14" s="519"/>
      <c r="F14" s="158"/>
      <c r="G14" s="514">
        <v>5.2332810726063688</v>
      </c>
      <c r="H14" s="206"/>
      <c r="I14" s="522"/>
      <c r="J14" s="158">
        <v>9</v>
      </c>
      <c r="K14" s="206">
        <f>H14-E14</f>
        <v>0</v>
      </c>
      <c r="L14" s="158">
        <f>I14-F14</f>
        <v>0</v>
      </c>
      <c r="M14" s="85">
        <f>J14-G14</f>
        <v>3.7667189273936312</v>
      </c>
      <c r="N14" s="70" t="s">
        <v>0</v>
      </c>
      <c r="O14" s="1"/>
      <c r="P14" s="1"/>
      <c r="Q14" s="1"/>
      <c r="R14" s="1"/>
      <c r="S14" s="1"/>
      <c r="T14" s="1"/>
    </row>
    <row r="15" spans="1:20">
      <c r="A15" s="508" t="s">
        <v>249</v>
      </c>
      <c r="B15" s="206"/>
      <c r="C15" s="158"/>
      <c r="D15" s="514">
        <v>386.37599999999998</v>
      </c>
      <c r="E15" s="206"/>
      <c r="F15" s="158"/>
      <c r="G15" s="19">
        <v>17.008163485970698</v>
      </c>
      <c r="H15" s="206"/>
      <c r="I15" s="158"/>
      <c r="J15" s="158">
        <v>15</v>
      </c>
      <c r="K15" s="206">
        <f t="shared" ref="K15" si="3">H15-E15</f>
        <v>0</v>
      </c>
      <c r="L15" s="158">
        <f t="shared" ref="L15" si="4">I15-F15</f>
        <v>0</v>
      </c>
      <c r="M15" s="85">
        <f t="shared" ref="M15" si="5">J15-G15</f>
        <v>-2.008163485970698</v>
      </c>
      <c r="N15" s="70" t="s">
        <v>0</v>
      </c>
      <c r="O15" s="1"/>
      <c r="P15" s="1"/>
      <c r="Q15" s="1"/>
      <c r="R15" s="1"/>
      <c r="S15" s="1"/>
      <c r="T15" s="1"/>
    </row>
    <row r="16" spans="1:20">
      <c r="A16" s="510" t="s">
        <v>250</v>
      </c>
      <c r="B16" s="206"/>
      <c r="C16" s="158"/>
      <c r="D16" s="514">
        <v>216.863</v>
      </c>
      <c r="E16" s="206"/>
      <c r="F16" s="158"/>
      <c r="G16" s="513">
        <v>218.48948478131589</v>
      </c>
      <c r="H16" s="206"/>
      <c r="I16" s="158"/>
      <c r="J16" s="158">
        <v>218</v>
      </c>
      <c r="K16" s="206">
        <f>H16-E16</f>
        <v>0</v>
      </c>
      <c r="L16" s="158">
        <f>I16-F16</f>
        <v>0</v>
      </c>
      <c r="M16" s="85">
        <f>J16-G16</f>
        <v>-0.48948478131589468</v>
      </c>
      <c r="N16" s="70" t="s">
        <v>0</v>
      </c>
      <c r="O16" s="1"/>
      <c r="P16" s="1"/>
      <c r="Q16" s="1"/>
      <c r="R16" s="1"/>
      <c r="S16" s="1"/>
      <c r="T16" s="1"/>
    </row>
    <row r="17" spans="1:20">
      <c r="A17" s="508" t="s">
        <v>251</v>
      </c>
      <c r="B17" s="206"/>
      <c r="C17" s="158"/>
      <c r="D17" s="514">
        <v>821.04899999999998</v>
      </c>
      <c r="E17" s="206"/>
      <c r="F17" s="158"/>
      <c r="G17" s="514">
        <v>906.66594582905338</v>
      </c>
      <c r="H17" s="206"/>
      <c r="I17" s="158"/>
      <c r="J17" s="158">
        <v>568</v>
      </c>
      <c r="K17" s="206">
        <f t="shared" ref="K17:K19" si="6">H17-E17</f>
        <v>0</v>
      </c>
      <c r="L17" s="158">
        <f t="shared" ref="L17:L19" si="7">I17-F17</f>
        <v>0</v>
      </c>
      <c r="M17" s="85">
        <f t="shared" ref="M17:M19" si="8">J17-G17</f>
        <v>-338.66594582905338</v>
      </c>
      <c r="N17" s="70" t="s">
        <v>0</v>
      </c>
      <c r="O17" s="1"/>
      <c r="P17" s="1"/>
      <c r="Q17" s="1"/>
      <c r="R17" s="1"/>
      <c r="S17" s="1"/>
      <c r="T17" s="1"/>
    </row>
    <row r="18" spans="1:20">
      <c r="A18" s="508" t="s">
        <v>252</v>
      </c>
      <c r="B18" s="206"/>
      <c r="C18" s="158"/>
      <c r="D18" s="514">
        <v>703.62099999999998</v>
      </c>
      <c r="E18" s="206"/>
      <c r="F18" s="158"/>
      <c r="G18" s="514">
        <v>701.25966372925336</v>
      </c>
      <c r="H18" s="206"/>
      <c r="I18" s="158"/>
      <c r="J18" s="158">
        <v>446</v>
      </c>
      <c r="K18" s="206">
        <f t="shared" si="6"/>
        <v>0</v>
      </c>
      <c r="L18" s="158">
        <f t="shared" si="7"/>
        <v>0</v>
      </c>
      <c r="M18" s="85">
        <f t="shared" si="8"/>
        <v>-255.25966372925336</v>
      </c>
      <c r="N18" s="70" t="s">
        <v>0</v>
      </c>
      <c r="O18" s="1"/>
      <c r="P18" s="1"/>
      <c r="Q18" s="1"/>
      <c r="R18" s="1"/>
      <c r="S18" s="1"/>
      <c r="T18" s="1"/>
    </row>
    <row r="19" spans="1:20">
      <c r="A19" s="508" t="s">
        <v>253</v>
      </c>
      <c r="B19" s="515"/>
      <c r="C19" s="516"/>
      <c r="D19" s="517">
        <v>4461.317</v>
      </c>
      <c r="E19" s="518"/>
      <c r="F19" s="516"/>
      <c r="G19" s="514">
        <v>6041.8229983240526</v>
      </c>
      <c r="H19" s="518"/>
      <c r="I19" s="521"/>
      <c r="J19" s="521">
        <f>3041+138</f>
        <v>3179</v>
      </c>
      <c r="K19" s="206">
        <f t="shared" si="6"/>
        <v>0</v>
      </c>
      <c r="L19" s="158">
        <f t="shared" si="7"/>
        <v>0</v>
      </c>
      <c r="M19" s="85">
        <f t="shared" si="8"/>
        <v>-2862.8229983240526</v>
      </c>
      <c r="N19" s="70" t="s">
        <v>0</v>
      </c>
      <c r="O19" s="9"/>
      <c r="P19" s="9"/>
      <c r="Q19" s="1"/>
      <c r="R19" s="1"/>
      <c r="S19" s="1"/>
      <c r="T19" s="1"/>
    </row>
    <row r="20" spans="1:20">
      <c r="A20" s="510" t="s">
        <v>254</v>
      </c>
      <c r="B20" s="206"/>
      <c r="C20" s="158"/>
      <c r="D20" s="19">
        <v>4780.4560000000001</v>
      </c>
      <c r="E20" s="519"/>
      <c r="F20" s="158"/>
      <c r="G20" s="19">
        <v>3264.2590690382226</v>
      </c>
      <c r="H20" s="519"/>
      <c r="I20" s="522"/>
      <c r="J20" s="523">
        <v>1320</v>
      </c>
      <c r="K20" s="206">
        <f>H20-E20</f>
        <v>0</v>
      </c>
      <c r="L20" s="158">
        <f>I20-F20</f>
        <v>0</v>
      </c>
      <c r="M20" s="85">
        <f>J20-G20</f>
        <v>-1944.2590690382226</v>
      </c>
      <c r="N20" s="70" t="s">
        <v>0</v>
      </c>
      <c r="O20" s="1"/>
      <c r="P20" s="1"/>
      <c r="Q20" s="1"/>
      <c r="R20" s="1"/>
      <c r="S20" s="1"/>
      <c r="T20" s="1"/>
    </row>
    <row r="21" spans="1:20">
      <c r="A21" s="508" t="s">
        <v>255</v>
      </c>
      <c r="B21" s="206"/>
      <c r="C21" s="158"/>
      <c r="D21" s="513">
        <v>733.92499999999995</v>
      </c>
      <c r="E21" s="206"/>
      <c r="F21" s="158"/>
      <c r="G21" s="514">
        <v>1020.4898091582419</v>
      </c>
      <c r="H21" s="206"/>
      <c r="I21" s="158"/>
      <c r="J21" s="158">
        <v>466</v>
      </c>
      <c r="K21" s="206">
        <f t="shared" ref="K21:K23" si="9">H21-E21</f>
        <v>0</v>
      </c>
      <c r="L21" s="158">
        <f t="shared" ref="L21:L23" si="10">I21-F21</f>
        <v>0</v>
      </c>
      <c r="M21" s="85">
        <f t="shared" ref="M21:M23" si="11">J21-G21</f>
        <v>-554.48980915824188</v>
      </c>
      <c r="N21" s="70" t="s">
        <v>0</v>
      </c>
      <c r="O21" s="1"/>
      <c r="P21" s="1"/>
      <c r="Q21" s="1"/>
      <c r="R21" s="1"/>
      <c r="S21" s="1"/>
      <c r="T21" s="1"/>
    </row>
    <row r="22" spans="1:20">
      <c r="A22" s="508" t="s">
        <v>256</v>
      </c>
      <c r="B22" s="206"/>
      <c r="C22" s="158"/>
      <c r="D22" s="514">
        <v>112.693</v>
      </c>
      <c r="E22" s="206"/>
      <c r="F22" s="158"/>
      <c r="G22" s="514">
        <v>198.86468075904202</v>
      </c>
      <c r="H22" s="206"/>
      <c r="I22" s="158"/>
      <c r="J22" s="158">
        <v>73</v>
      </c>
      <c r="K22" s="206">
        <f t="shared" si="9"/>
        <v>0</v>
      </c>
      <c r="L22" s="158">
        <f t="shared" si="10"/>
        <v>0</v>
      </c>
      <c r="M22" s="85">
        <f t="shared" si="11"/>
        <v>-125.86468075904202</v>
      </c>
      <c r="N22" s="70" t="s">
        <v>0</v>
      </c>
      <c r="O22" s="1"/>
      <c r="P22" s="1"/>
      <c r="Q22" s="1"/>
      <c r="R22" s="1"/>
      <c r="S22" s="1"/>
      <c r="T22" s="1"/>
    </row>
    <row r="23" spans="1:20">
      <c r="A23" s="508" t="s">
        <v>257</v>
      </c>
      <c r="B23" s="518"/>
      <c r="C23" s="516"/>
      <c r="D23" s="514">
        <v>1483.9489999999998</v>
      </c>
      <c r="E23" s="518"/>
      <c r="F23" s="521"/>
      <c r="G23" s="19">
        <v>115.13218359734012</v>
      </c>
      <c r="H23" s="518"/>
      <c r="I23" s="516"/>
      <c r="J23" s="520">
        <v>995</v>
      </c>
      <c r="K23" s="206">
        <f t="shared" si="9"/>
        <v>0</v>
      </c>
      <c r="L23" s="158">
        <f t="shared" si="10"/>
        <v>0</v>
      </c>
      <c r="M23" s="85">
        <f t="shared" si="11"/>
        <v>879.86781640265986</v>
      </c>
      <c r="N23" s="70" t="s">
        <v>0</v>
      </c>
      <c r="O23" s="9"/>
      <c r="P23" s="9"/>
      <c r="Q23" s="1"/>
      <c r="R23" s="1"/>
      <c r="S23" s="1"/>
      <c r="T23" s="1"/>
    </row>
    <row r="24" spans="1:20">
      <c r="A24" s="508" t="s">
        <v>258</v>
      </c>
      <c r="B24" s="519"/>
      <c r="C24" s="158"/>
      <c r="D24" s="19">
        <v>29.356999999999999</v>
      </c>
      <c r="E24" s="519"/>
      <c r="F24" s="522"/>
      <c r="G24" s="513">
        <v>37.941287776396173</v>
      </c>
      <c r="H24" s="519"/>
      <c r="I24" s="158"/>
      <c r="J24" s="158">
        <v>15</v>
      </c>
      <c r="K24" s="206">
        <f>H24-E24</f>
        <v>0</v>
      </c>
      <c r="L24" s="158">
        <f>I24-F24</f>
        <v>0</v>
      </c>
      <c r="M24" s="85">
        <f>J24-G24</f>
        <v>-22.941287776396173</v>
      </c>
      <c r="N24" s="70" t="s">
        <v>0</v>
      </c>
      <c r="O24" s="1"/>
      <c r="P24" s="1"/>
      <c r="Q24" s="1"/>
      <c r="R24" s="1"/>
      <c r="S24" s="1"/>
      <c r="T24" s="1"/>
    </row>
    <row r="25" spans="1:20">
      <c r="A25" s="509" t="s">
        <v>259</v>
      </c>
      <c r="B25" s="206"/>
      <c r="C25" s="158"/>
      <c r="D25" s="513">
        <v>56.82</v>
      </c>
      <c r="E25" s="206"/>
      <c r="F25" s="158"/>
      <c r="G25" s="514">
        <v>78.499216089095526</v>
      </c>
      <c r="H25" s="206"/>
      <c r="I25" s="158"/>
      <c r="J25" s="158">
        <v>16</v>
      </c>
      <c r="K25" s="206">
        <f t="shared" ref="K25:K27" si="12">H25-E25</f>
        <v>0</v>
      </c>
      <c r="L25" s="158">
        <f t="shared" ref="L25:L27" si="13">I25-F25</f>
        <v>0</v>
      </c>
      <c r="M25" s="85">
        <f t="shared" ref="M25:M27" si="14">J25-G25</f>
        <v>-62.499216089095526</v>
      </c>
      <c r="N25" s="70" t="s">
        <v>0</v>
      </c>
      <c r="O25" s="1"/>
      <c r="P25" s="1"/>
      <c r="Q25" s="1"/>
      <c r="R25" s="1"/>
      <c r="S25" s="1"/>
      <c r="T25" s="1"/>
    </row>
    <row r="26" spans="1:20">
      <c r="A26" s="510" t="s">
        <v>260</v>
      </c>
      <c r="B26" s="206"/>
      <c r="C26" s="158"/>
      <c r="D26" s="513">
        <v>294.517</v>
      </c>
      <c r="E26" s="206"/>
      <c r="F26" s="158"/>
      <c r="G26" s="19">
        <v>230.26436719468023</v>
      </c>
      <c r="H26" s="206"/>
      <c r="I26" s="158"/>
      <c r="J26" s="158">
        <v>8</v>
      </c>
      <c r="K26" s="206">
        <f t="shared" si="12"/>
        <v>0</v>
      </c>
      <c r="L26" s="158">
        <f t="shared" si="13"/>
        <v>0</v>
      </c>
      <c r="M26" s="85">
        <f t="shared" si="14"/>
        <v>-222.26436719468023</v>
      </c>
      <c r="N26" s="70" t="s">
        <v>0</v>
      </c>
      <c r="O26" s="1"/>
      <c r="P26" s="1"/>
      <c r="Q26" s="1"/>
      <c r="R26" s="1"/>
      <c r="S26" s="1"/>
      <c r="T26" s="1"/>
    </row>
    <row r="27" spans="1:20">
      <c r="A27" s="508" t="s">
        <v>261</v>
      </c>
      <c r="B27" s="515"/>
      <c r="C27" s="516"/>
      <c r="D27" s="513">
        <v>6.6289999999999996</v>
      </c>
      <c r="E27" s="515"/>
      <c r="F27" s="516"/>
      <c r="G27" s="514">
        <v>2.6166405363031844</v>
      </c>
      <c r="H27" s="518"/>
      <c r="I27" s="516"/>
      <c r="J27" s="520">
        <v>39</v>
      </c>
      <c r="K27" s="206">
        <f t="shared" si="12"/>
        <v>0</v>
      </c>
      <c r="L27" s="158">
        <f t="shared" si="13"/>
        <v>0</v>
      </c>
      <c r="M27" s="85">
        <f t="shared" si="14"/>
        <v>36.383359463696813</v>
      </c>
      <c r="N27" s="70" t="s">
        <v>0</v>
      </c>
      <c r="O27" s="9"/>
      <c r="P27" s="9"/>
      <c r="Q27" s="1"/>
      <c r="R27" s="1"/>
      <c r="S27" s="1"/>
      <c r="T27" s="1"/>
    </row>
    <row r="28" spans="1:20">
      <c r="A28" s="508" t="s">
        <v>262</v>
      </c>
      <c r="B28" s="206"/>
      <c r="C28" s="158"/>
      <c r="D28" s="514">
        <v>5298.4650000000001</v>
      </c>
      <c r="E28" s="206"/>
      <c r="F28" s="158"/>
      <c r="G28" s="514">
        <v>5808.941990593069</v>
      </c>
      <c r="H28" s="519"/>
      <c r="I28" s="158"/>
      <c r="J28" s="158">
        <v>3414</v>
      </c>
      <c r="K28" s="206">
        <f>H28-E28</f>
        <v>0</v>
      </c>
      <c r="L28" s="158">
        <f>I28-F28</f>
        <v>0</v>
      </c>
      <c r="M28" s="85">
        <f>J28-G28</f>
        <v>-2394.941990593069</v>
      </c>
      <c r="N28" s="70" t="s">
        <v>0</v>
      </c>
      <c r="O28" s="1"/>
      <c r="P28" s="1"/>
      <c r="Q28" s="1"/>
      <c r="R28" s="1"/>
      <c r="S28" s="1"/>
      <c r="T28" s="1"/>
    </row>
    <row r="29" spans="1:20">
      <c r="A29" s="508" t="s">
        <v>263</v>
      </c>
      <c r="B29" s="206"/>
      <c r="C29" s="158"/>
      <c r="D29" s="514">
        <v>381.64099999999996</v>
      </c>
      <c r="E29" s="206"/>
      <c r="F29" s="158"/>
      <c r="G29" s="514">
        <v>501.08666270205981</v>
      </c>
      <c r="H29" s="206"/>
      <c r="I29" s="158"/>
      <c r="J29" s="158">
        <v>354</v>
      </c>
      <c r="K29" s="206">
        <f t="shared" ref="K29:K31" si="15">H29-E29</f>
        <v>0</v>
      </c>
      <c r="L29" s="158">
        <f t="shared" ref="L29:L31" si="16">I29-F29</f>
        <v>0</v>
      </c>
      <c r="M29" s="85">
        <f t="shared" ref="M29:M31" si="17">J29-G29</f>
        <v>-147.08666270205981</v>
      </c>
      <c r="N29" s="70" t="s">
        <v>0</v>
      </c>
      <c r="O29" s="1"/>
      <c r="P29" s="1"/>
      <c r="Q29" s="1"/>
      <c r="R29" s="1"/>
      <c r="S29" s="1"/>
      <c r="T29" s="1"/>
    </row>
    <row r="30" spans="1:20">
      <c r="A30" s="508" t="s">
        <v>264</v>
      </c>
      <c r="B30" s="206"/>
      <c r="C30" s="158"/>
      <c r="D30" s="514">
        <v>116.48099999999999</v>
      </c>
      <c r="E30" s="206"/>
      <c r="F30" s="158"/>
      <c r="G30" s="19">
        <v>9.1582418770611458</v>
      </c>
      <c r="H30" s="206"/>
      <c r="I30" s="158"/>
      <c r="J30" s="158">
        <v>8</v>
      </c>
      <c r="K30" s="206">
        <f t="shared" si="15"/>
        <v>0</v>
      </c>
      <c r="L30" s="158">
        <f t="shared" si="16"/>
        <v>0</v>
      </c>
      <c r="M30" s="85">
        <f t="shared" si="17"/>
        <v>-1.1582418770611458</v>
      </c>
      <c r="N30" s="70" t="s">
        <v>0</v>
      </c>
      <c r="O30" s="1"/>
      <c r="P30" s="1"/>
      <c r="Q30" s="1"/>
      <c r="R30" s="1"/>
      <c r="S30" s="1"/>
      <c r="T30" s="1"/>
    </row>
    <row r="31" spans="1:20">
      <c r="A31" s="511" t="s">
        <v>265</v>
      </c>
      <c r="B31" s="228"/>
      <c r="C31" s="229"/>
      <c r="D31" s="513">
        <v>224.43899999999999</v>
      </c>
      <c r="E31" s="228"/>
      <c r="F31" s="229"/>
      <c r="G31" s="526">
        <v>278.67221711628912</v>
      </c>
      <c r="H31" s="228"/>
      <c r="I31" s="229"/>
      <c r="J31" s="229">
        <v>154</v>
      </c>
      <c r="K31" s="206">
        <f t="shared" si="15"/>
        <v>0</v>
      </c>
      <c r="L31" s="158">
        <f t="shared" si="16"/>
        <v>0</v>
      </c>
      <c r="M31" s="85">
        <f t="shared" si="17"/>
        <v>-124.67221711628912</v>
      </c>
      <c r="N31" s="70" t="s">
        <v>0</v>
      </c>
      <c r="O31" s="9"/>
      <c r="P31" s="9"/>
      <c r="Q31" s="1"/>
      <c r="R31" s="1"/>
      <c r="S31" s="1"/>
      <c r="T31" s="1"/>
    </row>
    <row r="32" spans="1:20">
      <c r="A32" s="483"/>
      <c r="B32" s="253"/>
      <c r="C32" s="254"/>
      <c r="D32" s="524"/>
      <c r="E32" s="253"/>
      <c r="F32" s="256"/>
      <c r="G32" s="256"/>
      <c r="H32" s="253"/>
      <c r="I32" s="256"/>
      <c r="J32" s="256"/>
      <c r="K32" s="253"/>
      <c r="L32" s="256"/>
      <c r="M32" s="255"/>
      <c r="N32" s="70" t="s">
        <v>0</v>
      </c>
      <c r="O32" s="1"/>
      <c r="P32" s="1"/>
      <c r="Q32" s="1"/>
      <c r="R32" s="1"/>
      <c r="S32" s="1"/>
      <c r="T32" s="1"/>
    </row>
    <row r="33" spans="1:31">
      <c r="A33" s="484"/>
      <c r="B33" s="231">
        <f>SUM(B28:B32)</f>
        <v>0</v>
      </c>
      <c r="C33" s="232">
        <v>97</v>
      </c>
      <c r="D33" s="235">
        <f>SUM(D10:D31)</f>
        <v>23665.529999999995</v>
      </c>
      <c r="E33" s="231">
        <f t="shared" ref="E33:H33" si="18">SUM(E28:E32)</f>
        <v>0</v>
      </c>
      <c r="F33" s="232">
        <v>90</v>
      </c>
      <c r="G33" s="235">
        <f>SUM(G10:G31)</f>
        <v>24199.999999999993</v>
      </c>
      <c r="H33" s="231">
        <f t="shared" si="18"/>
        <v>0</v>
      </c>
      <c r="I33" s="232">
        <v>29</v>
      </c>
      <c r="J33" s="235">
        <f>SUM(J10:J31)</f>
        <v>13803</v>
      </c>
      <c r="K33" s="231">
        <f>+H33-E33</f>
        <v>0</v>
      </c>
      <c r="L33" s="232">
        <f>+I33-F33</f>
        <v>-61</v>
      </c>
      <c r="M33" s="235">
        <f>+J33-G33</f>
        <v>-10396.999999999993</v>
      </c>
      <c r="N33" s="70" t="s">
        <v>0</v>
      </c>
      <c r="O33" s="1"/>
      <c r="P33" s="1"/>
      <c r="Q33" s="1"/>
      <c r="R33" s="1"/>
      <c r="S33" s="1"/>
      <c r="T33" s="1"/>
    </row>
    <row r="34" spans="1:31">
      <c r="A34" s="246"/>
      <c r="B34" s="247"/>
      <c r="C34" s="247"/>
      <c r="D34" s="248"/>
      <c r="E34" s="247"/>
      <c r="F34" s="247"/>
      <c r="G34" s="248"/>
      <c r="H34" s="247"/>
      <c r="I34" s="247"/>
      <c r="J34" s="248"/>
      <c r="K34" s="247"/>
      <c r="L34" s="247"/>
      <c r="M34" s="248"/>
      <c r="N34" s="771" t="s">
        <v>20</v>
      </c>
      <c r="O34" s="771"/>
      <c r="P34" s="1"/>
      <c r="Q34" s="1"/>
      <c r="R34" s="1"/>
      <c r="S34" s="1"/>
      <c r="T34" s="1"/>
    </row>
    <row r="35" spans="1:31">
      <c r="A35" s="246"/>
      <c r="B35" s="247"/>
      <c r="C35" s="247"/>
      <c r="D35" s="248"/>
      <c r="E35" s="247"/>
      <c r="F35" s="247"/>
      <c r="G35" s="248"/>
      <c r="H35" s="247"/>
      <c r="I35" s="247"/>
      <c r="J35" s="248"/>
      <c r="K35" s="247"/>
      <c r="L35" s="247"/>
      <c r="M35" s="248"/>
      <c r="N35" s="771"/>
      <c r="O35" s="771"/>
      <c r="P35" s="1"/>
      <c r="Q35" s="1"/>
      <c r="R35" s="1"/>
      <c r="S35" s="1"/>
      <c r="T35" s="1"/>
    </row>
    <row r="36" spans="1:31">
      <c r="A36" s="772"/>
      <c r="B36" s="772"/>
      <c r="C36" s="772"/>
      <c r="D36" s="772"/>
      <c r="E36" s="772"/>
      <c r="F36" s="772"/>
      <c r="G36" s="772"/>
      <c r="H36" s="772"/>
      <c r="I36" s="772"/>
      <c r="J36" s="772"/>
      <c r="K36" s="772"/>
      <c r="L36" s="772"/>
      <c r="M36" s="772"/>
      <c r="N36" s="771"/>
      <c r="O36" s="771"/>
      <c r="P36" s="20"/>
      <c r="Q36" s="20"/>
      <c r="R36" s="20"/>
      <c r="S36" s="20"/>
      <c r="T36" s="20"/>
      <c r="U36" s="20"/>
      <c r="V36" s="20"/>
      <c r="W36" s="20"/>
      <c r="X36" s="20"/>
      <c r="Y36" s="20"/>
      <c r="Z36" s="20"/>
      <c r="AA36" s="20"/>
      <c r="AB36" s="20"/>
      <c r="AC36" s="20"/>
      <c r="AD36" s="20"/>
      <c r="AE36" s="20"/>
    </row>
    <row r="37" spans="1:31">
      <c r="A37" s="1"/>
      <c r="B37" s="2"/>
      <c r="C37" s="2"/>
      <c r="D37" s="2"/>
      <c r="E37" s="2"/>
      <c r="F37" s="2"/>
      <c r="G37" s="2"/>
      <c r="H37" s="2"/>
      <c r="I37" s="2"/>
      <c r="J37" s="2"/>
      <c r="K37" s="2"/>
      <c r="L37" s="2"/>
      <c r="M37" s="2"/>
      <c r="O37" s="20"/>
      <c r="P37" s="20"/>
      <c r="Q37" s="20"/>
      <c r="R37" s="20"/>
      <c r="S37" s="20"/>
      <c r="T37" s="20"/>
      <c r="U37" s="20"/>
      <c r="V37" s="20"/>
      <c r="W37" s="20"/>
      <c r="X37" s="20"/>
      <c r="Y37" s="20"/>
      <c r="Z37" s="20"/>
      <c r="AA37" s="20"/>
      <c r="AB37" s="20"/>
      <c r="AC37" s="20"/>
      <c r="AD37" s="20"/>
      <c r="AE37" s="20"/>
    </row>
    <row r="38" spans="1:31">
      <c r="A38" s="36"/>
      <c r="B38" s="36"/>
      <c r="C38" s="36"/>
      <c r="D38" s="36"/>
      <c r="E38" s="36"/>
      <c r="F38" s="36"/>
      <c r="G38" s="36"/>
      <c r="H38" s="36"/>
      <c r="I38" s="36"/>
      <c r="J38" s="36"/>
      <c r="K38" s="36"/>
      <c r="L38" s="36"/>
      <c r="M38" s="36"/>
      <c r="O38" s="20"/>
      <c r="P38" s="20"/>
      <c r="Q38" s="20"/>
      <c r="R38" s="20"/>
      <c r="S38" s="20"/>
      <c r="T38" s="20"/>
      <c r="U38" s="20"/>
      <c r="V38" s="20"/>
      <c r="W38" s="20"/>
      <c r="X38" s="20"/>
      <c r="Y38" s="20"/>
      <c r="Z38" s="20"/>
      <c r="AA38" s="20"/>
      <c r="AB38" s="20"/>
      <c r="AC38" s="20"/>
      <c r="AD38" s="20"/>
      <c r="AE38" s="20"/>
    </row>
    <row r="39" spans="1:31">
      <c r="A39" s="57"/>
      <c r="B39" s="57"/>
      <c r="C39" s="57"/>
      <c r="D39" s="57"/>
      <c r="E39" s="57"/>
      <c r="F39" s="57"/>
      <c r="G39" s="57"/>
      <c r="H39" s="57"/>
      <c r="I39" s="57"/>
      <c r="J39" s="57"/>
      <c r="K39" s="57"/>
      <c r="L39" s="57"/>
      <c r="M39" s="57"/>
      <c r="O39" s="21"/>
      <c r="P39" s="22"/>
      <c r="Q39" s="22"/>
      <c r="R39" s="22"/>
      <c r="S39" s="22"/>
      <c r="T39" s="22"/>
      <c r="U39" s="22"/>
      <c r="V39" s="22"/>
      <c r="W39" s="22"/>
      <c r="X39" s="22"/>
      <c r="Y39" s="22"/>
      <c r="Z39" s="22"/>
      <c r="AA39" s="22"/>
      <c r="AB39" s="22"/>
      <c r="AC39" s="22"/>
      <c r="AD39" s="22"/>
      <c r="AE39" s="22"/>
    </row>
    <row r="40" spans="1:31" ht="42.75" customHeight="1">
      <c r="A40" s="773"/>
      <c r="B40" s="773"/>
      <c r="C40" s="773"/>
      <c r="D40" s="773"/>
      <c r="E40" s="773"/>
      <c r="F40" s="773"/>
      <c r="G40" s="773"/>
      <c r="H40" s="773"/>
      <c r="I40" s="773"/>
      <c r="J40" s="773"/>
      <c r="K40" s="773"/>
      <c r="L40" s="773"/>
      <c r="M40" s="774"/>
      <c r="O40" s="21"/>
      <c r="P40" s="22"/>
      <c r="Q40" s="22"/>
      <c r="R40" s="22"/>
      <c r="S40" s="22"/>
      <c r="T40" s="22"/>
      <c r="U40" s="22"/>
      <c r="V40" s="22"/>
      <c r="W40" s="22"/>
      <c r="X40" s="22"/>
      <c r="Y40" s="22"/>
      <c r="Z40" s="22"/>
      <c r="AA40" s="22"/>
      <c r="AB40" s="22"/>
      <c r="AC40" s="22"/>
      <c r="AD40" s="22"/>
      <c r="AE40" s="22"/>
    </row>
    <row r="41" spans="1:31">
      <c r="A41" s="55"/>
      <c r="B41" s="55"/>
      <c r="C41" s="55"/>
      <c r="D41" s="55"/>
      <c r="E41" s="55"/>
      <c r="F41" s="55"/>
      <c r="G41" s="55"/>
      <c r="H41" s="55"/>
      <c r="I41" s="55"/>
      <c r="J41" s="55"/>
      <c r="K41" s="55"/>
      <c r="L41" s="55"/>
      <c r="M41" s="55"/>
      <c r="O41" s="20"/>
      <c r="P41" s="20"/>
      <c r="Q41" s="20"/>
      <c r="R41" s="20"/>
      <c r="S41" s="20"/>
      <c r="T41" s="20"/>
      <c r="U41" s="20"/>
      <c r="V41" s="20"/>
      <c r="W41" s="20"/>
      <c r="X41" s="20"/>
      <c r="Y41" s="20"/>
      <c r="Z41" s="20"/>
      <c r="AA41" s="20"/>
      <c r="AB41" s="20"/>
      <c r="AC41" s="20"/>
      <c r="AD41" s="20"/>
      <c r="AE41" s="20"/>
    </row>
    <row r="42" spans="1:31" ht="96.75" customHeight="1">
      <c r="A42" s="776"/>
      <c r="B42" s="776"/>
      <c r="C42" s="776"/>
      <c r="D42" s="776"/>
      <c r="E42" s="776"/>
      <c r="F42" s="776"/>
      <c r="G42" s="776"/>
      <c r="H42" s="776"/>
      <c r="I42" s="776"/>
      <c r="J42" s="776"/>
      <c r="K42" s="776"/>
      <c r="L42" s="776"/>
      <c r="M42" s="776"/>
      <c r="O42" s="20"/>
      <c r="P42" s="20"/>
      <c r="Q42" s="20"/>
      <c r="R42" s="20"/>
      <c r="S42" s="20"/>
      <c r="T42" s="20"/>
      <c r="U42" s="20"/>
      <c r="V42" s="20"/>
      <c r="W42" s="20"/>
      <c r="X42" s="20"/>
      <c r="Y42" s="20"/>
      <c r="Z42" s="20"/>
      <c r="AA42" s="20"/>
      <c r="AB42" s="20"/>
      <c r="AC42" s="20"/>
      <c r="AD42" s="20"/>
      <c r="AE42" s="20"/>
    </row>
    <row r="43" spans="1:31" ht="18.75" customHeight="1">
      <c r="A43" s="223"/>
      <c r="B43" s="223"/>
      <c r="C43" s="223"/>
      <c r="D43" s="223"/>
      <c r="E43" s="223"/>
      <c r="F43" s="223"/>
      <c r="G43" s="223"/>
      <c r="H43" s="223"/>
      <c r="I43" s="223"/>
      <c r="J43" s="223"/>
      <c r="K43" s="223"/>
      <c r="L43" s="223"/>
      <c r="M43" s="223"/>
      <c r="O43" s="20"/>
      <c r="P43" s="20"/>
      <c r="Q43" s="20"/>
      <c r="R43" s="20"/>
      <c r="S43" s="20"/>
      <c r="T43" s="20"/>
      <c r="U43" s="20"/>
      <c r="V43" s="20"/>
      <c r="W43" s="20"/>
      <c r="X43" s="20"/>
      <c r="Y43" s="20"/>
      <c r="Z43" s="20"/>
      <c r="AA43" s="20"/>
      <c r="AB43" s="20"/>
      <c r="AC43" s="20"/>
      <c r="AD43" s="20"/>
      <c r="AE43" s="20"/>
    </row>
    <row r="44" spans="1:31" ht="15.75" customHeight="1">
      <c r="A44" s="775"/>
      <c r="B44" s="775"/>
      <c r="C44" s="775"/>
      <c r="D44" s="775"/>
      <c r="E44" s="775"/>
      <c r="F44" s="775"/>
      <c r="G44" s="775"/>
      <c r="H44" s="775"/>
      <c r="I44" s="775"/>
      <c r="J44" s="775"/>
      <c r="K44" s="775"/>
      <c r="L44" s="775"/>
      <c r="M44" s="775"/>
      <c r="O44" s="20"/>
      <c r="P44" s="20"/>
      <c r="Q44" s="20"/>
      <c r="R44" s="20"/>
      <c r="S44" s="20"/>
      <c r="T44" s="20"/>
      <c r="U44" s="20"/>
      <c r="V44" s="20"/>
      <c r="W44" s="20"/>
      <c r="X44" s="20"/>
      <c r="Y44" s="20"/>
      <c r="Z44" s="20"/>
      <c r="AA44" s="20"/>
      <c r="AB44" s="20"/>
      <c r="AC44" s="20"/>
      <c r="AD44" s="20"/>
      <c r="AE44" s="20"/>
    </row>
    <row r="45" spans="1:31" ht="24" customHeight="1">
      <c r="A45" s="775"/>
      <c r="B45" s="775"/>
      <c r="C45" s="775"/>
      <c r="D45" s="775"/>
      <c r="E45" s="775"/>
      <c r="F45" s="775"/>
      <c r="G45" s="775"/>
      <c r="H45" s="775"/>
      <c r="I45" s="775"/>
      <c r="J45" s="775"/>
      <c r="K45" s="775"/>
      <c r="L45" s="775"/>
      <c r="M45" s="775"/>
      <c r="O45" s="20"/>
      <c r="P45" s="20"/>
      <c r="Q45" s="20"/>
      <c r="R45" s="20"/>
      <c r="S45" s="20"/>
      <c r="T45" s="20"/>
      <c r="U45" s="20"/>
      <c r="V45" s="20"/>
      <c r="W45" s="20"/>
      <c r="X45" s="20"/>
      <c r="Y45" s="20"/>
      <c r="Z45" s="20"/>
      <c r="AA45" s="20"/>
      <c r="AB45" s="20"/>
      <c r="AC45" s="20"/>
      <c r="AD45" s="20"/>
      <c r="AE45" s="20"/>
    </row>
    <row r="46" spans="1:31" ht="15.75" customHeight="1">
      <c r="A46" s="55"/>
      <c r="B46" s="55"/>
      <c r="C46" s="55"/>
      <c r="D46" s="55"/>
      <c r="E46" s="55"/>
      <c r="F46" s="55"/>
      <c r="G46" s="55"/>
      <c r="H46" s="55"/>
      <c r="I46" s="55"/>
      <c r="J46" s="55"/>
      <c r="K46" s="55"/>
      <c r="L46" s="55"/>
      <c r="M46" s="55"/>
      <c r="O46" s="20"/>
      <c r="P46" s="20"/>
      <c r="Q46" s="20"/>
      <c r="R46" s="20"/>
      <c r="S46" s="20"/>
      <c r="T46" s="20"/>
      <c r="U46" s="20"/>
      <c r="V46" s="20"/>
      <c r="W46" s="20"/>
      <c r="X46" s="20"/>
      <c r="Y46" s="20"/>
      <c r="Z46" s="20"/>
      <c r="AA46" s="20"/>
      <c r="AB46" s="20"/>
      <c r="AC46" s="20"/>
      <c r="AD46" s="20"/>
      <c r="AE46" s="20"/>
    </row>
    <row r="47" spans="1:31" ht="18" customHeight="1">
      <c r="A47" s="773"/>
      <c r="B47" s="773"/>
      <c r="C47" s="773"/>
      <c r="D47" s="773"/>
      <c r="E47" s="773"/>
      <c r="F47" s="773"/>
      <c r="G47" s="773"/>
      <c r="H47" s="773"/>
      <c r="I47" s="773"/>
      <c r="J47" s="773"/>
      <c r="K47" s="773"/>
      <c r="L47" s="773"/>
      <c r="M47" s="774"/>
      <c r="O47" s="20"/>
      <c r="P47" s="20"/>
      <c r="Q47" s="20"/>
      <c r="R47" s="20"/>
      <c r="S47" s="20"/>
      <c r="T47" s="20"/>
      <c r="U47" s="20"/>
      <c r="V47" s="20"/>
      <c r="W47" s="20"/>
      <c r="X47" s="20"/>
      <c r="Y47" s="20"/>
      <c r="Z47" s="20"/>
      <c r="AA47" s="20"/>
      <c r="AB47" s="20"/>
      <c r="AC47" s="20"/>
      <c r="AD47" s="20"/>
      <c r="AE47" s="20"/>
    </row>
    <row r="48" spans="1:31">
      <c r="A48" s="1"/>
      <c r="B48" s="1"/>
      <c r="C48" s="1"/>
      <c r="D48" s="1"/>
      <c r="E48" s="1"/>
      <c r="F48" s="1"/>
      <c r="G48" s="1"/>
      <c r="H48" s="1"/>
      <c r="I48" s="1"/>
      <c r="J48" s="1"/>
      <c r="K48" s="1"/>
      <c r="L48" s="1"/>
      <c r="M48" s="1"/>
      <c r="O48" s="20"/>
      <c r="P48" s="20"/>
      <c r="Q48" s="20"/>
      <c r="R48" s="20"/>
      <c r="S48" s="20"/>
      <c r="T48" s="20"/>
      <c r="U48" s="20"/>
      <c r="V48" s="20"/>
      <c r="W48" s="20"/>
      <c r="X48" s="20"/>
      <c r="Y48" s="20"/>
      <c r="Z48" s="20"/>
      <c r="AA48" s="20"/>
      <c r="AB48" s="20"/>
      <c r="AC48" s="20"/>
      <c r="AD48" s="20"/>
      <c r="AE48" s="20"/>
    </row>
    <row r="49" spans="1:31" ht="18">
      <c r="A49" s="773"/>
      <c r="B49" s="773"/>
      <c r="C49" s="773"/>
      <c r="D49" s="773"/>
      <c r="E49" s="773"/>
      <c r="F49" s="773"/>
      <c r="G49" s="773"/>
      <c r="H49" s="773"/>
      <c r="I49" s="773"/>
      <c r="J49" s="773"/>
      <c r="K49" s="773"/>
      <c r="L49" s="773"/>
      <c r="M49" s="774"/>
      <c r="O49" s="20"/>
      <c r="P49" s="20"/>
      <c r="Q49" s="20"/>
      <c r="R49" s="20"/>
      <c r="S49" s="20"/>
      <c r="T49" s="20"/>
      <c r="U49" s="20"/>
      <c r="V49" s="20"/>
      <c r="W49" s="20"/>
      <c r="X49" s="20"/>
      <c r="Y49" s="20"/>
      <c r="Z49" s="20"/>
      <c r="AA49" s="20"/>
      <c r="AB49" s="20"/>
      <c r="AC49" s="20"/>
      <c r="AD49" s="20"/>
      <c r="AE49" s="20"/>
    </row>
  </sheetData>
  <customSheetViews>
    <customSheetView guid="{3118AF25-8423-420A-806A-487665220C68}"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1"/>
      <headerFooter alignWithMargins="0">
        <oddFooter>&amp;C&amp;"Times New Roman,Regular"Exhibit H - Summary of Reimbursable Resources</oddFooter>
      </headerFooter>
    </customSheetView>
    <customSheetView guid="{56C0A34E-45B4-448B-85E5-70B3A8E63333}"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2"/>
      <headerFooter alignWithMargins="0">
        <oddFooter>&amp;C&amp;"Times New Roman,Regular"Exhibit H - Summary of Reimbursable Resources</oddFooter>
      </headerFooter>
    </customSheetView>
    <customSheetView guid="{4148B88B-8ED7-4FDE-9459-DEB244AD0552}"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3"/>
      <headerFooter alignWithMargins="0">
        <oddFooter>&amp;C&amp;"Times New Roman,Regular"Exhibit H - Summary of Reimbursable Resources</oddFooter>
      </headerFooter>
    </customSheetView>
    <customSheetView guid="{12C66D54-5067-4346-818B-6EAB1C8A9183}" scale="75" showPageBreaks="1" showGridLines="0" outlineSymbols="0" fitToPage="1" printArea="1" view="pageBreakPreview">
      <selection activeCell="A33" sqref="A33"/>
      <pageMargins left="1" right="1" top="0.5" bottom="0.55000000000000004" header="0" footer="0"/>
      <printOptions horizontalCentered="1"/>
      <pageSetup scale="70" orientation="landscape" horizontalDpi="300" verticalDpi="300" r:id="rId4"/>
      <headerFooter alignWithMargins="0">
        <oddFooter>&amp;C&amp;"Times New Roman,Regular"Exhibit H - Summary of Reimbursable Resources</oddFooter>
      </headerFooter>
    </customSheetView>
    <customSheetView guid="{87EA6C51-A281-4696-9262-A16F553E7025}" scale="75" showPageBreaks="1" showGridLines="0" outlineSymbols="0" fitToPage="1" printArea="1" view="pageBreakPreview">
      <selection activeCell="H17" sqref="H17"/>
      <pageMargins left="1" right="1" top="0.5" bottom="0.55000000000000004" header="0" footer="0"/>
      <printOptions horizontalCentered="1"/>
      <pageSetup scale="70" orientation="landscape" horizontalDpi="300" verticalDpi="300" r:id="rId5"/>
      <headerFooter alignWithMargins="0">
        <oddFooter>&amp;C&amp;"Times New Roman,Regular"Exhibit H - Summary of Reimbursable Resources</oddFooter>
      </headerFooter>
    </customSheetView>
  </customSheetViews>
  <mergeCells count="15">
    <mergeCell ref="N34:O36"/>
    <mergeCell ref="A36:M36"/>
    <mergeCell ref="A49:M49"/>
    <mergeCell ref="A47:M47"/>
    <mergeCell ref="A44:M45"/>
    <mergeCell ref="A40:M40"/>
    <mergeCell ref="A42:M42"/>
    <mergeCell ref="K8:M8"/>
    <mergeCell ref="H8:J8"/>
    <mergeCell ref="E8:G8"/>
    <mergeCell ref="B8:D8"/>
    <mergeCell ref="A3:M3"/>
    <mergeCell ref="A4:M4"/>
    <mergeCell ref="A5:M5"/>
    <mergeCell ref="A6:M6"/>
  </mergeCells>
  <phoneticPr fontId="0" type="noConversion"/>
  <printOptions horizontalCentered="1"/>
  <pageMargins left="1" right="1" top="0.5" bottom="0.55000000000000004" header="0" footer="0"/>
  <pageSetup scale="72" orientation="landscape" horizontalDpi="300" verticalDpi="300" r:id="rId6"/>
  <headerFooter alignWithMargins="0">
    <oddFooter>&amp;C&amp;"Times New Roman,Regular"Exhibit H - Summary of Reimbursable Resources</oddFooter>
  </headerFooter>
  <ignoredErrors>
    <ignoredError sqref="D33 G33 J33"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L29"/>
  <sheetViews>
    <sheetView view="pageBreakPreview" zoomScale="75" zoomScaleNormal="75" zoomScaleSheetLayoutView="75" workbookViewId="0">
      <pane xSplit="1" ySplit="11" topLeftCell="B12" activePane="bottomRight" state="frozen"/>
      <selection pane="topRight" activeCell="B1" sqref="B1"/>
      <selection pane="bottomLeft" activeCell="A12" sqref="A12"/>
      <selection pane="bottomRight" activeCell="B12" sqref="B12"/>
    </sheetView>
  </sheetViews>
  <sheetFormatPr defaultColWidth="8.88671875" defaultRowHeight="15"/>
  <cols>
    <col min="1" max="1" width="30.44140625" style="11" customWidth="1"/>
    <col min="2" max="2" width="10.77734375" style="11" customWidth="1"/>
    <col min="3" max="3" width="12.6640625" style="11" customWidth="1"/>
    <col min="4" max="4" width="10.88671875" style="11" customWidth="1"/>
    <col min="5" max="5" width="12.5546875" style="11" customWidth="1"/>
    <col min="6" max="6" width="9.77734375" style="11" customWidth="1"/>
    <col min="7" max="7" width="12" style="11" customWidth="1"/>
    <col min="8" max="9" width="9.77734375" style="11" customWidth="1"/>
    <col min="10" max="10" width="10.33203125" style="11" customWidth="1"/>
    <col min="11" max="11" width="13" style="11" customWidth="1"/>
    <col min="12" max="12" width="1.109375" style="76" customWidth="1"/>
    <col min="13" max="16384" width="8.88671875" style="11"/>
  </cols>
  <sheetData>
    <row r="1" spans="1:12" ht="20.25">
      <c r="A1" s="622" t="s">
        <v>27</v>
      </c>
      <c r="B1" s="778"/>
      <c r="C1" s="778"/>
      <c r="D1" s="778"/>
      <c r="E1" s="778"/>
      <c r="F1" s="778"/>
      <c r="G1" s="778"/>
      <c r="H1" s="778"/>
      <c r="I1" s="778"/>
      <c r="J1" s="778"/>
      <c r="K1" s="778"/>
      <c r="L1" s="76" t="s">
        <v>0</v>
      </c>
    </row>
    <row r="2" spans="1:12" ht="20.25">
      <c r="A2" s="668"/>
      <c r="B2" s="668"/>
      <c r="C2" s="668"/>
      <c r="D2" s="668"/>
      <c r="E2" s="668"/>
      <c r="F2" s="668"/>
      <c r="G2" s="668"/>
      <c r="H2" s="668"/>
      <c r="I2" s="668"/>
      <c r="J2" s="668"/>
      <c r="K2" s="782"/>
      <c r="L2" s="76" t="s">
        <v>0</v>
      </c>
    </row>
    <row r="3" spans="1:12" ht="12.6" customHeight="1">
      <c r="A3" s="668"/>
      <c r="B3" s="668"/>
      <c r="C3" s="668"/>
      <c r="D3" s="668"/>
      <c r="E3" s="668"/>
      <c r="F3" s="668"/>
      <c r="G3" s="668"/>
      <c r="H3" s="668"/>
      <c r="I3" s="668"/>
      <c r="J3" s="668"/>
      <c r="K3" s="782"/>
      <c r="L3" s="76" t="s">
        <v>0</v>
      </c>
    </row>
    <row r="4" spans="1:12" ht="18.75">
      <c r="A4" s="779" t="s">
        <v>39</v>
      </c>
      <c r="B4" s="770"/>
      <c r="C4" s="770"/>
      <c r="D4" s="770"/>
      <c r="E4" s="770"/>
      <c r="F4" s="770"/>
      <c r="G4" s="770"/>
      <c r="H4" s="770"/>
      <c r="I4" s="770"/>
      <c r="J4" s="770"/>
      <c r="K4" s="770"/>
      <c r="L4" s="76" t="s">
        <v>0</v>
      </c>
    </row>
    <row r="5" spans="1:12" ht="16.5">
      <c r="A5" s="780" t="str">
        <f>+'B. Summary of Requirements '!A5</f>
        <v>General Administration</v>
      </c>
      <c r="B5" s="770"/>
      <c r="C5" s="770"/>
      <c r="D5" s="770"/>
      <c r="E5" s="770"/>
      <c r="F5" s="770"/>
      <c r="G5" s="770"/>
      <c r="H5" s="770"/>
      <c r="I5" s="770"/>
      <c r="J5" s="770"/>
      <c r="K5" s="770"/>
      <c r="L5" s="76" t="s">
        <v>0</v>
      </c>
    </row>
    <row r="6" spans="1:12" ht="16.5">
      <c r="A6" s="781" t="str">
        <f>+'B. Summary of Requirements '!A6</f>
        <v>Salaries and Expenses</v>
      </c>
      <c r="B6" s="770"/>
      <c r="C6" s="770"/>
      <c r="D6" s="770"/>
      <c r="E6" s="770"/>
      <c r="F6" s="770"/>
      <c r="G6" s="770"/>
      <c r="H6" s="770"/>
      <c r="I6" s="770"/>
      <c r="J6" s="770"/>
      <c r="K6" s="770"/>
      <c r="L6" s="76" t="s">
        <v>0</v>
      </c>
    </row>
    <row r="7" spans="1:12" ht="15.75">
      <c r="A7" s="785"/>
      <c r="B7" s="785"/>
      <c r="C7" s="785"/>
      <c r="D7" s="785"/>
      <c r="E7" s="785"/>
      <c r="F7" s="785"/>
      <c r="G7" s="785"/>
      <c r="H7" s="785"/>
      <c r="I7" s="785"/>
      <c r="J7" s="785"/>
      <c r="K7" s="785"/>
      <c r="L7" s="76" t="s">
        <v>0</v>
      </c>
    </row>
    <row r="8" spans="1:12">
      <c r="A8" s="786"/>
      <c r="B8" s="786"/>
      <c r="C8" s="786"/>
      <c r="D8" s="786"/>
      <c r="E8" s="786"/>
      <c r="F8" s="786"/>
      <c r="G8" s="786"/>
      <c r="H8" s="786"/>
      <c r="I8" s="786"/>
      <c r="J8" s="786"/>
      <c r="K8" s="786"/>
      <c r="L8" s="76" t="s">
        <v>0</v>
      </c>
    </row>
    <row r="9" spans="1:12" ht="40.5" customHeight="1">
      <c r="A9" s="794" t="s">
        <v>40</v>
      </c>
      <c r="B9" s="797" t="s">
        <v>196</v>
      </c>
      <c r="C9" s="798"/>
      <c r="D9" s="797" t="s">
        <v>187</v>
      </c>
      <c r="E9" s="798"/>
      <c r="F9" s="791" t="s">
        <v>176</v>
      </c>
      <c r="G9" s="792"/>
      <c r="H9" s="792"/>
      <c r="I9" s="792"/>
      <c r="J9" s="792"/>
      <c r="K9" s="793"/>
      <c r="L9" s="76" t="s">
        <v>0</v>
      </c>
    </row>
    <row r="10" spans="1:12">
      <c r="A10" s="795"/>
      <c r="B10" s="787" t="s">
        <v>23</v>
      </c>
      <c r="C10" s="787" t="s">
        <v>24</v>
      </c>
      <c r="D10" s="787" t="s">
        <v>23</v>
      </c>
      <c r="E10" s="787" t="s">
        <v>24</v>
      </c>
      <c r="F10" s="789" t="s">
        <v>13</v>
      </c>
      <c r="G10" s="783" t="s">
        <v>110</v>
      </c>
      <c r="H10" s="783" t="s">
        <v>21</v>
      </c>
      <c r="I10" s="783" t="s">
        <v>22</v>
      </c>
      <c r="J10" s="800" t="s">
        <v>23</v>
      </c>
      <c r="K10" s="789" t="s">
        <v>24</v>
      </c>
      <c r="L10" s="76" t="s">
        <v>0</v>
      </c>
    </row>
    <row r="11" spans="1:12" ht="27" customHeight="1">
      <c r="A11" s="796"/>
      <c r="B11" s="788"/>
      <c r="C11" s="788"/>
      <c r="D11" s="788"/>
      <c r="E11" s="788"/>
      <c r="F11" s="790"/>
      <c r="G11" s="784"/>
      <c r="H11" s="784"/>
      <c r="I11" s="784"/>
      <c r="J11" s="801"/>
      <c r="K11" s="799"/>
      <c r="L11" s="76" t="s">
        <v>0</v>
      </c>
    </row>
    <row r="12" spans="1:12">
      <c r="A12" s="381" t="s">
        <v>139</v>
      </c>
      <c r="B12" s="382">
        <v>27</v>
      </c>
      <c r="C12" s="382">
        <v>1</v>
      </c>
      <c r="D12" s="382">
        <f>B12</f>
        <v>27</v>
      </c>
      <c r="E12" s="382">
        <f>C12</f>
        <v>1</v>
      </c>
      <c r="F12" s="382">
        <v>1</v>
      </c>
      <c r="G12" s="382">
        <v>0</v>
      </c>
      <c r="H12" s="382">
        <v>0</v>
      </c>
      <c r="I12" s="382">
        <f>G12</f>
        <v>0</v>
      </c>
      <c r="J12" s="382">
        <f>D12+F12</f>
        <v>28</v>
      </c>
      <c r="K12" s="383">
        <f>+E12-F12</f>
        <v>0</v>
      </c>
      <c r="L12" s="76" t="s">
        <v>0</v>
      </c>
    </row>
    <row r="13" spans="1:12">
      <c r="A13" s="384" t="s">
        <v>140</v>
      </c>
      <c r="B13" s="385">
        <v>224</v>
      </c>
      <c r="C13" s="385">
        <v>18</v>
      </c>
      <c r="D13" s="385">
        <f>B13-12</f>
        <v>212</v>
      </c>
      <c r="E13" s="385">
        <f>C13-7</f>
        <v>11</v>
      </c>
      <c r="F13" s="385">
        <v>21</v>
      </c>
      <c r="G13" s="385">
        <v>1</v>
      </c>
      <c r="H13" s="385">
        <v>0</v>
      </c>
      <c r="I13" s="382">
        <f>G13</f>
        <v>1</v>
      </c>
      <c r="J13" s="385">
        <f>D13+F13+G13</f>
        <v>234</v>
      </c>
      <c r="K13" s="386">
        <v>5</v>
      </c>
      <c r="L13" s="76" t="s">
        <v>0</v>
      </c>
    </row>
    <row r="14" spans="1:12">
      <c r="A14" s="384" t="s">
        <v>141</v>
      </c>
      <c r="B14" s="385">
        <v>41</v>
      </c>
      <c r="C14" s="385">
        <v>1</v>
      </c>
      <c r="D14" s="385">
        <f t="shared" ref="D14:E17" si="0">B14</f>
        <v>41</v>
      </c>
      <c r="E14" s="385">
        <f t="shared" si="0"/>
        <v>1</v>
      </c>
      <c r="F14" s="385">
        <v>1</v>
      </c>
      <c r="G14" s="385">
        <v>0</v>
      </c>
      <c r="H14" s="385">
        <v>0</v>
      </c>
      <c r="I14" s="382">
        <f>G14</f>
        <v>0</v>
      </c>
      <c r="J14" s="385">
        <f>D14+F14</f>
        <v>42</v>
      </c>
      <c r="K14" s="386">
        <f>E14-F14</f>
        <v>0</v>
      </c>
      <c r="L14" s="76" t="s">
        <v>0</v>
      </c>
    </row>
    <row r="15" spans="1:12">
      <c r="A15" s="384" t="s">
        <v>79</v>
      </c>
      <c r="B15" s="385">
        <v>135</v>
      </c>
      <c r="C15" s="385">
        <v>30</v>
      </c>
      <c r="D15" s="385">
        <f t="shared" si="0"/>
        <v>135</v>
      </c>
      <c r="E15" s="385">
        <f t="shared" si="0"/>
        <v>30</v>
      </c>
      <c r="F15" s="385">
        <v>40</v>
      </c>
      <c r="G15" s="385">
        <v>4</v>
      </c>
      <c r="H15" s="385">
        <v>0</v>
      </c>
      <c r="I15" s="382">
        <f t="shared" ref="I15:I22" si="1">G15</f>
        <v>4</v>
      </c>
      <c r="J15" s="385">
        <f>D15+F15+G15</f>
        <v>179</v>
      </c>
      <c r="K15" s="386">
        <v>4</v>
      </c>
      <c r="L15" s="76" t="s">
        <v>0</v>
      </c>
    </row>
    <row r="16" spans="1:12">
      <c r="A16" s="387" t="s">
        <v>80</v>
      </c>
      <c r="B16" s="385">
        <v>16</v>
      </c>
      <c r="C16" s="385">
        <v>20</v>
      </c>
      <c r="D16" s="385">
        <f t="shared" si="0"/>
        <v>16</v>
      </c>
      <c r="E16" s="385">
        <f t="shared" si="0"/>
        <v>20</v>
      </c>
      <c r="F16" s="385">
        <v>8</v>
      </c>
      <c r="G16" s="385">
        <v>0</v>
      </c>
      <c r="H16" s="385">
        <v>0</v>
      </c>
      <c r="I16" s="382">
        <f t="shared" si="1"/>
        <v>0</v>
      </c>
      <c r="J16" s="385">
        <f>D16+F16</f>
        <v>24</v>
      </c>
      <c r="K16" s="386">
        <v>5</v>
      </c>
      <c r="L16" s="76" t="s">
        <v>0</v>
      </c>
    </row>
    <row r="17" spans="1:12">
      <c r="A17" s="384" t="s">
        <v>81</v>
      </c>
      <c r="B17" s="385">
        <v>12</v>
      </c>
      <c r="C17" s="385">
        <v>8</v>
      </c>
      <c r="D17" s="385">
        <f t="shared" si="0"/>
        <v>12</v>
      </c>
      <c r="E17" s="385">
        <f t="shared" si="0"/>
        <v>8</v>
      </c>
      <c r="F17" s="385">
        <v>0</v>
      </c>
      <c r="G17" s="385">
        <v>0</v>
      </c>
      <c r="H17" s="385">
        <v>0</v>
      </c>
      <c r="I17" s="382">
        <f t="shared" si="1"/>
        <v>0</v>
      </c>
      <c r="J17" s="385">
        <f t="shared" ref="J17:J22" si="2">D17</f>
        <v>12</v>
      </c>
      <c r="K17" s="386">
        <v>3</v>
      </c>
      <c r="L17" s="76" t="s">
        <v>0</v>
      </c>
    </row>
    <row r="18" spans="1:12">
      <c r="A18" s="384" t="s">
        <v>82</v>
      </c>
      <c r="B18" s="385">
        <v>26</v>
      </c>
      <c r="C18" s="385">
        <v>0</v>
      </c>
      <c r="D18" s="385">
        <f>B18</f>
        <v>26</v>
      </c>
      <c r="E18" s="385">
        <v>0</v>
      </c>
      <c r="F18" s="385">
        <v>0</v>
      </c>
      <c r="G18" s="385">
        <v>0</v>
      </c>
      <c r="H18" s="385">
        <v>0</v>
      </c>
      <c r="I18" s="382">
        <f t="shared" si="1"/>
        <v>0</v>
      </c>
      <c r="J18" s="385">
        <f t="shared" si="2"/>
        <v>26</v>
      </c>
      <c r="K18" s="386">
        <v>0</v>
      </c>
      <c r="L18" s="76" t="s">
        <v>0</v>
      </c>
    </row>
    <row r="19" spans="1:12">
      <c r="A19" s="384" t="s">
        <v>83</v>
      </c>
      <c r="B19" s="385">
        <v>43</v>
      </c>
      <c r="C19" s="385">
        <v>9</v>
      </c>
      <c r="D19" s="385">
        <f>B19</f>
        <v>43</v>
      </c>
      <c r="E19" s="385">
        <f>C19</f>
        <v>9</v>
      </c>
      <c r="F19" s="385">
        <v>0</v>
      </c>
      <c r="G19" s="385">
        <v>0</v>
      </c>
      <c r="H19" s="385">
        <v>0</v>
      </c>
      <c r="I19" s="382">
        <f t="shared" si="1"/>
        <v>0</v>
      </c>
      <c r="J19" s="385">
        <f t="shared" si="2"/>
        <v>43</v>
      </c>
      <c r="K19" s="386">
        <v>5</v>
      </c>
      <c r="L19" s="76" t="s">
        <v>0</v>
      </c>
    </row>
    <row r="20" spans="1:12">
      <c r="A20" s="388" t="s">
        <v>84</v>
      </c>
      <c r="B20" s="385">
        <v>1</v>
      </c>
      <c r="C20" s="385">
        <v>4</v>
      </c>
      <c r="D20" s="385">
        <f>B20</f>
        <v>1</v>
      </c>
      <c r="E20" s="385">
        <f>C20</f>
        <v>4</v>
      </c>
      <c r="F20" s="385">
        <v>0</v>
      </c>
      <c r="G20" s="385">
        <v>0</v>
      </c>
      <c r="H20" s="385">
        <v>0</v>
      </c>
      <c r="I20" s="382">
        <f t="shared" si="1"/>
        <v>0</v>
      </c>
      <c r="J20" s="385">
        <f t="shared" si="2"/>
        <v>1</v>
      </c>
      <c r="K20" s="386">
        <f>E20</f>
        <v>4</v>
      </c>
      <c r="L20" s="76" t="s">
        <v>0</v>
      </c>
    </row>
    <row r="21" spans="1:12">
      <c r="A21" s="384" t="s">
        <v>85</v>
      </c>
      <c r="B21" s="385">
        <v>3</v>
      </c>
      <c r="C21" s="385">
        <v>0</v>
      </c>
      <c r="D21" s="385">
        <f>B21</f>
        <v>3</v>
      </c>
      <c r="E21" s="385">
        <v>0</v>
      </c>
      <c r="F21" s="385">
        <v>0</v>
      </c>
      <c r="G21" s="385">
        <v>0</v>
      </c>
      <c r="H21" s="385">
        <v>0</v>
      </c>
      <c r="I21" s="382">
        <f t="shared" si="1"/>
        <v>0</v>
      </c>
      <c r="J21" s="385">
        <f t="shared" si="2"/>
        <v>3</v>
      </c>
      <c r="K21" s="386">
        <v>0</v>
      </c>
      <c r="L21" s="76" t="s">
        <v>0</v>
      </c>
    </row>
    <row r="22" spans="1:12">
      <c r="A22" s="389" t="s">
        <v>86</v>
      </c>
      <c r="B22" s="390">
        <v>41</v>
      </c>
      <c r="C22" s="390">
        <v>6</v>
      </c>
      <c r="D22" s="390">
        <f>B22</f>
        <v>41</v>
      </c>
      <c r="E22" s="390">
        <f>C22</f>
        <v>6</v>
      </c>
      <c r="F22" s="390">
        <v>0</v>
      </c>
      <c r="G22" s="390">
        <v>0</v>
      </c>
      <c r="H22" s="390">
        <v>0</v>
      </c>
      <c r="I22" s="382">
        <f t="shared" si="1"/>
        <v>0</v>
      </c>
      <c r="J22" s="390">
        <f t="shared" si="2"/>
        <v>41</v>
      </c>
      <c r="K22" s="391">
        <v>3</v>
      </c>
      <c r="L22" s="76" t="s">
        <v>0</v>
      </c>
    </row>
    <row r="23" spans="1:12" ht="15.75" thickBot="1">
      <c r="A23" s="370" t="s">
        <v>34</v>
      </c>
      <c r="B23" s="371">
        <f t="shared" ref="B23:K23" si="3">SUM(B12:B22)</f>
        <v>569</v>
      </c>
      <c r="C23" s="373">
        <f t="shared" si="3"/>
        <v>97</v>
      </c>
      <c r="D23" s="375">
        <f t="shared" si="3"/>
        <v>557</v>
      </c>
      <c r="E23" s="373">
        <f t="shared" si="3"/>
        <v>90</v>
      </c>
      <c r="F23" s="375">
        <f t="shared" si="3"/>
        <v>71</v>
      </c>
      <c r="G23" s="373">
        <f t="shared" si="3"/>
        <v>5</v>
      </c>
      <c r="H23" s="375">
        <f t="shared" si="3"/>
        <v>0</v>
      </c>
      <c r="I23" s="373">
        <f t="shared" si="3"/>
        <v>5</v>
      </c>
      <c r="J23" s="375">
        <f t="shared" si="3"/>
        <v>633</v>
      </c>
      <c r="K23" s="373">
        <f t="shared" si="3"/>
        <v>29</v>
      </c>
      <c r="L23" s="77" t="s">
        <v>0</v>
      </c>
    </row>
    <row r="24" spans="1:12">
      <c r="A24" s="376" t="s">
        <v>126</v>
      </c>
      <c r="B24" s="377">
        <f>+B23-B26</f>
        <v>557</v>
      </c>
      <c r="C24" s="378">
        <v>97</v>
      </c>
      <c r="D24" s="377">
        <f>+D23-D26</f>
        <v>545</v>
      </c>
      <c r="E24" s="378">
        <v>90</v>
      </c>
      <c r="F24" s="377">
        <v>71</v>
      </c>
      <c r="G24" s="378">
        <v>5</v>
      </c>
      <c r="H24" s="377"/>
      <c r="I24" s="379">
        <f>G24+H24</f>
        <v>5</v>
      </c>
      <c r="J24" s="380">
        <f>D24+F24+I24</f>
        <v>621</v>
      </c>
      <c r="K24" s="379">
        <v>29</v>
      </c>
      <c r="L24" s="77" t="s">
        <v>0</v>
      </c>
    </row>
    <row r="25" spans="1:12">
      <c r="A25" s="392" t="s">
        <v>142</v>
      </c>
      <c r="B25" s="393">
        <v>0</v>
      </c>
      <c r="C25" s="394">
        <v>0</v>
      </c>
      <c r="D25" s="393">
        <v>0</v>
      </c>
      <c r="E25" s="394">
        <v>0</v>
      </c>
      <c r="F25" s="393">
        <v>0</v>
      </c>
      <c r="G25" s="394">
        <v>0</v>
      </c>
      <c r="H25" s="393">
        <v>0</v>
      </c>
      <c r="I25" s="395">
        <v>0</v>
      </c>
      <c r="J25" s="396">
        <v>0</v>
      </c>
      <c r="K25" s="395">
        <v>0</v>
      </c>
      <c r="L25" s="76" t="s">
        <v>0</v>
      </c>
    </row>
    <row r="26" spans="1:12">
      <c r="A26" s="212" t="s">
        <v>143</v>
      </c>
      <c r="B26" s="397">
        <v>12</v>
      </c>
      <c r="C26" s="398">
        <v>0</v>
      </c>
      <c r="D26" s="397">
        <v>12</v>
      </c>
      <c r="E26" s="398">
        <v>0</v>
      </c>
      <c r="F26" s="397">
        <v>0</v>
      </c>
      <c r="G26" s="398">
        <v>0</v>
      </c>
      <c r="H26" s="397">
        <v>0</v>
      </c>
      <c r="I26" s="399">
        <f>G26+H26</f>
        <v>0</v>
      </c>
      <c r="J26" s="400">
        <f>D26+F26+I26</f>
        <v>12</v>
      </c>
      <c r="K26" s="399">
        <v>0</v>
      </c>
      <c r="L26" s="76" t="s">
        <v>0</v>
      </c>
    </row>
    <row r="27" spans="1:12" s="12" customFormat="1">
      <c r="A27" s="213" t="s">
        <v>34</v>
      </c>
      <c r="B27" s="372">
        <f>SUM(B24:B26)</f>
        <v>569</v>
      </c>
      <c r="C27" s="374">
        <f t="shared" ref="C27:J27" si="4">SUM(C24:C26)</f>
        <v>97</v>
      </c>
      <c r="D27" s="372">
        <f t="shared" si="4"/>
        <v>557</v>
      </c>
      <c r="E27" s="374">
        <f t="shared" si="4"/>
        <v>90</v>
      </c>
      <c r="F27" s="372">
        <f t="shared" si="4"/>
        <v>71</v>
      </c>
      <c r="G27" s="374">
        <f t="shared" si="4"/>
        <v>5</v>
      </c>
      <c r="H27" s="372">
        <f t="shared" si="4"/>
        <v>0</v>
      </c>
      <c r="I27" s="374">
        <f>SUM(I24:I26)</f>
        <v>5</v>
      </c>
      <c r="J27" s="372">
        <f t="shared" si="4"/>
        <v>633</v>
      </c>
      <c r="K27" s="374">
        <f>SUM(K24:K26)</f>
        <v>29</v>
      </c>
      <c r="L27" s="76" t="s">
        <v>20</v>
      </c>
    </row>
    <row r="28" spans="1:12" s="12" customFormat="1">
      <c r="A28" s="777"/>
      <c r="B28" s="777"/>
      <c r="C28" s="777"/>
      <c r="D28" s="777"/>
      <c r="E28" s="777"/>
      <c r="F28" s="777"/>
      <c r="G28" s="777"/>
      <c r="H28" s="777"/>
      <c r="I28" s="777"/>
      <c r="J28" s="777"/>
      <c r="K28" s="777"/>
      <c r="L28" s="76"/>
    </row>
    <row r="29" spans="1:12" s="12" customFormat="1">
      <c r="L29" s="77"/>
    </row>
  </sheetData>
  <customSheetViews>
    <customSheetView guid="{3118AF25-8423-420A-806A-487665220C68}" scale="75" showPageBreaks="1" fitToPage="1" printArea="1" view="pageBreakPreview">
      <pane xSplit="1" ySplit="11" topLeftCell="B12" activePane="bottomRight" state="frozen"/>
      <selection pane="bottomRight" activeCell="J20" sqref="J20"/>
      <pageMargins left="0.75" right="0.75" top="1" bottom="1" header="0.5" footer="0.5"/>
      <printOptions horizontalCentered="1"/>
      <pageSetup scale="71" orientation="landscape" r:id="rId1"/>
      <headerFooter alignWithMargins="0">
        <oddFooter>&amp;C&amp;"Times New Roman,Regular"Exhibit I - Detail of Permanent Positions by Category</oddFooter>
      </headerFooter>
    </customSheetView>
    <customSheetView guid="{56C0A34E-45B4-448B-85E5-70B3A8E63333}" scale="75" showPageBreaks="1" fitToPage="1" printArea="1" view="pageBreakPreview">
      <pane xSplit="1" ySplit="11" topLeftCell="B12" activePane="bottomRight" state="frozen"/>
      <selection pane="bottomRight" activeCell="A48" sqref="A48"/>
      <pageMargins left="0.75" right="0.75" top="1" bottom="1" header="0.5" footer="0.5"/>
      <printOptions horizontalCentered="1"/>
      <pageSetup scale="71" orientation="landscape" r:id="rId2"/>
      <headerFooter alignWithMargins="0">
        <oddFooter>&amp;C&amp;"Times New Roman,Regular"Exhibit I - Detail of Permanent Positions by Category</oddFooter>
      </headerFooter>
    </customSheetView>
    <customSheetView guid="{4148B88B-8ED7-4FDE-9459-DEB244AD0552}" scale="75" showPageBreaks="1" fitToPage="1" printArea="1" view="pageBreakPreview">
      <pane xSplit="1" ySplit="11" topLeftCell="B40" activePane="bottomRight" state="frozen"/>
      <selection pane="bottomRight" activeCell="A47" sqref="A47"/>
      <pageMargins left="0.75" right="0.75" top="1" bottom="1" header="0.5" footer="0.5"/>
      <printOptions horizontalCentered="1"/>
      <pageSetup scale="71" orientation="landscape" r:id="rId3"/>
      <headerFooter alignWithMargins="0">
        <oddFooter>&amp;C&amp;"Times New Roman,Regular"Exhibit I - Detail of Permanent Positions by Category</oddFooter>
      </headerFooter>
    </customSheetView>
    <customSheetView guid="{12C66D54-5067-4346-818B-6EAB1C8A9183}" scale="75" showPageBreaks="1" fitToPage="1" printArea="1" view="pageBreakPreview">
      <pane xSplit="1" ySplit="11" topLeftCell="B12" activePane="bottomRight" state="frozen"/>
      <selection pane="bottomRight" activeCell="D15" sqref="D15"/>
      <pageMargins left="0.75" right="0.75" top="1" bottom="1" header="0.5" footer="0.5"/>
      <printOptions horizontalCentered="1"/>
      <pageSetup scale="71" orientation="landscape" r:id="rId4"/>
      <headerFooter alignWithMargins="0">
        <oddFooter>&amp;C&amp;"Times New Roman,Regular"Exhibit I - Detail of Permanent Positions by Category</oddFooter>
      </headerFooter>
    </customSheetView>
    <customSheetView guid="{87EA6C51-A281-4696-9262-A16F553E7025}" scale="75" showPageBreaks="1" fitToPage="1" printArea="1" view="pageBreakPreview">
      <pane xSplit="1" ySplit="11" topLeftCell="B12" activePane="bottomRight" state="frozen"/>
      <selection pane="bottomRight" activeCell="D15" sqref="D15"/>
      <pageMargins left="0.75" right="0.75" top="1" bottom="1" header="0.5" footer="0.5"/>
      <printOptions horizontalCentered="1"/>
      <pageSetup scale="71" orientation="landscape" r:id="rId5"/>
      <headerFooter alignWithMargins="0">
        <oddFooter>&amp;C&amp;"Times New Roman,Regular"Exhibit I - Detail of Permanent Positions by Category</oddFooter>
      </headerFooter>
    </customSheetView>
  </customSheetViews>
  <mergeCells count="23">
    <mergeCell ref="A9:A11"/>
    <mergeCell ref="D9:E9"/>
    <mergeCell ref="B9:C9"/>
    <mergeCell ref="K10:K11"/>
    <mergeCell ref="J10:J11"/>
    <mergeCell ref="I10:I11"/>
    <mergeCell ref="E10:E11"/>
    <mergeCell ref="A28:K28"/>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s>
  <phoneticPr fontId="0" type="noConversion"/>
  <printOptions horizontalCentered="1"/>
  <pageMargins left="0.75" right="0.75" top="1" bottom="1" header="0.5" footer="0.5"/>
  <pageSetup scale="71" orientation="landscape" r:id="rId6"/>
  <headerFooter alignWithMargins="0">
    <oddFooter>&amp;C&amp;"Times New Roman,Regular"Exhibit I - Detail of Permanent Positions by Category</oddFooter>
  </headerFooter>
  <ignoredErrors>
    <ignoredError sqref="D13:E13 J15 J13" 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A. Organization Chart</vt:lpstr>
      <vt:lpstr>B. Summary of Requirements </vt:lpstr>
      <vt:lpstr>C. Increases Offsets</vt:lpstr>
      <vt:lpstr>D. Strategic Goals &amp; Objectives</vt:lpstr>
      <vt:lpstr>E. ATB Justification</vt:lpstr>
      <vt:lpstr>F. 2011 Crosswalk</vt:lpstr>
      <vt:lpstr>(G) 2012 Crosswalk</vt:lpstr>
      <vt:lpstr>H. Reimbursable Resources</vt:lpstr>
      <vt:lpstr>I. Permanent Positions</vt:lpstr>
      <vt:lpstr>J. Financial Analysis</vt:lpstr>
      <vt:lpstr>K. Summary by Grade</vt:lpstr>
      <vt:lpstr>L. Summary by Object Class</vt:lpstr>
      <vt:lpstr>(M) Studies</vt:lpstr>
      <vt:lpstr>'B. Summary of Requirements '!DL</vt:lpstr>
      <vt:lpstr>'(G) 2012 Crosswalk'!Print_Area</vt:lpstr>
      <vt:lpstr>'(M) Studies'!Print_Area</vt:lpstr>
      <vt:lpstr>'A. Organization Chart'!Print_Area</vt:lpstr>
      <vt:lpstr>'B. Summary of Requirements '!Print_Area</vt:lpstr>
      <vt:lpstr>'C. Increases Offsets'!Print_Area</vt:lpstr>
      <vt:lpstr>'D. Strategic Goals &amp; Objectives'!Print_Area</vt:lpstr>
      <vt:lpstr>'E. ATB Justification'!Print_Area</vt:lpstr>
      <vt:lpstr>'F. 2011 Crosswalk'!Print_Area</vt:lpstr>
      <vt:lpstr>'H. Reimbursable Resources'!Print_Area</vt:lpstr>
      <vt:lpstr>'I. Permanent Positions'!Print_Area</vt:lpstr>
      <vt:lpstr>'J. Financial Analysis'!Print_Area</vt:lpstr>
      <vt:lpstr>'K. Summary by Grade'!Print_Area</vt:lpstr>
      <vt:lpstr>'L. Summary by Object Class'!Print_Area</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jschmaus</cp:lastModifiedBy>
  <cp:lastPrinted>2012-02-07T16:18:32Z</cp:lastPrinted>
  <dcterms:created xsi:type="dcterms:W3CDTF">2003-08-28T20:51:00Z</dcterms:created>
  <dcterms:modified xsi:type="dcterms:W3CDTF">2012-02-08T17:43:48Z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