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5480" windowHeight="11640" tabRatio="876"/>
  </bookViews>
  <sheets>
    <sheet name="A. Org. Chart" sheetId="28" r:id="rId1"/>
    <sheet name="B. Summ of Req." sheetId="30" r:id="rId2"/>
    <sheet name="B. Summ of Req. by DU" sheetId="31" r:id="rId3"/>
    <sheet name="C. Program Changes by DU" sheetId="44" r:id="rId4"/>
    <sheet name="D. Strategic Goals &amp; Objectives" sheetId="37" r:id="rId5"/>
    <sheet name="E. ATB Justification" sheetId="32" r:id="rId6"/>
    <sheet name="F. 2012 Crosswalk " sheetId="40" r:id="rId7"/>
    <sheet name="G. 2013 Crosswalk " sheetId="38" r:id="rId8"/>
    <sheet name="H. Reimbursable Resources" sheetId="41" r:id="rId9"/>
    <sheet name="I. Permanent Positions" sheetId="42" r:id="rId10"/>
    <sheet name="J. Financial Analysis (2)" sheetId="43" r:id="rId11"/>
    <sheet name="K. Summary by Grade" sheetId="36" r:id="rId12"/>
    <sheet name="L. Summary by Object Class" sheetId="9" r:id="rId13"/>
    <sheet name="M. Summary by Appropriation" sheetId="10" r:id="rId14"/>
    <sheet name="N. Summary of Change" sheetId="11" r:id="rId15"/>
    <sheet name=" PCA Worksheet" sheetId="45" r:id="rId16"/>
  </sheets>
  <definedNames>
    <definedName name="_11POS_BY_CAT" localSheetId="15">#REF!</definedName>
    <definedName name="_11POS_BY_CAT" localSheetId="3">#REF!</definedName>
    <definedName name="_11POS_BY_CAT" localSheetId="4">#REF!</definedName>
    <definedName name="_11POS_BY_CAT" localSheetId="6">#REF!</definedName>
    <definedName name="_11POS_BY_CAT" localSheetId="7">#REF!</definedName>
    <definedName name="_11POS_BY_CAT" localSheetId="8">#REF!</definedName>
    <definedName name="_11POS_BY_CAT" localSheetId="9">#REF!</definedName>
    <definedName name="_11POS_BY_CAT" localSheetId="10">#REF!</definedName>
    <definedName name="_11POS_BY_CAT" localSheetId="11">#REF!</definedName>
    <definedName name="_11POS_BY_CAT">#REF!</definedName>
    <definedName name="_1ATTORNEY_SUPP" localSheetId="15">#REF!</definedName>
    <definedName name="_1ATTORNEY_SUPP" localSheetId="3">#REF!</definedName>
    <definedName name="_1ATTORNEY_SUPP" localSheetId="6">#REF!</definedName>
    <definedName name="_1ATTORNEY_SUPP" localSheetId="7">#REF!</definedName>
    <definedName name="_1ATTORNEY_SUPP" localSheetId="8">#REF!</definedName>
    <definedName name="_1ATTORNEY_SUPP" localSheetId="9">#REF!</definedName>
    <definedName name="_1ATTORNEY_SUPP" localSheetId="10">#REF!</definedName>
    <definedName name="_1ATTORNEY_SUPP" localSheetId="11">#REF!</definedName>
    <definedName name="_1ATTORNEY_SUPP">#REF!</definedName>
    <definedName name="_2ATTORNEY_SUPP" localSheetId="15">#REF!</definedName>
    <definedName name="_2ATTORNEY_SUPP" localSheetId="3">#REF!</definedName>
    <definedName name="_2ATTORNEY_SUPP" localSheetId="6">#REF!</definedName>
    <definedName name="_2ATTORNEY_SUPP" localSheetId="7">#REF!</definedName>
    <definedName name="_2ATTORNEY_SUPP" localSheetId="8">#REF!</definedName>
    <definedName name="_2ATTORNEY_SUPP" localSheetId="9">#REF!</definedName>
    <definedName name="_2ATTORNEY_SUPP" localSheetId="10">#REF!</definedName>
    <definedName name="_2ATTORNEY_SUPP" localSheetId="11">#REF!</definedName>
    <definedName name="_2ATTORNEY_SUPP">#REF!</definedName>
    <definedName name="_2GA_ROLLUP" localSheetId="15">#REF!</definedName>
    <definedName name="_2GA_ROLLUP">#REF!</definedName>
    <definedName name="_3POS_BY_CAT" localSheetId="15">#REF!</definedName>
    <definedName name="_3POS_BY_CAT">#REF!</definedName>
    <definedName name="_6GA_ROLLUP">#REF!</definedName>
    <definedName name="_7GA_ROLLUP" localSheetId="15">#REF!</definedName>
    <definedName name="_7GA_ROLLUP">#REF!</definedName>
    <definedName name="_9POS_BY_CAT">#REF!</definedName>
    <definedName name="DL" localSheetId="15">#REF!</definedName>
    <definedName name="DL">#REF!</definedName>
    <definedName name="EXECSUPP" localSheetId="15">#REF!</definedName>
    <definedName name="EXECSUPP">#REF!</definedName>
    <definedName name="FY0711.1" localSheetId="15">#REF!</definedName>
    <definedName name="FY0711.1">#REF!</definedName>
    <definedName name="FY0711.5" localSheetId="15">#REF!</definedName>
    <definedName name="FY0711.5">#REF!</definedName>
    <definedName name="FY0712.1" localSheetId="15">#REF!</definedName>
    <definedName name="FY0712.1">#REF!</definedName>
    <definedName name="FY0721.0" localSheetId="15">#REF!</definedName>
    <definedName name="FY0721.0">#REF!</definedName>
    <definedName name="FY0722.0" localSheetId="15">#REF!</definedName>
    <definedName name="FY0722.0">#REF!</definedName>
    <definedName name="FY0723.1" localSheetId="15">#REF!</definedName>
    <definedName name="FY0723.1">#REF!</definedName>
    <definedName name="FY0723.2" localSheetId="15">#REF!</definedName>
    <definedName name="FY0723.2">#REF!</definedName>
    <definedName name="FY0723.3" localSheetId="15">#REF!</definedName>
    <definedName name="FY0723.3">#REF!</definedName>
    <definedName name="FY0724.0" localSheetId="15">#REF!</definedName>
    <definedName name="FY0724.0">#REF!</definedName>
    <definedName name="FY0725.2" localSheetId="15">#REF!</definedName>
    <definedName name="FY0725.2">#REF!</definedName>
    <definedName name="FY0725.3" localSheetId="15">#REF!</definedName>
    <definedName name="FY0725.3">#REF!</definedName>
    <definedName name="FY0725.6" localSheetId="15">#REF!</definedName>
    <definedName name="FY0725.6">#REF!</definedName>
    <definedName name="FY0726.0" localSheetId="15">#REF!</definedName>
    <definedName name="FY0726.0">#REF!</definedName>
    <definedName name="FY0731.0" localSheetId="15">#REF!</definedName>
    <definedName name="FY0731.0">#REF!</definedName>
    <definedName name="FY0732.0" localSheetId="15">#REF!</definedName>
    <definedName name="FY0732.0">#REF!</definedName>
    <definedName name="FY07Ling" localSheetId="15">#REF!</definedName>
    <definedName name="FY07Ling">#REF!</definedName>
    <definedName name="FY07Mult" localSheetId="15">#REF!</definedName>
    <definedName name="FY07Mult">#REF!</definedName>
    <definedName name="FY07PEPI" localSheetId="15">#REF!</definedName>
    <definedName name="FY07PEPI">#REF!</definedName>
    <definedName name="FY07Tot" localSheetId="15">#REF!</definedName>
    <definedName name="FY07Tot">#REF!</definedName>
    <definedName name="FY07Train" localSheetId="15">#REF!</definedName>
    <definedName name="FY07Train">#REF!</definedName>
    <definedName name="FY0811.1" localSheetId="15">#REF!</definedName>
    <definedName name="FY0811.1">#REF!</definedName>
    <definedName name="FY0811.5" localSheetId="15">#REF!</definedName>
    <definedName name="FY0811.5">#REF!</definedName>
    <definedName name="FY0812.1" localSheetId="15">#REF!</definedName>
    <definedName name="FY0812.1">#REF!</definedName>
    <definedName name="FY0821.0" localSheetId="15">#REF!</definedName>
    <definedName name="FY0821.0">#REF!</definedName>
    <definedName name="FY0822.0" localSheetId="15">#REF!</definedName>
    <definedName name="FY0822.0">#REF!</definedName>
    <definedName name="FY0823.1" localSheetId="15">#REF!</definedName>
    <definedName name="FY0823.1">#REF!</definedName>
    <definedName name="FY0823.2" localSheetId="15">#REF!</definedName>
    <definedName name="FY0823.2">#REF!</definedName>
    <definedName name="FY0823.3" localSheetId="15">#REF!</definedName>
    <definedName name="FY0823.3">#REF!</definedName>
    <definedName name="FY0824.0" localSheetId="15">#REF!</definedName>
    <definedName name="FY0824.0">#REF!</definedName>
    <definedName name="FY0825.2" localSheetId="15">#REF!</definedName>
    <definedName name="FY0825.2">#REF!</definedName>
    <definedName name="FY0825.3" localSheetId="15">#REF!</definedName>
    <definedName name="FY0825.3">#REF!</definedName>
    <definedName name="FY0825.6" localSheetId="15">#REF!</definedName>
    <definedName name="FY0825.6">#REF!</definedName>
    <definedName name="FY0826.0" localSheetId="15">#REF!</definedName>
    <definedName name="FY0826.0">#REF!</definedName>
    <definedName name="FY0831.0" localSheetId="15">#REF!</definedName>
    <definedName name="FY0831.0">#REF!</definedName>
    <definedName name="FY0832.0" localSheetId="15">#REF!</definedName>
    <definedName name="FY0832.0">#REF!</definedName>
    <definedName name="FY08Ling" localSheetId="15">#REF!</definedName>
    <definedName name="FY08Ling">#REF!</definedName>
    <definedName name="FY08Mult" localSheetId="15">#REF!</definedName>
    <definedName name="FY08Mult">#REF!</definedName>
    <definedName name="FY08PEPI" localSheetId="15">#REF!</definedName>
    <definedName name="FY08PEPI">#REF!</definedName>
    <definedName name="FY08Tot" localSheetId="15">#REF!</definedName>
    <definedName name="FY08Tot">#REF!</definedName>
    <definedName name="FY08Train" localSheetId="15">#REF!</definedName>
    <definedName name="FY08Train">#REF!</definedName>
    <definedName name="FY0911.1" localSheetId="15">#REF!</definedName>
    <definedName name="FY0911.1">#REF!</definedName>
    <definedName name="FY0911.5" localSheetId="15">#REF!</definedName>
    <definedName name="FY0911.5">#REF!</definedName>
    <definedName name="FY0912.1" localSheetId="15">#REF!</definedName>
    <definedName name="FY0912.1">#REF!</definedName>
    <definedName name="FY0921.0" localSheetId="15">#REF!</definedName>
    <definedName name="FY0921.0">#REF!</definedName>
    <definedName name="FY0922.0" localSheetId="15">#REF!</definedName>
    <definedName name="FY0922.0">#REF!</definedName>
    <definedName name="FY0923.1" localSheetId="15">#REF!</definedName>
    <definedName name="FY0923.1">#REF!</definedName>
    <definedName name="FY0923.2" localSheetId="15">#REF!</definedName>
    <definedName name="FY0923.2">#REF!</definedName>
    <definedName name="FY0923.3" localSheetId="15">#REF!</definedName>
    <definedName name="FY0923.3">#REF!</definedName>
    <definedName name="FY0924.0" localSheetId="15">#REF!</definedName>
    <definedName name="FY0924.0">#REF!</definedName>
    <definedName name="FY0925.2" localSheetId="15">#REF!</definedName>
    <definedName name="FY0925.2">#REF!</definedName>
    <definedName name="FY0925.3" localSheetId="15">#REF!</definedName>
    <definedName name="FY0925.3">#REF!</definedName>
    <definedName name="FY0925.6" localSheetId="15">#REF!</definedName>
    <definedName name="FY0925.6">#REF!</definedName>
    <definedName name="FY0926.0" localSheetId="15">#REF!</definedName>
    <definedName name="FY0926.0">#REF!</definedName>
    <definedName name="FY0931.0" localSheetId="15">#REF!</definedName>
    <definedName name="FY0931.0">#REF!</definedName>
    <definedName name="FY0932.0" localSheetId="15">#REF!</definedName>
    <definedName name="FY0932.0">#REF!</definedName>
    <definedName name="FY09Ling" localSheetId="15">#REF!</definedName>
    <definedName name="FY09Ling">#REF!</definedName>
    <definedName name="FY09Mult" localSheetId="15">#REF!</definedName>
    <definedName name="FY09Mult">#REF!</definedName>
    <definedName name="FY09PEPI" localSheetId="15">#REF!</definedName>
    <definedName name="FY09PEPI">#REF!</definedName>
    <definedName name="FY09Tot" localSheetId="15">#REF!</definedName>
    <definedName name="FY09Tot">#REF!</definedName>
    <definedName name="FY09Train" localSheetId="15">#REF!</definedName>
    <definedName name="FY09Train">#REF!</definedName>
    <definedName name="INTEL" localSheetId="15">#REF!</definedName>
    <definedName name="INTEL">#REF!</definedName>
    <definedName name="JMD" localSheetId="15">#REF!</definedName>
    <definedName name="JMD">#REF!</definedName>
    <definedName name="PART" localSheetId="15">#REF!</definedName>
    <definedName name="PART">#REF!</definedName>
    <definedName name="_xlnm.Print_Area" localSheetId="15">' PCA Worksheet'!$A$1:$G$33</definedName>
    <definedName name="_xlnm.Print_Area" localSheetId="0">'A. Org. Chart'!$A$1:$L$34</definedName>
    <definedName name="_xlnm.Print_Area" localSheetId="1">'B. Summ of Req.'!$A$1:$D$49</definedName>
    <definedName name="_xlnm.Print_Area" localSheetId="2">'B. Summ of Req. by DU'!$A$1:$M$36</definedName>
    <definedName name="_xlnm.Print_Area" localSheetId="3">'C. Program Changes by DU'!$A$1:$N$40</definedName>
    <definedName name="_xlnm.Print_Area" localSheetId="4">'D. Strategic Goals &amp; Objectives'!$A$1:$N$32</definedName>
    <definedName name="_xlnm.Print_Area" localSheetId="5">'E. ATB Justification'!$A$1:$G$40</definedName>
    <definedName name="_xlnm.Print_Area" localSheetId="6">'F. 2012 Crosswalk '!$A$1:$O$34</definedName>
    <definedName name="_xlnm.Print_Area" localSheetId="7">'G. 2013 Crosswalk '!$A$1:$M$35</definedName>
    <definedName name="_xlnm.Print_Area" localSheetId="8">'H. Reimbursable Resources'!$A$1:$M$27</definedName>
    <definedName name="_xlnm.Print_Area" localSheetId="9">'I. Permanent Positions'!$A$1:$J$34</definedName>
    <definedName name="_xlnm.Print_Area" localSheetId="10">'J. Financial Analysis (2)'!$A$1:$M$102</definedName>
    <definedName name="_xlnm.Print_Area" localSheetId="11">'K. Summary by Grade'!$A$1:$L$27</definedName>
    <definedName name="_xlnm.Print_Area" localSheetId="12">'L. Summary by Object Class'!$A$1:$J$54</definedName>
    <definedName name="_xlnm.Print_Area" localSheetId="13">'M. Summary by Appropriation'!$A$1:$K$25</definedName>
    <definedName name="_xlnm.Print_Area" localSheetId="14">'N. Summary of Change'!$A$1:$G$74</definedName>
    <definedName name="_xlnm.Print_Area">#REF!</definedName>
    <definedName name="_xlnm.Print_Titles" localSheetId="5">'E. ATB Justification'!$1:$6</definedName>
    <definedName name="_xlnm.Print_Titles" localSheetId="10">'J. Financial Analysis (2)'!$1:$5</definedName>
    <definedName name="REIMPRO" localSheetId="15">#REF!</definedName>
    <definedName name="REIMPRO" localSheetId="3">#REF!</definedName>
    <definedName name="REIMPRO" localSheetId="4">#REF!</definedName>
    <definedName name="REIMPRO" localSheetId="6">#REF!</definedName>
    <definedName name="REIMPRO" localSheetId="7">#REF!</definedName>
    <definedName name="REIMPRO" localSheetId="8">#REF!</definedName>
    <definedName name="REIMPRO" localSheetId="9">#REF!</definedName>
    <definedName name="REIMPRO" localSheetId="10">#REF!</definedName>
    <definedName name="REIMPRO" localSheetId="11">#REF!</definedName>
    <definedName name="REIMPRO">#REF!</definedName>
    <definedName name="REIMSOR" localSheetId="15">#REF!</definedName>
    <definedName name="REIMSOR" localSheetId="3">#REF!</definedName>
    <definedName name="REIMSOR" localSheetId="4">#REF!</definedName>
    <definedName name="REIMSOR" localSheetId="6">#REF!</definedName>
    <definedName name="REIMSOR" localSheetId="7">#REF!</definedName>
    <definedName name="REIMSOR" localSheetId="8">#REF!</definedName>
    <definedName name="REIMSOR" localSheetId="9">#REF!</definedName>
    <definedName name="REIMSOR" localSheetId="10">#REF!</definedName>
    <definedName name="REIMSOR" localSheetId="11">#REF!</definedName>
    <definedName name="REIMSOR">#REF!</definedName>
    <definedName name="Test" localSheetId="3">#REF!</definedName>
    <definedName name="Test" localSheetId="4">#REF!</definedName>
    <definedName name="Test" localSheetId="6">#REF!</definedName>
    <definedName name="Test" localSheetId="8">#REF!</definedName>
    <definedName name="Test" localSheetId="9">#REF!</definedName>
    <definedName name="Test" localSheetId="10">#REF!</definedName>
    <definedName name="Test">#REF!</definedName>
  </definedNames>
  <calcPr calcId="145621"/>
</workbook>
</file>

<file path=xl/calcChain.xml><?xml version="1.0" encoding="utf-8"?>
<calcChain xmlns="http://schemas.openxmlformats.org/spreadsheetml/2006/main">
  <c r="N14" i="40" l="1"/>
  <c r="J22" i="36" l="1"/>
  <c r="J21" i="36"/>
  <c r="J20" i="36"/>
  <c r="J19" i="36"/>
  <c r="J18" i="36"/>
  <c r="J17" i="36"/>
  <c r="J16" i="36"/>
  <c r="J15" i="36"/>
  <c r="J14" i="36"/>
  <c r="J13" i="36"/>
  <c r="J12" i="36"/>
  <c r="J11" i="36"/>
  <c r="J10" i="36"/>
  <c r="J9" i="36"/>
  <c r="L22" i="36"/>
  <c r="L20" i="36"/>
  <c r="L19" i="36"/>
  <c r="L18" i="36"/>
  <c r="L17" i="36"/>
  <c r="L16" i="36"/>
  <c r="L15" i="36"/>
  <c r="L14" i="36"/>
  <c r="L13" i="36"/>
  <c r="L12" i="36"/>
  <c r="L11" i="36"/>
  <c r="L10" i="36"/>
  <c r="L9" i="36"/>
  <c r="F20" i="36"/>
  <c r="F17" i="36"/>
  <c r="F16" i="36"/>
  <c r="F13" i="36"/>
  <c r="F12" i="36"/>
  <c r="F11" i="36"/>
  <c r="F10" i="36"/>
  <c r="I22" i="36"/>
  <c r="I21" i="36"/>
  <c r="I20" i="36"/>
  <c r="I19" i="36"/>
  <c r="I18" i="36"/>
  <c r="I17" i="36"/>
  <c r="I16" i="36"/>
  <c r="I15" i="36"/>
  <c r="I14" i="36"/>
  <c r="I13" i="36"/>
  <c r="I12" i="36"/>
  <c r="I11" i="36"/>
  <c r="I10" i="36"/>
  <c r="I9" i="36"/>
  <c r="E17" i="36"/>
  <c r="E16" i="36"/>
  <c r="K20" i="44" l="1"/>
  <c r="L20" i="44"/>
  <c r="M20" i="44"/>
  <c r="N20" i="44"/>
  <c r="K21" i="44"/>
  <c r="L21" i="44"/>
  <c r="M21" i="44"/>
  <c r="N21" i="44"/>
  <c r="J40" i="44"/>
  <c r="I40" i="44"/>
  <c r="H40" i="44"/>
  <c r="G40" i="44"/>
  <c r="F40" i="44"/>
  <c r="E40" i="44"/>
  <c r="D40" i="44"/>
  <c r="C40" i="44"/>
  <c r="N39" i="44"/>
  <c r="M39" i="44"/>
  <c r="L39" i="44"/>
  <c r="K39" i="44"/>
  <c r="N38" i="44"/>
  <c r="M38" i="44"/>
  <c r="L38" i="44"/>
  <c r="K38" i="44"/>
  <c r="N37" i="44"/>
  <c r="M37" i="44"/>
  <c r="L37" i="44"/>
  <c r="K37" i="44"/>
  <c r="N36" i="44"/>
  <c r="N40" i="44" s="1"/>
  <c r="M36" i="44"/>
  <c r="M40" i="44" s="1"/>
  <c r="L36" i="44"/>
  <c r="L40" i="44" s="1"/>
  <c r="K36" i="44"/>
  <c r="K40" i="44" s="1"/>
  <c r="J32" i="44"/>
  <c r="I32" i="44"/>
  <c r="H32" i="44"/>
  <c r="G32" i="44"/>
  <c r="F32" i="44"/>
  <c r="E32" i="44"/>
  <c r="D32" i="44"/>
  <c r="C32" i="44"/>
  <c r="J24" i="44"/>
  <c r="I24" i="44"/>
  <c r="H24" i="44"/>
  <c r="G24" i="44"/>
  <c r="F24" i="44"/>
  <c r="E24" i="44"/>
  <c r="D24" i="44"/>
  <c r="C24" i="44"/>
  <c r="N23" i="44"/>
  <c r="M23" i="44"/>
  <c r="L23" i="44"/>
  <c r="K23" i="44"/>
  <c r="N22" i="44"/>
  <c r="M22" i="44"/>
  <c r="L22" i="44"/>
  <c r="K22" i="44"/>
  <c r="N19" i="44"/>
  <c r="M19" i="44"/>
  <c r="L19" i="44"/>
  <c r="K19" i="44"/>
  <c r="N18" i="44"/>
  <c r="M18" i="44"/>
  <c r="L18" i="44"/>
  <c r="K18" i="44"/>
  <c r="J14" i="44"/>
  <c r="I14" i="44"/>
  <c r="H14" i="44"/>
  <c r="G14" i="44"/>
  <c r="F14" i="44"/>
  <c r="E14" i="44"/>
  <c r="D14" i="44"/>
  <c r="C14" i="44"/>
  <c r="M24" i="44" l="1"/>
  <c r="N24" i="44"/>
  <c r="K24" i="44"/>
  <c r="L24" i="44"/>
  <c r="E9" i="32"/>
  <c r="F9" i="32"/>
  <c r="G9" i="32"/>
  <c r="E15" i="32"/>
  <c r="F15" i="32"/>
  <c r="G15" i="32"/>
  <c r="E22" i="32"/>
  <c r="F22" i="32"/>
  <c r="G22" i="32"/>
  <c r="E26" i="32"/>
  <c r="F26" i="32"/>
  <c r="G26" i="32"/>
  <c r="E29" i="32"/>
  <c r="F29" i="32"/>
  <c r="G29" i="32"/>
  <c r="E39" i="32"/>
  <c r="F39" i="32"/>
  <c r="G39" i="32"/>
  <c r="G40" i="32" l="1"/>
  <c r="E40" i="32"/>
  <c r="F40" i="32"/>
  <c r="I51" i="9"/>
  <c r="I50" i="9"/>
  <c r="I49" i="9"/>
  <c r="I48" i="9"/>
  <c r="E10" i="9"/>
  <c r="K101" i="43" l="1"/>
  <c r="K100" i="43"/>
  <c r="K99" i="43"/>
  <c r="K97" i="43"/>
  <c r="K96" i="43"/>
  <c r="B22" i="43" l="1"/>
  <c r="B25" i="43" s="1"/>
  <c r="C22" i="43"/>
  <c r="C25" i="43" s="1"/>
  <c r="D22" i="43"/>
  <c r="D25" i="43" s="1"/>
  <c r="D35" i="43" s="1"/>
  <c r="E22" i="43"/>
  <c r="E25" i="43" s="1"/>
  <c r="E35" i="43" s="1"/>
  <c r="F22" i="43"/>
  <c r="F25" i="43" s="1"/>
  <c r="F35" i="43" s="1"/>
  <c r="G22" i="43"/>
  <c r="G25" i="43" s="1"/>
  <c r="G35" i="43" s="1"/>
  <c r="H22" i="43"/>
  <c r="H25" i="43" s="1"/>
  <c r="H35" i="43" s="1"/>
  <c r="I22" i="43"/>
  <c r="I25" i="43" s="1"/>
  <c r="J22" i="43"/>
  <c r="J23" i="43" s="1"/>
  <c r="K22" i="43"/>
  <c r="K23" i="43" s="1"/>
  <c r="L22" i="43"/>
  <c r="M22" i="43"/>
  <c r="M25" i="43" s="1"/>
  <c r="M35" i="43" s="1"/>
  <c r="I31" i="43"/>
  <c r="K98" i="43" s="1"/>
  <c r="B55" i="43"/>
  <c r="B58" i="43" s="1"/>
  <c r="B68" i="43" s="1"/>
  <c r="C55" i="43"/>
  <c r="C58" i="43" s="1"/>
  <c r="C68" i="43" s="1"/>
  <c r="D55" i="43"/>
  <c r="D58" i="43" s="1"/>
  <c r="D68" i="43" s="1"/>
  <c r="E55" i="43"/>
  <c r="E58" i="43" s="1"/>
  <c r="E68" i="43" s="1"/>
  <c r="F55" i="43"/>
  <c r="F58" i="43" s="1"/>
  <c r="F68" i="43" s="1"/>
  <c r="G55" i="43"/>
  <c r="G58" i="43" s="1"/>
  <c r="G68" i="43" s="1"/>
  <c r="H55" i="43"/>
  <c r="H58" i="43" s="1"/>
  <c r="H68" i="43" s="1"/>
  <c r="I55" i="43"/>
  <c r="I58" i="43" s="1"/>
  <c r="I68" i="43" s="1"/>
  <c r="J55" i="43"/>
  <c r="J56" i="43" s="1"/>
  <c r="K55" i="43"/>
  <c r="K56" i="43" s="1"/>
  <c r="J76" i="43"/>
  <c r="K76" i="43"/>
  <c r="J77" i="43"/>
  <c r="K77" i="43"/>
  <c r="J78" i="43"/>
  <c r="K78" i="43"/>
  <c r="J79" i="43"/>
  <c r="K79" i="43"/>
  <c r="J80" i="43"/>
  <c r="K80" i="43"/>
  <c r="J81" i="43"/>
  <c r="K81" i="43"/>
  <c r="J82" i="43"/>
  <c r="K82" i="43"/>
  <c r="J83" i="43"/>
  <c r="K83" i="43"/>
  <c r="J84" i="43"/>
  <c r="K84" i="43"/>
  <c r="J85" i="43"/>
  <c r="K85" i="43"/>
  <c r="J86" i="43"/>
  <c r="K86" i="43"/>
  <c r="J87" i="43"/>
  <c r="K87" i="43"/>
  <c r="J88" i="43"/>
  <c r="K88" i="43"/>
  <c r="B89" i="43"/>
  <c r="B90" i="43" s="1"/>
  <c r="C89" i="43"/>
  <c r="C92" i="43" s="1"/>
  <c r="C102" i="43" s="1"/>
  <c r="D89" i="43"/>
  <c r="D90" i="43" s="1"/>
  <c r="D92" i="43" s="1"/>
  <c r="D102" i="43" s="1"/>
  <c r="E89" i="43"/>
  <c r="F89" i="43"/>
  <c r="F90" i="43" s="1"/>
  <c r="F92" i="43" s="1"/>
  <c r="F102" i="43" s="1"/>
  <c r="G89" i="43"/>
  <c r="G92" i="43" s="1"/>
  <c r="G102" i="43" s="1"/>
  <c r="H89" i="43"/>
  <c r="H90" i="43" s="1"/>
  <c r="I89" i="43"/>
  <c r="K91" i="43"/>
  <c r="K93" i="43"/>
  <c r="K94" i="43"/>
  <c r="K95" i="43"/>
  <c r="E90" i="43" l="1"/>
  <c r="E92" i="43" s="1"/>
  <c r="E102" i="43" s="1"/>
  <c r="K89" i="43"/>
  <c r="I35" i="43"/>
  <c r="H92" i="43"/>
  <c r="H102" i="43" s="1"/>
  <c r="J89" i="43"/>
  <c r="K58" i="43"/>
  <c r="K68" i="43" s="1"/>
  <c r="J58" i="43"/>
  <c r="J68" i="43" s="1"/>
  <c r="C35" i="43"/>
  <c r="B35" i="43"/>
  <c r="K25" i="43"/>
  <c r="K35" i="43" s="1"/>
  <c r="J25" i="43"/>
  <c r="J35" i="43" s="1"/>
  <c r="L23" i="43"/>
  <c r="L25" i="43" s="1"/>
  <c r="L35" i="43" s="1"/>
  <c r="I90" i="43"/>
  <c r="K90" i="43" s="1"/>
  <c r="B92" i="43"/>
  <c r="B102" i="43" s="1"/>
  <c r="J90" i="43" l="1"/>
  <c r="I92" i="43"/>
  <c r="I102" i="43" s="1"/>
  <c r="J92" i="43"/>
  <c r="J102" i="43" s="1"/>
  <c r="K92" i="43" l="1"/>
  <c r="K102" i="43" s="1"/>
  <c r="I9" i="42" l="1"/>
  <c r="I10" i="42"/>
  <c r="I11" i="42"/>
  <c r="I12" i="42"/>
  <c r="I13" i="42"/>
  <c r="I14" i="42"/>
  <c r="I15" i="42"/>
  <c r="I16" i="42"/>
  <c r="I17" i="42"/>
  <c r="I18" i="42"/>
  <c r="I19" i="42"/>
  <c r="I20" i="42"/>
  <c r="B21" i="42"/>
  <c r="D21" i="42"/>
  <c r="D30" i="42" s="1"/>
  <c r="D32" i="42" s="1"/>
  <c r="I21" i="42"/>
  <c r="I22" i="42"/>
  <c r="I23" i="42"/>
  <c r="I24" i="42"/>
  <c r="I25" i="42"/>
  <c r="I26" i="42"/>
  <c r="I27" i="42"/>
  <c r="I28" i="42"/>
  <c r="I29" i="42"/>
  <c r="B30" i="42"/>
  <c r="B32" i="42" s="1"/>
  <c r="B34" i="42" s="1"/>
  <c r="C30" i="42"/>
  <c r="E30" i="42"/>
  <c r="F30" i="42"/>
  <c r="G30" i="42"/>
  <c r="H30" i="42"/>
  <c r="H31" i="42" s="1"/>
  <c r="J30" i="42"/>
  <c r="G32" i="42"/>
  <c r="C34" i="42"/>
  <c r="E34" i="42"/>
  <c r="F34" i="42"/>
  <c r="G34" i="42"/>
  <c r="J34" i="42"/>
  <c r="K9" i="41"/>
  <c r="L9" i="41"/>
  <c r="M9" i="41"/>
  <c r="K10" i="41"/>
  <c r="L10" i="41"/>
  <c r="M10" i="41"/>
  <c r="K11" i="41"/>
  <c r="L11" i="41"/>
  <c r="M11" i="41"/>
  <c r="K12" i="41"/>
  <c r="L12" i="41"/>
  <c r="M12" i="41"/>
  <c r="K13" i="41"/>
  <c r="L13" i="41"/>
  <c r="M13" i="41"/>
  <c r="K14" i="41"/>
  <c r="L14" i="41"/>
  <c r="M14" i="41"/>
  <c r="K15" i="41"/>
  <c r="L15" i="41"/>
  <c r="M15" i="41"/>
  <c r="K16" i="41"/>
  <c r="L16" i="41"/>
  <c r="M16" i="41"/>
  <c r="K17" i="41"/>
  <c r="L17" i="41"/>
  <c r="M17" i="41"/>
  <c r="K18" i="41"/>
  <c r="L18" i="41"/>
  <c r="M18" i="41"/>
  <c r="K19" i="41"/>
  <c r="L19" i="41"/>
  <c r="M19" i="41"/>
  <c r="B20" i="41"/>
  <c r="C20" i="41"/>
  <c r="D20" i="41"/>
  <c r="E20" i="41"/>
  <c r="F20" i="41"/>
  <c r="G20" i="41"/>
  <c r="H20" i="41"/>
  <c r="I20" i="41"/>
  <c r="J20" i="41"/>
  <c r="K24" i="41"/>
  <c r="K26" i="41" s="1"/>
  <c r="L24" i="41"/>
  <c r="M24" i="41"/>
  <c r="M26" i="41" s="1"/>
  <c r="B26" i="41"/>
  <c r="C26" i="41"/>
  <c r="D26" i="41"/>
  <c r="E26" i="41"/>
  <c r="F26" i="41"/>
  <c r="G26" i="41"/>
  <c r="H26" i="41"/>
  <c r="I26" i="41"/>
  <c r="J26" i="41"/>
  <c r="L26" i="41"/>
  <c r="M9" i="40"/>
  <c r="M13" i="40" s="1"/>
  <c r="N9" i="40"/>
  <c r="O9" i="40"/>
  <c r="M10" i="40"/>
  <c r="N10" i="40"/>
  <c r="N13" i="40" s="1"/>
  <c r="O10" i="40"/>
  <c r="M11" i="40"/>
  <c r="N11" i="40"/>
  <c r="O11" i="40"/>
  <c r="M12" i="40"/>
  <c r="N12" i="40"/>
  <c r="O12" i="40"/>
  <c r="B13" i="40"/>
  <c r="C13" i="40"/>
  <c r="C15" i="40" s="1"/>
  <c r="C20" i="40" s="1"/>
  <c r="D13" i="40"/>
  <c r="E13" i="40"/>
  <c r="F13" i="40"/>
  <c r="F15" i="40" s="1"/>
  <c r="F20" i="40" s="1"/>
  <c r="G13" i="40"/>
  <c r="H13" i="40"/>
  <c r="I13" i="40"/>
  <c r="I15" i="40" s="1"/>
  <c r="I20" i="40" s="1"/>
  <c r="J13" i="40"/>
  <c r="K13" i="40"/>
  <c r="L13" i="40"/>
  <c r="N18" i="40"/>
  <c r="N19" i="40"/>
  <c r="I30" i="42" l="1"/>
  <c r="L20" i="41"/>
  <c r="K20" i="41"/>
  <c r="N15" i="40"/>
  <c r="N20" i="40" s="1"/>
  <c r="O13" i="40"/>
  <c r="M20" i="41"/>
  <c r="D34" i="42"/>
  <c r="I31" i="42"/>
  <c r="H32" i="42"/>
  <c r="I32" i="42" s="1"/>
  <c r="H33" i="42"/>
  <c r="I33" i="42" s="1"/>
  <c r="H34" i="42" l="1"/>
  <c r="I34" i="42"/>
  <c r="K9" i="38" l="1"/>
  <c r="L9" i="38"/>
  <c r="M9" i="38"/>
  <c r="K10" i="38"/>
  <c r="L10" i="38"/>
  <c r="M10" i="38"/>
  <c r="K11" i="38"/>
  <c r="L11" i="38"/>
  <c r="M11" i="38"/>
  <c r="K12" i="38"/>
  <c r="L12" i="38"/>
  <c r="M12" i="38"/>
  <c r="B13" i="38"/>
  <c r="C13" i="38"/>
  <c r="C17" i="38" s="1"/>
  <c r="C22" i="38" s="1"/>
  <c r="D13" i="38"/>
  <c r="E13" i="38"/>
  <c r="F13" i="38"/>
  <c r="G13" i="38"/>
  <c r="G17" i="38" s="1"/>
  <c r="G22" i="38" s="1"/>
  <c r="H13" i="38"/>
  <c r="I13" i="38"/>
  <c r="I17" i="38" s="1"/>
  <c r="I22" i="38" s="1"/>
  <c r="J13" i="38"/>
  <c r="M14" i="38"/>
  <c r="D15" i="38"/>
  <c r="L16" i="38"/>
  <c r="L20" i="38"/>
  <c r="L21" i="38"/>
  <c r="L13" i="38" l="1"/>
  <c r="L17" i="38" s="1"/>
  <c r="L22" i="38" s="1"/>
  <c r="M13" i="38"/>
  <c r="M15" i="38" s="1"/>
  <c r="K13" i="38"/>
  <c r="M10" i="37"/>
  <c r="N10" i="37"/>
  <c r="M11" i="37"/>
  <c r="N11" i="37"/>
  <c r="M12" i="37"/>
  <c r="N12" i="37"/>
  <c r="C13" i="37"/>
  <c r="D13" i="37"/>
  <c r="E13" i="37"/>
  <c r="F13" i="37"/>
  <c r="G13" i="37"/>
  <c r="H13" i="37"/>
  <c r="I13" i="37"/>
  <c r="J13" i="37"/>
  <c r="K13" i="37"/>
  <c r="L13" i="37"/>
  <c r="M15" i="37"/>
  <c r="N15" i="37"/>
  <c r="M16" i="37"/>
  <c r="N16" i="37"/>
  <c r="M17" i="37"/>
  <c r="N17" i="37"/>
  <c r="M18" i="37"/>
  <c r="N18" i="37"/>
  <c r="M19" i="37"/>
  <c r="N19" i="37"/>
  <c r="M20" i="37"/>
  <c r="N20" i="37"/>
  <c r="C21" i="37"/>
  <c r="D21" i="37"/>
  <c r="E21" i="37"/>
  <c r="F21" i="37"/>
  <c r="G21" i="37"/>
  <c r="H21" i="37"/>
  <c r="I21" i="37"/>
  <c r="J21" i="37"/>
  <c r="K21" i="37"/>
  <c r="L21" i="37"/>
  <c r="M23" i="37"/>
  <c r="N23" i="37"/>
  <c r="M24" i="37"/>
  <c r="N24" i="37"/>
  <c r="M25" i="37"/>
  <c r="N25" i="37"/>
  <c r="M26" i="37"/>
  <c r="N26" i="37"/>
  <c r="C27" i="37"/>
  <c r="D27" i="37"/>
  <c r="E27" i="37"/>
  <c r="F27" i="37"/>
  <c r="G27" i="37"/>
  <c r="H27" i="37"/>
  <c r="I27" i="37"/>
  <c r="J27" i="37"/>
  <c r="K27" i="37"/>
  <c r="L27" i="37"/>
  <c r="L28" i="37" s="1"/>
  <c r="I28" i="37" l="1"/>
  <c r="K28" i="37"/>
  <c r="G28" i="37"/>
  <c r="J28" i="37"/>
  <c r="N21" i="37"/>
  <c r="M27" i="37"/>
  <c r="M13" i="37"/>
  <c r="N13" i="37"/>
  <c r="N27" i="37"/>
  <c r="N28" i="37" s="1"/>
  <c r="H28" i="37"/>
  <c r="M21" i="37"/>
  <c r="F28" i="37"/>
  <c r="E28" i="37"/>
  <c r="D28" i="37"/>
  <c r="C28" i="37"/>
  <c r="F69" i="11"/>
  <c r="M28" i="37" l="1"/>
  <c r="F22" i="36"/>
  <c r="F21" i="36"/>
  <c r="F19" i="36"/>
  <c r="F18" i="36"/>
  <c r="F15" i="36"/>
  <c r="F14" i="36"/>
  <c r="E24" i="9" l="1"/>
  <c r="E25" i="9"/>
  <c r="E26" i="9"/>
  <c r="G16" i="9"/>
  <c r="G10" i="9"/>
  <c r="F62" i="11" l="1"/>
  <c r="E62" i="11"/>
  <c r="D62" i="11"/>
  <c r="F23" i="36" l="1"/>
  <c r="E23" i="36"/>
  <c r="G23" i="36"/>
  <c r="H23" i="36"/>
  <c r="J23" i="36"/>
  <c r="L23" i="36" l="1"/>
  <c r="J12" i="31"/>
  <c r="J11" i="31"/>
  <c r="J10" i="31"/>
  <c r="I10" i="31"/>
  <c r="I9" i="31"/>
  <c r="J9" i="31"/>
  <c r="F10" i="31"/>
  <c r="F9" i="31"/>
  <c r="F12" i="31"/>
  <c r="F11" i="11" l="1"/>
  <c r="E11" i="11"/>
  <c r="D11" i="11"/>
  <c r="D25" i="31" l="1"/>
  <c r="G25" i="31"/>
  <c r="D26" i="31"/>
  <c r="D24" i="31"/>
  <c r="I33" i="31" l="1"/>
  <c r="I32" i="31"/>
  <c r="I31" i="31"/>
  <c r="F28" i="31"/>
  <c r="F30" i="31" s="1"/>
  <c r="F35" i="31" s="1"/>
  <c r="E28" i="31"/>
  <c r="D27" i="31"/>
  <c r="C25" i="31"/>
  <c r="B25" i="31"/>
  <c r="G24" i="31"/>
  <c r="G28" i="31" s="1"/>
  <c r="D28" i="31"/>
  <c r="C24" i="31"/>
  <c r="B24" i="31"/>
  <c r="B28" i="31" s="1"/>
  <c r="L19" i="31"/>
  <c r="I34" i="31" s="1"/>
  <c r="L18" i="31"/>
  <c r="L14" i="31"/>
  <c r="I29" i="31" s="1"/>
  <c r="J13" i="31"/>
  <c r="H13" i="31"/>
  <c r="G13" i="31"/>
  <c r="F13" i="31"/>
  <c r="F15" i="31" s="1"/>
  <c r="F20" i="31" s="1"/>
  <c r="E13" i="31"/>
  <c r="D13" i="31"/>
  <c r="C13" i="31"/>
  <c r="C15" i="31" s="1"/>
  <c r="C20" i="31" s="1"/>
  <c r="B13" i="31"/>
  <c r="M12" i="31"/>
  <c r="L12" i="31"/>
  <c r="I27" i="31" s="1"/>
  <c r="K12" i="31"/>
  <c r="H27" i="31" s="1"/>
  <c r="M11" i="31"/>
  <c r="J26" i="31" s="1"/>
  <c r="L11" i="31"/>
  <c r="I26" i="31" s="1"/>
  <c r="K11" i="31"/>
  <c r="H26" i="31" s="1"/>
  <c r="M10" i="31"/>
  <c r="J25" i="31" s="1"/>
  <c r="K10" i="31"/>
  <c r="L10" i="31"/>
  <c r="M9" i="31"/>
  <c r="L9" i="31"/>
  <c r="K9" i="31"/>
  <c r="D43" i="30"/>
  <c r="C43" i="30"/>
  <c r="B43" i="30"/>
  <c r="D37" i="30"/>
  <c r="C37" i="30"/>
  <c r="B37" i="30"/>
  <c r="D26" i="30"/>
  <c r="C26" i="30"/>
  <c r="B26" i="30"/>
  <c r="D15" i="30"/>
  <c r="C15" i="30"/>
  <c r="B15" i="30"/>
  <c r="D11" i="30"/>
  <c r="C11" i="30"/>
  <c r="B11" i="30"/>
  <c r="H25" i="31" l="1"/>
  <c r="I25" i="31"/>
  <c r="J27" i="31"/>
  <c r="K13" i="31"/>
  <c r="C28" i="31"/>
  <c r="C30" i="31" s="1"/>
  <c r="C35" i="31" s="1"/>
  <c r="B27" i="30"/>
  <c r="B28" i="30" s="1"/>
  <c r="C27" i="30"/>
  <c r="C28" i="30" s="1"/>
  <c r="D27" i="30"/>
  <c r="D28" i="30" s="1"/>
  <c r="B44" i="30"/>
  <c r="L13" i="31"/>
  <c r="M13" i="31"/>
  <c r="C44" i="30"/>
  <c r="D44" i="30"/>
  <c r="I13" i="31"/>
  <c r="I15" i="31" s="1"/>
  <c r="H24" i="31"/>
  <c r="H28" i="31" s="1"/>
  <c r="I24" i="31"/>
  <c r="J24" i="31"/>
  <c r="J28" i="31" l="1"/>
  <c r="I28" i="31"/>
  <c r="C45" i="30"/>
  <c r="C46" i="30" s="1"/>
  <c r="B45" i="30"/>
  <c r="B46" i="30" s="1"/>
  <c r="D45" i="30"/>
  <c r="D46" i="30" s="1"/>
  <c r="I20" i="31"/>
  <c r="L20" i="31" s="1"/>
  <c r="I35" i="31" s="1"/>
  <c r="L15" i="31"/>
  <c r="I30" i="31" s="1"/>
  <c r="F30" i="11" l="1"/>
  <c r="C28" i="9" l="1"/>
  <c r="C27" i="9"/>
  <c r="C22" i="9"/>
  <c r="C16" i="9"/>
  <c r="C10" i="9"/>
  <c r="E69" i="11" l="1"/>
  <c r="D69" i="11"/>
  <c r="F41" i="11"/>
  <c r="E41" i="11"/>
  <c r="D41" i="11"/>
  <c r="F49" i="11"/>
  <c r="E49" i="11"/>
  <c r="D49" i="11"/>
  <c r="E30" i="11"/>
  <c r="D30" i="11"/>
  <c r="F22" i="11"/>
  <c r="E22" i="11"/>
  <c r="D22" i="11"/>
  <c r="D51" i="11" l="1"/>
  <c r="E51" i="11"/>
  <c r="F51" i="11"/>
  <c r="F71" i="11"/>
  <c r="E71" i="11"/>
  <c r="D71" i="11"/>
  <c r="H11" i="9" l="1"/>
  <c r="H10" i="9"/>
  <c r="J15" i="10" l="1"/>
  <c r="J21" i="10" s="1"/>
  <c r="I28" i="9" l="1"/>
  <c r="I27" i="9"/>
  <c r="I26" i="9"/>
  <c r="I25" i="9"/>
  <c r="I24" i="9"/>
  <c r="I23" i="9"/>
  <c r="I22" i="9"/>
  <c r="I21" i="9"/>
  <c r="I20" i="9"/>
  <c r="I19" i="9"/>
  <c r="I18" i="9"/>
  <c r="I17" i="9"/>
  <c r="I16" i="9" l="1"/>
  <c r="D15" i="10" l="1"/>
  <c r="D21" i="10" s="1"/>
  <c r="C21" i="10" l="1"/>
  <c r="B21" i="10"/>
  <c r="E52" i="11" l="1"/>
  <c r="E73" i="11" s="1"/>
  <c r="D52" i="11"/>
  <c r="D73" i="11" s="1"/>
  <c r="E21" i="10" l="1"/>
  <c r="F21" i="10"/>
  <c r="G15" i="10"/>
  <c r="G21" i="10" s="1"/>
  <c r="H33" i="9" l="1"/>
  <c r="F33" i="9"/>
  <c r="D33" i="9"/>
  <c r="B33" i="9"/>
  <c r="I21" i="10" l="1"/>
  <c r="H21" i="10"/>
  <c r="G14" i="9" l="1"/>
  <c r="G29" i="9" s="1"/>
  <c r="E14" i="9"/>
  <c r="E29" i="9" s="1"/>
  <c r="C14" i="9"/>
  <c r="F14" i="9"/>
  <c r="F47" i="9" s="1"/>
  <c r="H12" i="9"/>
  <c r="H13" i="9"/>
  <c r="D14" i="9"/>
  <c r="D47" i="9" s="1"/>
  <c r="B14" i="9"/>
  <c r="B47" i="9" s="1"/>
  <c r="G39" i="9"/>
  <c r="I10" i="9"/>
  <c r="I12" i="9"/>
  <c r="I11" i="9"/>
  <c r="I13" i="9"/>
  <c r="I38" i="9"/>
  <c r="I39" i="9" s="1"/>
  <c r="I41" i="9"/>
  <c r="I42" i="9"/>
  <c r="I43" i="9"/>
  <c r="I44" i="9"/>
  <c r="I45" i="9"/>
  <c r="G46" i="9"/>
  <c r="E39" i="9"/>
  <c r="E46" i="9" s="1"/>
  <c r="C39" i="9"/>
  <c r="C46" i="9" s="1"/>
  <c r="I46" i="9" l="1"/>
  <c r="H14" i="9"/>
  <c r="H47" i="9" s="1"/>
  <c r="C29" i="9"/>
  <c r="C47" i="9" s="1"/>
  <c r="C52" i="9" s="1"/>
  <c r="E47" i="9"/>
  <c r="E52" i="9" s="1"/>
  <c r="G47" i="9"/>
  <c r="G52" i="9" s="1"/>
  <c r="I14" i="9"/>
  <c r="I29" i="9" s="1"/>
  <c r="I47" i="9" l="1"/>
  <c r="I52" i="9" s="1"/>
  <c r="F52" i="11" l="1"/>
  <c r="F73" i="11" s="1"/>
  <c r="K23" i="36"/>
  <c r="I23" i="36"/>
</calcChain>
</file>

<file path=xl/sharedStrings.xml><?xml version="1.0" encoding="utf-8"?>
<sst xmlns="http://schemas.openxmlformats.org/spreadsheetml/2006/main" count="1666" uniqueCount="434">
  <si>
    <t xml:space="preserve">     42.0 Insurance claims and indemnities</t>
  </si>
  <si>
    <t xml:space="preserve">     12.1 Personnel benefits:  PHS</t>
  </si>
  <si>
    <t>Continued on next Page</t>
  </si>
  <si>
    <t xml:space="preserve">     11.1 Personnel compensation:  PHS</t>
  </si>
  <si>
    <t xml:space="preserve">              Total workyears and personnel comp.</t>
  </si>
  <si>
    <t xml:space="preserve">              Total obligations Salaries and Exp.</t>
  </si>
  <si>
    <t>Detail of Permanent Positions by Category</t>
  </si>
  <si>
    <t>Reimbursable FTE</t>
  </si>
  <si>
    <t xml:space="preserve">   FTE</t>
  </si>
  <si>
    <t xml:space="preserve">  Pos.</t>
  </si>
  <si>
    <t>FTE</t>
  </si>
  <si>
    <t>Amount</t>
  </si>
  <si>
    <t>Total Program Increases</t>
  </si>
  <si>
    <t>Total Offsets</t>
  </si>
  <si>
    <t>Pos.</t>
  </si>
  <si>
    <t>Grades and Salary Ranges</t>
  </si>
  <si>
    <t>Object Class</t>
  </si>
  <si>
    <t>Federal Prison System</t>
  </si>
  <si>
    <t>Salaries and Expenses</t>
  </si>
  <si>
    <t>Total</t>
  </si>
  <si>
    <t>Category</t>
  </si>
  <si>
    <t>Total Program Changes</t>
  </si>
  <si>
    <t>(Dollars in thousands)</t>
  </si>
  <si>
    <t>Federal Prison Industries</t>
  </si>
  <si>
    <t>Attorneys (905)</t>
  </si>
  <si>
    <t>Correctional Institution Administration (006)</t>
  </si>
  <si>
    <t>Correctional Officers (007)</t>
  </si>
  <si>
    <t>Personnel Management (200-299)</t>
  </si>
  <si>
    <t>Accounting and Budget (500-599)</t>
  </si>
  <si>
    <t>Engineering and Architecture Group (800-899)</t>
  </si>
  <si>
    <t>Transportation (2100-2199)</t>
  </si>
  <si>
    <t>U.S. Field</t>
  </si>
  <si>
    <t>Headquarters (Washington, D.C.)</t>
  </si>
  <si>
    <t>12.0 Personnel benefits</t>
  </si>
  <si>
    <t>31.0 Equipment</t>
  </si>
  <si>
    <t>11.5 Other personnel compensation</t>
  </si>
  <si>
    <t>11.1 Full-time permanent</t>
  </si>
  <si>
    <t>11.3 Other than full-time permanent</t>
  </si>
  <si>
    <t>11.8 Special personal compensation</t>
  </si>
  <si>
    <t xml:space="preserve">                   Total</t>
  </si>
  <si>
    <t>Reimbursable Workyears Full-time permanent</t>
  </si>
  <si>
    <t>(Dollars in Thousands)</t>
  </si>
  <si>
    <t>Grades</t>
  </si>
  <si>
    <t xml:space="preserve">  </t>
  </si>
  <si>
    <t xml:space="preserve">    Appropriation</t>
  </si>
  <si>
    <t xml:space="preserve"> $000's</t>
  </si>
  <si>
    <t>$000's</t>
  </si>
  <si>
    <t>Other Objects:</t>
  </si>
  <si>
    <t xml:space="preserve"> </t>
  </si>
  <si>
    <t>Increases:</t>
  </si>
  <si>
    <t>Commissary</t>
  </si>
  <si>
    <t xml:space="preserve">  TOTAL</t>
  </si>
  <si>
    <t>Program Offsets</t>
  </si>
  <si>
    <t>Financial Analysis of Program Changes</t>
  </si>
  <si>
    <t>Summary of Requirements by Grade</t>
  </si>
  <si>
    <t>Average SES Salary</t>
  </si>
  <si>
    <t>Average GS Salary</t>
  </si>
  <si>
    <t>Average GS Grade</t>
  </si>
  <si>
    <t>Summary of Requirements by Object Class</t>
  </si>
  <si>
    <t>Other Object Classes</t>
  </si>
  <si>
    <t xml:space="preserve">     12.0 Personnel benefits</t>
  </si>
  <si>
    <t xml:space="preserve">     13.0 Benefits for former personnel</t>
  </si>
  <si>
    <t xml:space="preserve">     21.0 Travel and transportation of persons</t>
  </si>
  <si>
    <t xml:space="preserve">     22.0 Transportation of things</t>
  </si>
  <si>
    <t xml:space="preserve">     23.1 GSA rent</t>
  </si>
  <si>
    <t xml:space="preserve">     24.0 Printing and reproduction</t>
  </si>
  <si>
    <t xml:space="preserve">     25.2 Other services</t>
  </si>
  <si>
    <t xml:space="preserve">     23.3 Comm., utilities and misc. charges</t>
  </si>
  <si>
    <t xml:space="preserve">     26.0 Supplies and materials</t>
  </si>
  <si>
    <t xml:space="preserve">     31.0 Equipment</t>
  </si>
  <si>
    <t xml:space="preserve">     41.0 Grants, subsidies, and contributions</t>
  </si>
  <si>
    <t>Contract Confinement</t>
  </si>
  <si>
    <t>Program Changes</t>
  </si>
  <si>
    <t xml:space="preserve">  Program Increases:</t>
  </si>
  <si>
    <t>WG</t>
  </si>
  <si>
    <t>end of line</t>
  </si>
  <si>
    <t>end of sheet</t>
  </si>
  <si>
    <t>Summary of Requirements</t>
  </si>
  <si>
    <t>ATBs</t>
  </si>
  <si>
    <t xml:space="preserve">              Total direct obl., HHS Allocation</t>
  </si>
  <si>
    <t>Summary of Change</t>
  </si>
  <si>
    <t>Buildings and Facilities</t>
  </si>
  <si>
    <t>Total B&amp;F Resources</t>
  </si>
  <si>
    <t>Program Increases</t>
  </si>
  <si>
    <t>IT Savings</t>
  </si>
  <si>
    <t>Pay and Benefits:</t>
  </si>
  <si>
    <t>Prison and Detention:</t>
  </si>
  <si>
    <t>Employee Compensation Fund</t>
  </si>
  <si>
    <t xml:space="preserve">     Unobligated Balance, Start of year</t>
  </si>
  <si>
    <t>Domestic Rent and Facilities:</t>
  </si>
  <si>
    <t xml:space="preserve"> Institution Security &amp; Administration</t>
  </si>
  <si>
    <t xml:space="preserve"> Contract Confinement</t>
  </si>
  <si>
    <t xml:space="preserve"> Management &amp; Administration</t>
  </si>
  <si>
    <t>FTE*</t>
  </si>
  <si>
    <t xml:space="preserve"> * Excludes 136 Reimbursable Workyears.</t>
  </si>
  <si>
    <t xml:space="preserve">  Rescission of prior funding**</t>
  </si>
  <si>
    <t>Crosswalk of 2012 Availability</t>
  </si>
  <si>
    <t>Summary of Reimbursable Resources</t>
  </si>
  <si>
    <t>Increase/Decrease</t>
  </si>
  <si>
    <t>States and Other</t>
  </si>
  <si>
    <t>Staff Housing Rental</t>
  </si>
  <si>
    <t>Meal Tickets</t>
  </si>
  <si>
    <t>Sale of Farm By-Products</t>
  </si>
  <si>
    <t>USMS Medical Reimbursement</t>
  </si>
  <si>
    <t>NIC</t>
  </si>
  <si>
    <t>Recycling</t>
  </si>
  <si>
    <t>Sale of Vehicles</t>
  </si>
  <si>
    <t>Total Increases</t>
  </si>
  <si>
    <t>Energy Savings</t>
  </si>
  <si>
    <t>Institution Security &amp; Administration</t>
  </si>
  <si>
    <t>Management and Administration</t>
  </si>
  <si>
    <t xml:space="preserve">     23.2 Rental Payments to Others</t>
  </si>
  <si>
    <t>2014 Request</t>
  </si>
  <si>
    <t>2014 Current Services</t>
  </si>
  <si>
    <t>2014 Total Request</t>
  </si>
  <si>
    <t>2014 Increases</t>
  </si>
  <si>
    <t>2014 Offsets</t>
  </si>
  <si>
    <t>Summary by Appropriation (FY 2012 - FY 2014)</t>
  </si>
  <si>
    <t xml:space="preserve">   2012 Enacted w/Rescissions</t>
  </si>
  <si>
    <t>FY 2014Adjustments to Base:</t>
  </si>
  <si>
    <t>2014 Current services</t>
  </si>
  <si>
    <t xml:space="preserve">  Subtotal Increases</t>
  </si>
  <si>
    <t>Retirement Increases</t>
  </si>
  <si>
    <t>Health Benefit Increases</t>
  </si>
  <si>
    <t>JPATS Increase</t>
  </si>
  <si>
    <t xml:space="preserve">  Program Decreases:</t>
  </si>
  <si>
    <t xml:space="preserve">  Subtotal Offsets</t>
  </si>
  <si>
    <t xml:space="preserve">  Total Program Changes</t>
  </si>
  <si>
    <t>Resources by Department of Justice Strategic Goal/Objective</t>
  </si>
  <si>
    <t>Strategic Goal and Strategic Objective</t>
  </si>
  <si>
    <t>Subtotal, Goal 1</t>
  </si>
  <si>
    <t>Subtotal, Goal 2</t>
  </si>
  <si>
    <t>Subtotal, Goal 3</t>
  </si>
  <si>
    <t>Guard Service</t>
  </si>
  <si>
    <t xml:space="preserve">GSA Rent  </t>
  </si>
  <si>
    <t xml:space="preserve">Subtotal, Adjustments to Base </t>
  </si>
  <si>
    <t>Offsets:</t>
  </si>
  <si>
    <t xml:space="preserve">Medical Cost Adjustment </t>
  </si>
  <si>
    <t xml:space="preserve">Food Cost Adjustment </t>
  </si>
  <si>
    <t xml:space="preserve">Utility Cost Adjustment </t>
  </si>
  <si>
    <t>ATB Transfers</t>
  </si>
  <si>
    <t>Transfers - JABS to Components</t>
  </si>
  <si>
    <t>Transfers- JCON and JCON S/TS TO components</t>
  </si>
  <si>
    <t>Transfers - Office of Information Policy (OIP) From Components</t>
  </si>
  <si>
    <t xml:space="preserve">Transfers - Professional Responsibility Advisory Office (PRAO) - From Components </t>
  </si>
  <si>
    <t>Subtotal , Transfers</t>
  </si>
  <si>
    <t>Subtotal, Pay and Benefits</t>
  </si>
  <si>
    <t>Annualization of FY 2012 Activation FCI Berlin, NH</t>
  </si>
  <si>
    <t>Annualization of FY 2012 Activation FCI Aliceville, AL</t>
  </si>
  <si>
    <t>Inmate Care</t>
  </si>
  <si>
    <t>Existing Contract Beds Adjustment</t>
  </si>
  <si>
    <t>Subtotal, Domestic Rent &amp; Facilities</t>
  </si>
  <si>
    <t>Subtotal Prison and Detention</t>
  </si>
  <si>
    <t xml:space="preserve">   Expand RDAP (Second Chance Act)</t>
  </si>
  <si>
    <t xml:space="preserve">   Begin Activation: FCI Hazelton, WV (1,280 beds)</t>
  </si>
  <si>
    <t xml:space="preserve">   Begin Activation: USP Yazoo City, MS (1,216 beds)</t>
  </si>
  <si>
    <t xml:space="preserve">   Reentry and Recidivism Reducing Programs</t>
  </si>
  <si>
    <t xml:space="preserve">   Program Offset - Administrative Efficiencies</t>
  </si>
  <si>
    <t xml:space="preserve">   Program Offset - IT Savings</t>
  </si>
  <si>
    <t>Total FY 2014 Congressional Request</t>
  </si>
  <si>
    <t>FY 2014 Congressional Budget</t>
  </si>
  <si>
    <t>2014 Congressional Request</t>
  </si>
  <si>
    <t xml:space="preserve">   Contract Bed Increase (1,000 x $26,232)</t>
  </si>
  <si>
    <t>Other Adjustments:</t>
  </si>
  <si>
    <t>Working Capital Fund</t>
  </si>
  <si>
    <t xml:space="preserve"> FY 2012 Enacted</t>
  </si>
  <si>
    <t>FTE Adjustments</t>
  </si>
  <si>
    <t>FY 2014 Request</t>
  </si>
  <si>
    <t>Direct Pos.</t>
  </si>
  <si>
    <t>Estimate FTE</t>
  </si>
  <si>
    <t>2013 Continuing Resolution</t>
  </si>
  <si>
    <t>2013 CR 0.612% Increase</t>
  </si>
  <si>
    <t>Total 2013 Continuing Resolution (with Balance Rescission and Supplemental)</t>
  </si>
  <si>
    <t>Technical Adjustments</t>
  </si>
  <si>
    <t>Adjustment - 2013 CR 0.612%</t>
  </si>
  <si>
    <t>Total Technical Adjustments</t>
  </si>
  <si>
    <t>Base Adjustments</t>
  </si>
  <si>
    <t>Transfers:</t>
  </si>
  <si>
    <t xml:space="preserve">      Transfers  - JABS - To Components</t>
  </si>
  <si>
    <t xml:space="preserve">      Transfers - JCON and JCON S/TS - To Components</t>
  </si>
  <si>
    <t xml:space="preserve">      Transfers - Office of Information Policy (OIP) - From Components</t>
  </si>
  <si>
    <t xml:space="preserve">      Transfers - Professional Responsibility Advisory Office (PRAO) - From Components</t>
  </si>
  <si>
    <t>Pay and Benefits</t>
  </si>
  <si>
    <t>Domestic Rent and Facilities</t>
  </si>
  <si>
    <t>Other Adjustments</t>
  </si>
  <si>
    <t>Prison and Detention</t>
  </si>
  <si>
    <t>Total Base Adjustments</t>
  </si>
  <si>
    <t>Total Technical and Base Adjustments</t>
  </si>
  <si>
    <t xml:space="preserve">    Begin Activation: FCI Hazelton, WV (1,280 beds)</t>
  </si>
  <si>
    <t xml:space="preserve">    Begin Activation: USP Yazoo City, MS (1,216 beds)</t>
  </si>
  <si>
    <t xml:space="preserve">    Contract Bed Increase (1,000 x $26,232)</t>
  </si>
  <si>
    <t xml:space="preserve">    Expand RDAP</t>
  </si>
  <si>
    <t xml:space="preserve">    Reentry and Recidivism Reducing Programs</t>
  </si>
  <si>
    <t>Subtotal, Increases</t>
  </si>
  <si>
    <t xml:space="preserve">        Offset - Administrative Efficiencies</t>
  </si>
  <si>
    <t xml:space="preserve">    Offset - IT Savings</t>
  </si>
  <si>
    <t>Subtotal, Offsets</t>
  </si>
  <si>
    <t>Program Activity</t>
  </si>
  <si>
    <t xml:space="preserve">2012 Appropriation Enacted </t>
  </si>
  <si>
    <t>2014 Technical and Base Adjustments</t>
  </si>
  <si>
    <t>Actual FTE</t>
  </si>
  <si>
    <t>Est. FTE</t>
  </si>
  <si>
    <t>Inmate Care and Programs</t>
  </si>
  <si>
    <t>Institution Security and Administration</t>
  </si>
  <si>
    <t>Total Direct</t>
  </si>
  <si>
    <t>Balance Rescission</t>
  </si>
  <si>
    <t>Total Direct with Rescission</t>
  </si>
  <si>
    <t>Total Direct and Reimb. FTE</t>
  </si>
  <si>
    <t>Other FTE:</t>
  </si>
  <si>
    <t>LEAP</t>
  </si>
  <si>
    <t>Overtime</t>
  </si>
  <si>
    <t>Grand Total, FTE</t>
  </si>
  <si>
    <t>Justifications for Technical and Base Adjustments</t>
  </si>
  <si>
    <t>Subtotal, Technical Adjustments</t>
  </si>
  <si>
    <t>Transfers</t>
  </si>
  <si>
    <r>
      <rPr>
        <u/>
        <sz val="9"/>
        <color theme="1"/>
        <rFont val="Arial"/>
        <family val="2"/>
      </rPr>
      <t>Joint Automated Booking System.</t>
    </r>
    <r>
      <rPr>
        <sz val="9"/>
        <color theme="1"/>
        <rFont val="Arial"/>
        <family val="2"/>
      </rPr>
      <t xml:space="preserve">  A transfer of </t>
    </r>
    <r>
      <rPr>
        <u/>
        <sz val="9"/>
        <color theme="1"/>
        <rFont val="Arial"/>
        <family val="2"/>
      </rPr>
      <t>$1.615</t>
    </r>
    <r>
      <rPr>
        <sz val="9"/>
        <color theme="1"/>
        <rFont val="Arial"/>
        <family val="2"/>
      </rPr>
      <t xml:space="preserve"> million is included in support of the Department's Justice Automated Booking System program which will be moved to the Working Capital Fund and provided as a billable service in FY 2014.</t>
    </r>
  </si>
  <si>
    <r>
      <rPr>
        <u/>
        <sz val="9"/>
        <color theme="1"/>
        <rFont val="Arial"/>
        <family val="2"/>
      </rPr>
      <t>JCON and JCON S/TS.</t>
    </r>
    <r>
      <rPr>
        <sz val="9"/>
        <color theme="1"/>
        <rFont val="Arial"/>
        <family val="2"/>
      </rPr>
      <t xml:space="preserve">  A transfer of </t>
    </r>
    <r>
      <rPr>
        <u/>
        <sz val="9"/>
        <color theme="1"/>
        <rFont val="Arial"/>
        <family val="2"/>
      </rPr>
      <t>$18</t>
    </r>
    <r>
      <rPr>
        <sz val="9"/>
        <color theme="1"/>
        <rFont val="Arial"/>
        <family val="2"/>
      </rPr>
      <t xml:space="preserve"> thousand is included in support of the Department's Justice Consolidated Office Network (JCON) and JCON S/TS programs which will be moved to the Working Capital Fund and provided as a billable service in FY 2014.</t>
    </r>
  </si>
  <si>
    <r>
      <rPr>
        <u/>
        <sz val="9"/>
        <color theme="1"/>
        <rFont val="Arial"/>
        <family val="2"/>
      </rPr>
      <t>Office Of Information Policy.</t>
    </r>
    <r>
      <rPr>
        <sz val="9"/>
        <color theme="1"/>
        <rFont val="Arial"/>
        <family val="2"/>
      </rPr>
      <t xml:space="preserve">  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</si>
  <si>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r>
      <rPr>
        <u/>
        <sz val="9"/>
        <color theme="1"/>
        <rFont val="Arial"/>
        <family val="2"/>
      </rPr>
      <t>Professional Responsibility Advisory Office (PRAO).</t>
    </r>
    <r>
      <rPr>
        <sz val="9"/>
        <color theme="1"/>
        <rFont val="Arial"/>
        <family val="2"/>
      </rPr>
      <t xml:space="preserve">  The component transfers for the PRAO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</si>
  <si>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t>Subtotal, Transfers</t>
  </si>
  <si>
    <r>
      <rPr>
        <u/>
        <sz val="9"/>
        <color theme="1"/>
        <rFont val="Arial"/>
        <family val="2"/>
      </rPr>
      <t>Employee Compensation Fund:</t>
    </r>
    <r>
      <rPr>
        <sz val="9"/>
        <color theme="1"/>
        <rFont val="Arial"/>
        <family val="2"/>
      </rPr>
      <t xml:space="preserve">
The </t>
    </r>
    <r>
      <rPr>
        <u/>
        <sz val="9"/>
        <color theme="1"/>
        <rFont val="Arial"/>
        <family val="2"/>
      </rPr>
      <t xml:space="preserve">$3.613 </t>
    </r>
    <r>
      <rPr>
        <sz val="9"/>
        <color theme="1"/>
        <rFont val="Arial"/>
        <family val="2"/>
      </rPr>
      <t xml:space="preserve"> request reflects anticipated changes in payments to the Department of Labor for injury benefits under the Federal Employee Compensation Act.</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</si>
  <si>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t>
    </r>
    <r>
      <rPr>
        <u/>
        <sz val="9"/>
        <color theme="1"/>
        <rFont val="Arial"/>
        <family val="2"/>
      </rPr>
      <t>$8.433</t>
    </r>
    <r>
      <rPr>
        <sz val="9"/>
        <color theme="1"/>
        <rFont val="Arial"/>
        <family val="2"/>
      </rPr>
      <t xml:space="preserve"> is necessary to meet our increased retirement obligations as a result of this conversion.</t>
    </r>
  </si>
  <si>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$1.463</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</si>
  <si>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t>Guard Services:</t>
    </r>
    <r>
      <rPr>
        <sz val="9"/>
        <color theme="1"/>
        <rFont val="Arial"/>
        <family val="2"/>
      </rPr>
      <t xml:space="preserve">
This includes Department of Homeland Security (DHS) Federal Protective Service charges, Justice Protective Service charges and other security services across the country.  The requested increase of </t>
    </r>
    <r>
      <rPr>
        <u/>
        <sz val="9"/>
        <color theme="1"/>
        <rFont val="Arial"/>
        <family val="2"/>
      </rPr>
      <t>$1,272</t>
    </r>
    <r>
      <rPr>
        <sz val="9"/>
        <color theme="1"/>
        <rFont val="Arial"/>
        <family val="2"/>
      </rPr>
      <t xml:space="preserve"> is required to meet these commitments.</t>
    </r>
  </si>
  <si>
    <t>Subtotal, Domestic Rent and Facilities</t>
  </si>
  <si>
    <r>
      <t xml:space="preserve">WCF Rate Adjustments:
</t>
    </r>
    <r>
      <rPr>
        <sz val="9"/>
        <color theme="1"/>
        <rFont val="Arial"/>
        <family val="2"/>
      </rPr>
      <t xml:space="preserve">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t>
    </r>
    <r>
      <rPr>
        <u/>
        <sz val="9"/>
        <color theme="1"/>
        <rFont val="Arial"/>
        <family val="2"/>
      </rPr>
      <t>$14</t>
    </r>
    <r>
      <rPr>
        <sz val="9"/>
        <color theme="1"/>
        <rFont val="Arial"/>
        <family val="2"/>
      </rPr>
      <t xml:space="preserve"> is required for this account.</t>
    </r>
  </si>
  <si>
    <t>Subtotal, Other Adjustments</t>
  </si>
  <si>
    <r>
      <rPr>
        <u/>
        <sz val="9"/>
        <color theme="1"/>
        <rFont val="Arial"/>
        <family val="2"/>
      </rPr>
      <t xml:space="preserve">Annualization of 2011 Activation FCI Berlin. </t>
    </r>
    <r>
      <rPr>
        <sz val="9"/>
        <color theme="1"/>
        <rFont val="Arial"/>
        <family val="2"/>
      </rPr>
      <t xml:space="preserve"> This provides for the activation and annualization of the FCI Berlin activation, which began in FY 2012 .  Annualization of new activation funding typically extends to 2-3 years.  This request includes an increase of </t>
    </r>
    <r>
      <rPr>
        <u/>
        <sz val="9"/>
        <color theme="1"/>
        <rFont val="Arial"/>
        <family val="2"/>
      </rPr>
      <t>$12,775,000</t>
    </r>
    <r>
      <rPr>
        <sz val="9"/>
        <color theme="1"/>
        <rFont val="Arial"/>
        <family val="2"/>
      </rPr>
      <t xml:space="preserve">  for full costs associated with this activation. </t>
    </r>
  </si>
  <si>
    <r>
      <rPr>
        <u/>
        <sz val="9"/>
        <color theme="1"/>
        <rFont val="Arial"/>
        <family val="2"/>
      </rPr>
      <t>Annualization of 2012 Activation FCI Aliceville, AL</t>
    </r>
    <r>
      <rPr>
        <sz val="9"/>
        <color theme="1"/>
        <rFont val="Arial"/>
        <family val="2"/>
      </rPr>
      <t xml:space="preserve"> This provides for the annualization of the FCI Aliceville, AL activation, which began in FY 2012.  Annualization of new activation funding typically extends to 2-3 years.  This request includes an increase of </t>
    </r>
    <r>
      <rPr>
        <u/>
        <sz val="9"/>
        <color theme="1"/>
        <rFont val="Arial"/>
        <family val="2"/>
      </rPr>
      <t>$31,216,000</t>
    </r>
    <r>
      <rPr>
        <sz val="9"/>
        <color theme="1"/>
        <rFont val="Arial"/>
        <family val="2"/>
      </rPr>
      <t xml:space="preserve">  for full costs associated with this activation. </t>
    </r>
  </si>
  <si>
    <r>
      <rPr>
        <u/>
        <sz val="9"/>
        <color theme="1"/>
        <rFont val="Arial"/>
        <family val="2"/>
      </rPr>
      <t xml:space="preserve">Food Cost Adjustments. </t>
    </r>
    <r>
      <rPr>
        <sz val="9"/>
        <color theme="1"/>
        <rFont val="Arial"/>
        <family val="2"/>
      </rPr>
      <t xml:space="preserve"> The Nation is experiencing high increases in food costs.  An increase of </t>
    </r>
    <r>
      <rPr>
        <u/>
        <sz val="9"/>
        <color theme="1"/>
        <rFont val="Arial"/>
        <family val="2"/>
      </rPr>
      <t>$16,772,000</t>
    </r>
    <r>
      <rPr>
        <sz val="9"/>
        <color theme="1"/>
        <rFont val="Arial"/>
        <family val="2"/>
      </rPr>
      <t xml:space="preserve"> for FY 2014 is necessary to keep pace with the cost of providing inmate meals.   </t>
    </r>
  </si>
  <si>
    <r>
      <t>Inmate Care.</t>
    </r>
    <r>
      <rPr>
        <sz val="9"/>
        <color theme="1"/>
        <rFont val="Arial"/>
        <family val="2"/>
      </rPr>
      <t xml:space="preserve">  This provides an offset of $7,135 in inmate care.</t>
    </r>
  </si>
  <si>
    <r>
      <t>JPATS Increase.</t>
    </r>
    <r>
      <rPr>
        <sz val="9"/>
        <color theme="1"/>
        <rFont val="Arial"/>
        <family val="2"/>
      </rPr>
      <t xml:space="preserve"> This provides for the increase in JPATS expenditures in FY 2014</t>
    </r>
  </si>
  <si>
    <r>
      <rPr>
        <u/>
        <sz val="9"/>
        <color theme="1"/>
        <rFont val="Arial"/>
        <family val="2"/>
      </rPr>
      <t xml:space="preserve">Medical Cost Adjustments.  </t>
    </r>
    <r>
      <rPr>
        <sz val="9"/>
        <color theme="1"/>
        <rFont val="Arial"/>
        <family val="2"/>
      </rPr>
      <t xml:space="preserve">This provides the Bureau of Prisons with </t>
    </r>
    <r>
      <rPr>
        <u/>
        <sz val="9"/>
        <color theme="1"/>
        <rFont val="Arial"/>
        <family val="2"/>
      </rPr>
      <t xml:space="preserve">$37,160,000 </t>
    </r>
    <r>
      <rPr>
        <sz val="9"/>
        <color theme="1"/>
        <rFont val="Arial"/>
        <family val="2"/>
      </rPr>
      <t xml:space="preserve">in funding for FY 2014 mandatory cost increases incurred due to rising health care costs in the U.S. and the growing inmate population. </t>
    </r>
  </si>
  <si>
    <r>
      <rPr>
        <u/>
        <sz val="9"/>
        <color theme="1"/>
        <rFont val="Arial"/>
        <family val="2"/>
      </rPr>
      <t xml:space="preserve">Utility Cost Adjustments. </t>
    </r>
    <r>
      <rPr>
        <sz val="9"/>
        <color theme="1"/>
        <rFont val="Arial"/>
        <family val="2"/>
      </rPr>
      <t xml:space="preserve"> This provides the Bureau of Prisons with </t>
    </r>
    <r>
      <rPr>
        <u/>
        <sz val="9"/>
        <color theme="1"/>
        <rFont val="Arial"/>
        <family val="2"/>
      </rPr>
      <t>$22,337,000</t>
    </r>
    <r>
      <rPr>
        <sz val="9"/>
        <color theme="1"/>
        <rFont val="Arial"/>
        <family val="2"/>
      </rPr>
      <t xml:space="preserve"> in funding for FY 2014 mandatory cost increases incurred due to rising utility costs in the U.S. and the growing inmate population.  No increase is provided for FY 2012.    
</t>
    </r>
  </si>
  <si>
    <t>Subtotal, Prison and Detention</t>
  </si>
  <si>
    <t>TOTAL DIRECT TECHNICAL and BASE ADJUSTMENTS</t>
  </si>
  <si>
    <t>Crosswalk of 2013 Availability</t>
  </si>
  <si>
    <t>Expand RDAP</t>
  </si>
  <si>
    <t>Reentry and Recidivism Reducing Programs</t>
  </si>
  <si>
    <t>Administrative Efficiencies</t>
  </si>
  <si>
    <t>Expand Sentence Credit for Inmates</t>
  </si>
  <si>
    <t>2012 Appropriation Enacted</t>
  </si>
  <si>
    <t>2012 Actual</t>
  </si>
  <si>
    <t>2013 Availability</t>
  </si>
  <si>
    <t>2013 Planned</t>
  </si>
  <si>
    <t>Obligations by Program Activity</t>
  </si>
  <si>
    <t>Direct</t>
  </si>
  <si>
    <t>Reprogramming/Transfers</t>
  </si>
  <si>
    <r>
      <rPr>
        <u/>
        <sz val="9"/>
        <color theme="1"/>
        <rFont val="Arial"/>
        <family val="2"/>
      </rPr>
      <t>Existing Contract Beds Cost Adjustments (Wage Increase and Contract Price Increases).</t>
    </r>
    <r>
      <rPr>
        <sz val="9"/>
        <color theme="1"/>
        <rFont val="Arial"/>
        <family val="2"/>
      </rPr>
      <t xml:space="preserve">  The Services Contract Act of 1965, as amended, states in paragraph (3) adjustment of compensation, that if the term of the contract is more than 1 year, the minimum monetary wages and fringe benefits to be paid or furnished there under to service employees under this contract shall be subject to adjustment after 1 year and not less than once every 2 years.  In addition, this request reflects resources for BOP to pay existing contract bed price increases, specifically costs for exercising option years; an increase of </t>
    </r>
    <r>
      <rPr>
        <u/>
        <sz val="9"/>
        <color theme="1"/>
        <rFont val="Arial"/>
        <family val="2"/>
      </rPr>
      <t>$41,645,000</t>
    </r>
    <r>
      <rPr>
        <sz val="9"/>
        <color theme="1"/>
        <rFont val="Arial"/>
        <family val="2"/>
      </rPr>
      <t xml:space="preserve"> is required for FY 2014. </t>
    </r>
  </si>
  <si>
    <t>Hurricane Sandy Supplemental</t>
  </si>
  <si>
    <t>2013 CR 0.612%</t>
  </si>
  <si>
    <t>2013 Continuing Resolution (CR)</t>
  </si>
  <si>
    <t xml:space="preserve"> ** In 2012, the Congress funded New Construction at $23.035 million and also rescinded $45 million in prior year unobligated balances. </t>
  </si>
  <si>
    <t>Total Program Change Requests</t>
  </si>
  <si>
    <t xml:space="preserve">     Unobligated Balance, End of year , Expiring</t>
  </si>
  <si>
    <t xml:space="preserve">     Unobligated Balance, End of year, Available</t>
  </si>
  <si>
    <t>2013 Continuing Resolution*</t>
  </si>
  <si>
    <t>2013 Continuing Resolution w/ .612% Increase</t>
  </si>
  <si>
    <t>Total, Appropriated Positions</t>
  </si>
  <si>
    <t>-</t>
  </si>
  <si>
    <t>GS-4</t>
  </si>
  <si>
    <t>GS-5</t>
  </si>
  <si>
    <t>GS-6</t>
  </si>
  <si>
    <t>GS-7</t>
  </si>
  <si>
    <t>GS-8</t>
  </si>
  <si>
    <t>GS-9</t>
  </si>
  <si>
    <t>GS-10</t>
  </si>
  <si>
    <t>GS-11</t>
  </si>
  <si>
    <t>GS-12</t>
  </si>
  <si>
    <t>GS-13</t>
  </si>
  <si>
    <t>GS-14</t>
  </si>
  <si>
    <t>GS-15</t>
  </si>
  <si>
    <t>2012 Enacted</t>
  </si>
  <si>
    <t>Ungraded</t>
  </si>
  <si>
    <t>SES</t>
  </si>
  <si>
    <t>2014 Pay Raise (1.0%)</t>
  </si>
  <si>
    <t>Annualization of 2013 Pay Raise (.5%)</t>
  </si>
  <si>
    <t>*The 2013 Continuing Resolution includes the 0.612% funding provided by the Continuing Appropriations Resolution, 2013 (P.L. 112-175, Section 101 (c)).</t>
  </si>
  <si>
    <t>BOP Medical Costs Adjustment (Medicare Rate)</t>
  </si>
  <si>
    <t>2012 - 2014 Total Change</t>
  </si>
  <si>
    <r>
      <t>2012 Enacted</t>
    </r>
    <r>
      <rPr>
        <vertAlign val="superscript"/>
        <sz val="11"/>
        <color theme="1"/>
        <rFont val="Arial"/>
        <family val="2"/>
      </rPr>
      <t xml:space="preserve"> </t>
    </r>
  </si>
  <si>
    <t xml:space="preserve"> Note: The FTE for FY 2012 is actual and for FY 2013 and FY 2014 are estimates.</t>
  </si>
  <si>
    <t xml:space="preserve">                   Total Obligations</t>
  </si>
  <si>
    <t xml:space="preserve">              Total Direct Requirements</t>
  </si>
  <si>
    <t>ALLOCATION TO DEPT OF HHS</t>
  </si>
  <si>
    <t>2013 Availability*</t>
  </si>
  <si>
    <r>
      <t>Note</t>
    </r>
    <r>
      <rPr>
        <b/>
        <sz val="11"/>
        <color theme="1"/>
        <rFont val="Arial"/>
        <family val="2"/>
      </rPr>
      <t>:</t>
    </r>
    <r>
      <rPr>
        <sz val="11"/>
        <color theme="1"/>
        <rFont val="Arial"/>
        <family val="2"/>
      </rPr>
      <t xml:space="preserve"> Excludes Balance Rescission and/or Supplemental Appropriations.</t>
    </r>
  </si>
  <si>
    <t>TOTAL</t>
  </si>
  <si>
    <t>Adjudicate all immigration cases promptly and impartially in accordance with due process.</t>
  </si>
  <si>
    <t>Protect judges, witnesses, and other participants in federal proceedings; apprehend fugitives; and ensure the appearance of criminal defendants for judicial proceedings or confinement.</t>
  </si>
  <si>
    <t>Promote and Strengthen relationship and strategies for the administration of justice with state, local, tribal and international law enforcement.</t>
  </si>
  <si>
    <t>Ensure and Support the Fair, Impartial, Efficient, and Transparent Administration of Justice at the Federal, State, Local, Tribal and International Levels.</t>
  </si>
  <si>
    <t>Goal 3</t>
  </si>
  <si>
    <t>Protect the federal fisc and defend the interests of the United States.</t>
  </si>
  <si>
    <t>Promote and protect Americans' civil rights.</t>
  </si>
  <si>
    <t>Combat corruption, economic crimes, and international organized crime.</t>
  </si>
  <si>
    <t>Combat the threat, trafficking, and use of illegal drugs and the diversion of licit drugs.</t>
  </si>
  <si>
    <t>Combat the threat, incidence, and prevalence of violent crime.</t>
  </si>
  <si>
    <t>Prevent Crime, Protect the Rights of the American People, and enforce Federal Law</t>
  </si>
  <si>
    <t>Goal 2</t>
  </si>
  <si>
    <t>Combat espionage against the United States.</t>
  </si>
  <si>
    <t>Prosecute those involved in terrorist acts.</t>
  </si>
  <si>
    <t>Prevent, disrupt, and defeat terrorist operations before they occur.</t>
  </si>
  <si>
    <t xml:space="preserve">Prevent Terrorism and Promote the Nation's Security Consistent with the Rule of Law
</t>
  </si>
  <si>
    <t>Goal 1</t>
  </si>
  <si>
    <t>Direct Amount</t>
  </si>
  <si>
    <t>Direct/
Reimb FTE</t>
  </si>
  <si>
    <t>2013 Continuing Resolution *</t>
  </si>
  <si>
    <t>Provide for the safe, secure, humane, and cost-effective confinement of detainees awaiting trial and/or sentencing, and those in the custody of the Federal Prison System.</t>
  </si>
  <si>
    <t>Prevent and intervene in crimes against vulnerable pop.</t>
  </si>
  <si>
    <t xml:space="preserve">   Begin Activation: Administrative USP Thomson, IL (2,100 beds)</t>
  </si>
  <si>
    <t xml:space="preserve">    Begin Activation:  Administrative USP Thomson, IL (2,100 beds)</t>
  </si>
  <si>
    <t>Recoveries/Refunds:</t>
  </si>
  <si>
    <t>Carryover:</t>
  </si>
  <si>
    <t>Management &amp; Administration</t>
  </si>
  <si>
    <t>Recoveries/Refunds</t>
  </si>
  <si>
    <t xml:space="preserve">Carryover </t>
  </si>
  <si>
    <t>Supplemental Appropriation</t>
  </si>
  <si>
    <t>FY 2013 Continuing Resolution</t>
  </si>
  <si>
    <t>Total Program Offsets</t>
  </si>
  <si>
    <t xml:space="preserve"> Inmate Care &amp; Programs</t>
  </si>
  <si>
    <t xml:space="preserve"> Inmate Care &amp; Institution Security</t>
  </si>
  <si>
    <t>Location of Description by Program Activity</t>
  </si>
  <si>
    <t>Contract Bed Increase (1,000 beds)</t>
  </si>
  <si>
    <t>Activation: USP Yazoo City, MS</t>
  </si>
  <si>
    <t>Activation: FCI Hazelton, WV</t>
  </si>
  <si>
    <t>Activation: Administrative USP Thomson, IL</t>
  </si>
  <si>
    <t>FY 2014 Program Increases/Offsets by Decision Unit</t>
  </si>
  <si>
    <t>None</t>
  </si>
  <si>
    <t>$30.0 million is transferred from FY 2011 to FY 2O11/FY 2012 Account.</t>
  </si>
  <si>
    <t>DOJ General Provision Section 215 transfers $1.3 million to BOP from OJP for inmate research and evaluation.</t>
  </si>
  <si>
    <t>2012 Appropriation Enacted w/o Balance Rescission</t>
  </si>
  <si>
    <t>Budgetary Resources</t>
  </si>
  <si>
    <t>Reimb. FTE</t>
  </si>
  <si>
    <t>Reimb. Pos.</t>
  </si>
  <si>
    <t>Travel and Purchase Cards</t>
  </si>
  <si>
    <t>Collections by Source</t>
  </si>
  <si>
    <t>Foreign Field</t>
  </si>
  <si>
    <t>Information Technology Mgmt  (2210)</t>
  </si>
  <si>
    <t>Supply Services (2000-2099)</t>
  </si>
  <si>
    <t>Education Group (1210-1411; 1700-1799)</t>
  </si>
  <si>
    <t>Equipment/Facilities Services (1600-1699)</t>
  </si>
  <si>
    <t>Business &amp; Industry (1100-1199)</t>
  </si>
  <si>
    <t>Information &amp; Arts (1000-1099)</t>
  </si>
  <si>
    <t>Paralegals / Other Law (900-998)</t>
  </si>
  <si>
    <t>Medical, Dental and Public Health (600-799)</t>
  </si>
  <si>
    <t>Biological Science (400-499)</t>
  </si>
  <si>
    <t>Clerical and Office Services (300-399)</t>
  </si>
  <si>
    <t>Intelligence Series (132)</t>
  </si>
  <si>
    <t>Soc. Science, Econ. And Kindred (100-199)</t>
  </si>
  <si>
    <t>Miscellaneous Operations (010-099)</t>
  </si>
  <si>
    <t>Total Reimb. Pos.</t>
  </si>
  <si>
    <t>Total Direct Pos.</t>
  </si>
  <si>
    <t>2012 Appropriation Enacted with Balance Rescissions</t>
  </si>
  <si>
    <t>26.0 Supplies and Materials</t>
  </si>
  <si>
    <t>25.2 Other Services from Non-Federal Sources</t>
  </si>
  <si>
    <t>24.0 Printing and Reproduction</t>
  </si>
  <si>
    <t>23.3 Communications, Utilities, and Miscellaneous Charges</t>
  </si>
  <si>
    <t>22.0 Transportation of Things</t>
  </si>
  <si>
    <t>21.0 Travel and Transportation of Persons</t>
  </si>
  <si>
    <t xml:space="preserve">12.0 Personnel Benefits </t>
  </si>
  <si>
    <t>Total FTEs and Personnel Compensation</t>
  </si>
  <si>
    <t>11.5 Other Personnel Compensation</t>
  </si>
  <si>
    <t>Lapse (-)</t>
  </si>
  <si>
    <t>Total Positions and Annual Amount</t>
  </si>
  <si>
    <t>Offset: Admin. Efficiencies</t>
  </si>
  <si>
    <t>Reentry Programs</t>
  </si>
  <si>
    <t>Contract Beds</t>
  </si>
  <si>
    <t xml:space="preserve">  Management &amp; Administration</t>
  </si>
  <si>
    <t>41.0 Grants, subsidies</t>
  </si>
  <si>
    <t>Offset:Good Conduct Time</t>
  </si>
  <si>
    <t>Offset: IT Savings</t>
  </si>
  <si>
    <t>USP Yazoo</t>
  </si>
  <si>
    <t>FCI Hazelton</t>
  </si>
  <si>
    <t>USP Thomson</t>
  </si>
  <si>
    <t>Offset: Good Conduct Time</t>
  </si>
  <si>
    <t>Offset:Medical Cost</t>
  </si>
  <si>
    <t>RDAP + Reentry</t>
  </si>
  <si>
    <t xml:space="preserve"> Inmate Care and Programs</t>
  </si>
  <si>
    <t>$30.0 million is transferred from FY 2012 to FY 2012/FY 2013 Account.</t>
  </si>
  <si>
    <t>None.</t>
  </si>
  <si>
    <t>Direct Carryover in no-year account.  The total carryover is $3.441 million (Only Direct Portion is shown in the table).</t>
  </si>
  <si>
    <t>Direct Carryover in no-year account.  Total Carryover is $5.275 million (Only Direct portion is shown in the table).</t>
  </si>
  <si>
    <r>
      <t xml:space="preserve">Adjustment - 2013 CR 0.612%:
</t>
    </r>
    <r>
      <rPr>
        <sz val="9"/>
        <color theme="1"/>
        <rFont val="Arial"/>
        <family val="2"/>
      </rPr>
      <t xml:space="preserve">PL 112-175 section 101 (c) provided 0.612% across the board increase above the current rate for the 2013 CR funding level.  This adjustment reverses this increase.  </t>
    </r>
  </si>
  <si>
    <r>
      <t xml:space="preserve">2014 Pay Raise:
</t>
    </r>
    <r>
      <rPr>
        <sz val="9"/>
        <color theme="1"/>
        <rFont val="Arial"/>
        <family val="2"/>
      </rPr>
      <t>This request provides for a proposed 1 percent pay raise to be effective in January of 2014.  The increase only includes the general pay raise.  The amount request, $</t>
    </r>
    <r>
      <rPr>
        <u/>
        <sz val="9"/>
        <color theme="1"/>
        <rFont val="Arial"/>
        <family val="2"/>
      </rPr>
      <t>23.268 million</t>
    </r>
    <r>
      <rPr>
        <sz val="9"/>
        <color theme="1"/>
        <rFont val="Arial"/>
        <family val="2"/>
      </rPr>
      <t>, represents the pay amounts for 3/4 of the fiscal year plus appropriate benefits ($</t>
    </r>
    <r>
      <rPr>
        <u/>
        <sz val="9"/>
        <color theme="1"/>
        <rFont val="Arial"/>
        <family val="2"/>
      </rPr>
      <t xml:space="preserve">15.821 million </t>
    </r>
    <r>
      <rPr>
        <sz val="9"/>
        <color theme="1"/>
        <rFont val="Arial"/>
        <family val="2"/>
      </rPr>
      <t xml:space="preserve"> for pay and </t>
    </r>
    <r>
      <rPr>
        <u/>
        <sz val="9"/>
        <color theme="1"/>
        <rFont val="Arial"/>
        <family val="2"/>
      </rPr>
      <t>$7.447 million</t>
    </r>
    <r>
      <rPr>
        <sz val="9"/>
        <color theme="1"/>
        <rFont val="Arial"/>
        <family val="2"/>
      </rPr>
      <t xml:space="preserve"> for benefits.)</t>
    </r>
  </si>
  <si>
    <r>
      <rPr>
        <u/>
        <sz val="9"/>
        <rFont val="Arial"/>
        <family val="2"/>
      </rPr>
      <t>Annualization of 2013 Pay Raise</t>
    </r>
    <r>
      <rPr>
        <sz val="9"/>
        <rFont val="Arial"/>
        <family val="2"/>
      </rPr>
      <t>:
This pay annualization represents first and second quarter amounts (October through March) of the 2013 pay increase of .5 percent provided in the 2013.  The amount requested $</t>
    </r>
    <r>
      <rPr>
        <u/>
        <sz val="9"/>
        <rFont val="Arial"/>
        <family val="2"/>
      </rPr>
      <t>4.245 million</t>
    </r>
    <r>
      <rPr>
        <sz val="9"/>
        <rFont val="Arial"/>
        <family val="2"/>
      </rPr>
      <t xml:space="preserve">, represents the pay amounts for 2/4 of the fiscal year plus appropriate benefits </t>
    </r>
    <r>
      <rPr>
        <u/>
        <sz val="9"/>
        <rFont val="Arial"/>
        <family val="2"/>
      </rPr>
      <t>($2.887 million</t>
    </r>
    <r>
      <rPr>
        <sz val="9"/>
        <rFont val="Arial"/>
        <family val="2"/>
      </rPr>
      <t xml:space="preserve"> for pay and</t>
    </r>
    <r>
      <rPr>
        <u/>
        <sz val="9"/>
        <rFont val="Arial"/>
        <family val="2"/>
      </rPr>
      <t xml:space="preserve"> $1.358</t>
    </r>
    <r>
      <rPr>
        <sz val="9"/>
        <rFont val="Arial"/>
        <family val="2"/>
      </rPr>
      <t xml:space="preserve"> for benefits).</t>
    </r>
  </si>
  <si>
    <r>
      <t>Health Insurance:</t>
    </r>
    <r>
      <rPr>
        <sz val="9"/>
        <color theme="1"/>
        <rFont val="Arial"/>
        <family val="2"/>
      </rPr>
      <t xml:space="preserve">
Effective January 2014, the component's contribution to Federal employees' health insurance increases by 5.1 percent.  Applied against the 2013 estimate of </t>
    </r>
    <r>
      <rPr>
        <u/>
        <sz val="9"/>
        <color theme="1"/>
        <rFont val="Arial"/>
        <family val="2"/>
      </rPr>
      <t xml:space="preserve">$292.574 </t>
    </r>
    <r>
      <rPr>
        <sz val="9"/>
        <color theme="1"/>
        <rFont val="Arial"/>
        <family val="2"/>
      </rPr>
      <t xml:space="preserve"> million, the additional amount required is </t>
    </r>
    <r>
      <rPr>
        <u/>
        <sz val="9"/>
        <color theme="1"/>
        <rFont val="Arial"/>
        <family val="2"/>
      </rPr>
      <t xml:space="preserve">$14.977 </t>
    </r>
    <r>
      <rPr>
        <sz val="9"/>
        <color theme="1"/>
        <rFont val="Arial"/>
        <family val="2"/>
      </rPr>
      <t>million.</t>
    </r>
  </si>
  <si>
    <t xml:space="preserve">     Transfers</t>
  </si>
  <si>
    <t>Name of Budget Account</t>
  </si>
  <si>
    <t>Agt./
Atty.</t>
  </si>
  <si>
    <t>The BOP will be activating USP Yazoo City, FCI Hazelton and USP  Thomson in the year 2014 and will have additional physicians receiving PCAs.</t>
  </si>
  <si>
    <t xml:space="preserve">Provide any additional information that may be useful in planning PCA staffing levels and amounts in your agency.  </t>
  </si>
  <si>
    <t>11)</t>
  </si>
  <si>
    <t xml:space="preserve">Recruitment bonuses, student loan repayments, PCAPS, and annual leave credit for non-federal service have all been inducement packages to attract and retain physicians.  Historical data shows that physician positions have been among the top five in the highest turnover rates.  The loss of the PCAP tool would be devastating to BOP efforts to hire physicians.  </t>
  </si>
  <si>
    <t xml:space="preserve">Explain the degree to which recruitment and retention problems were alleviated in your agency through the use of PCAs in the prior fiscal year. </t>
  </si>
  <si>
    <t>10)</t>
  </si>
  <si>
    <t xml:space="preserve">The National Recruitment office has attended several physician-related recruitment functions and posted ads.  Despite local and national efforts to recruit physicians, the BOP currently has 73 vacant physician positions which average 27 months unfilled.  There were 26 accessions and 16 separations for the fiscal year. Many of the facilities are in remote locations which make it difficult to recruit to these areas.  </t>
  </si>
  <si>
    <t xml:space="preserve">Explain the recruitment and retention problem(s) for each category of physician in your agency (this should demonstrate that a current need continues to persist). </t>
  </si>
  <si>
    <t xml:space="preserve">9)     </t>
  </si>
  <si>
    <t xml:space="preserve">Maximum- Clinical Positions - $30,000
For over 24 months of Federal Service – Base- $18,000; Board Certified - $5,000; Clinical Director at Medical Center - $7,000
</t>
  </si>
  <si>
    <t xml:space="preserve">Provide the maximum annual PCA amount paid to each category of physician in your agency and explain the reasoning for these amounts by category. </t>
  </si>
  <si>
    <t xml:space="preserve">8)     </t>
  </si>
  <si>
    <t>N/A</t>
  </si>
  <si>
    <t xml:space="preserve">If applicable, list and explain the necessity of any additional physician categories designated by your agency (for categories other than I through IV-B). Provide the number of PCA agreements per additional category for the PY, CY and BY. </t>
  </si>
  <si>
    <t>7)</t>
  </si>
  <si>
    <t xml:space="preserve">*FY 2013 data will be approved during the FY 2014 Budget cycle. </t>
  </si>
  <si>
    <t>Category IV-B Health and Medical Admin.</t>
  </si>
  <si>
    <t xml:space="preserve">Category IV-A Disability Evaluation </t>
  </si>
  <si>
    <t>Category III Occupational Health</t>
  </si>
  <si>
    <t>Category II Research Position</t>
  </si>
  <si>
    <t>Category I Clinical Position</t>
  </si>
  <si>
    <t>Number of Physicians Receiving PCAs by Category (non-add)</t>
  </si>
  <si>
    <t>6)</t>
  </si>
  <si>
    <t>Average Annual PCA Payment</t>
  </si>
  <si>
    <t>5)</t>
  </si>
  <si>
    <t>Average Annual PCA Physician Pay (without PCA payment)</t>
  </si>
  <si>
    <t>4)</t>
  </si>
  <si>
    <t>Number of Physicians with Multi-Year PCA Agreements</t>
  </si>
  <si>
    <t>3)</t>
  </si>
  <si>
    <t>Number of Physicians with One-Year PCA Agreements</t>
  </si>
  <si>
    <t>2)</t>
  </si>
  <si>
    <t>Number of Physicians Receiving PCAs</t>
  </si>
  <si>
    <t>1)</t>
  </si>
  <si>
    <t>BY 2014* (Estimates)</t>
  </si>
  <si>
    <t>CY 2013* (Estimates)</t>
  </si>
  <si>
    <t xml:space="preserve">PY 2012 (Estimates) </t>
  </si>
  <si>
    <t>end of Sheet</t>
  </si>
  <si>
    <t>$9.0 million is transferred to B&amp;F Appropriation from S&amp;E.</t>
  </si>
  <si>
    <t xml:space="preserve">    Offset - BOP Medical Costs Adjustment (Contract Rates)</t>
  </si>
  <si>
    <t xml:space="preserve">    Offset - Good Conduct Time</t>
  </si>
  <si>
    <t xml:space="preserve">   Program Offset - BOP Medical Costs Adjustment (Contract Rates)</t>
  </si>
  <si>
    <t xml:space="preserve">   Program Offset - Good Conduct Time</t>
  </si>
  <si>
    <t>Good Conduct Time</t>
  </si>
  <si>
    <t>BOP Medical Costs Adjustment (Contract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</si>
</sst>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0&quot;_);_(@_)"/>
    <numFmt numFmtId="167" formatCode="_(&quot;$&quot;#,##0_);_(&quot;$&quot;\(#,##0\);_(&quot;$&quot;&quot;0&quot;_);_(@_)"/>
    <numFmt numFmtId="168" formatCode="_(* #,##0_);_(* \-#,##0_);_(* &quot;0&quot;_);_(@_)"/>
    <numFmt numFmtId="169" formatCode="#,##0;[Red]#,##0"/>
    <numFmt numFmtId="170" formatCode="&quot;$&quot;#,##0;[Red]&quot;$&quot;#,##0"/>
    <numFmt numFmtId="171" formatCode="&quot;$&quot;#,##0_;"/>
  </numFmts>
  <fonts count="48" x14ac:knownFonts="1">
    <font>
      <sz val="12"/>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12"/>
      <name val="Arial"/>
      <family val="2"/>
    </font>
    <font>
      <b/>
      <sz val="14"/>
      <name val="Times New Roman"/>
      <family val="1"/>
    </font>
    <font>
      <b/>
      <sz val="10"/>
      <name val="Times New Roman"/>
      <family val="1"/>
    </font>
    <font>
      <b/>
      <i/>
      <sz val="12"/>
      <name val="Times New Roman"/>
      <family val="1"/>
    </font>
    <font>
      <sz val="10"/>
      <name val="Arial"/>
      <family val="2"/>
    </font>
    <font>
      <sz val="8"/>
      <color indexed="9"/>
      <name val="Times New Roman"/>
      <family val="1"/>
    </font>
    <font>
      <sz val="10"/>
      <name val="Times New Roman"/>
      <family val="1"/>
    </font>
    <font>
      <sz val="10"/>
      <color indexed="9"/>
      <name val="Times New Roman"/>
      <family val="1"/>
    </font>
    <font>
      <sz val="14"/>
      <name val="Times New Roman"/>
      <family val="1"/>
    </font>
    <font>
      <b/>
      <sz val="14"/>
      <color theme="1"/>
      <name val="Arial"/>
      <family val="2"/>
    </font>
    <font>
      <sz val="11"/>
      <color theme="0"/>
      <name val="Arial"/>
      <family val="2"/>
    </font>
    <font>
      <sz val="11"/>
      <color theme="1"/>
      <name val="Arial"/>
      <family val="2"/>
    </font>
    <font>
      <b/>
      <u/>
      <sz val="11"/>
      <color theme="0"/>
      <name val="Arial"/>
      <family val="2"/>
    </font>
    <font>
      <sz val="12"/>
      <color theme="1"/>
      <name val="Arial"/>
      <family val="2"/>
    </font>
    <font>
      <sz val="10"/>
      <color theme="1"/>
      <name val="Arial"/>
      <family val="2"/>
    </font>
    <font>
      <b/>
      <sz val="11"/>
      <color theme="1"/>
      <name val="Arial"/>
      <family val="2"/>
    </font>
    <font>
      <sz val="11"/>
      <name val="Arial"/>
      <family val="2"/>
    </font>
    <font>
      <b/>
      <sz val="11"/>
      <name val="Arial"/>
      <family val="2"/>
    </font>
    <font>
      <b/>
      <vertAlign val="superscript"/>
      <sz val="11"/>
      <color theme="1"/>
      <name val="Arial"/>
      <family val="2"/>
    </font>
    <font>
      <b/>
      <sz val="11"/>
      <color theme="0"/>
      <name val="Arial"/>
      <family val="2"/>
    </font>
    <font>
      <b/>
      <sz val="12"/>
      <color theme="1"/>
      <name val="Arial"/>
      <family val="2"/>
    </font>
    <font>
      <sz val="9"/>
      <color theme="0"/>
      <name val="Arial"/>
      <family val="2"/>
    </font>
    <font>
      <sz val="9"/>
      <color theme="1"/>
      <name val="Arial"/>
      <family val="2"/>
    </font>
    <font>
      <sz val="8"/>
      <color theme="1"/>
      <name val="Arial"/>
      <family val="2"/>
    </font>
    <font>
      <b/>
      <sz val="9"/>
      <color theme="1"/>
      <name val="Arial"/>
      <family val="2"/>
    </font>
    <font>
      <b/>
      <sz val="10"/>
      <color theme="1"/>
      <name val="Arial"/>
      <family val="2"/>
    </font>
    <font>
      <u/>
      <sz val="9"/>
      <color theme="1"/>
      <name val="Arial"/>
      <family val="2"/>
    </font>
    <font>
      <sz val="9"/>
      <name val="Arial"/>
      <family val="2"/>
    </font>
    <font>
      <sz val="9"/>
      <color indexed="9"/>
      <name val="Arial"/>
      <family val="2"/>
    </font>
    <font>
      <b/>
      <sz val="9"/>
      <name val="Arial"/>
      <family val="2"/>
    </font>
    <font>
      <vertAlign val="superscript"/>
      <sz val="11"/>
      <color theme="1"/>
      <name val="Arial"/>
      <family val="2"/>
    </font>
    <font>
      <b/>
      <u/>
      <sz val="11"/>
      <color theme="1"/>
      <name val="Arial"/>
      <family val="2"/>
    </font>
    <font>
      <sz val="14"/>
      <color theme="0"/>
      <name val="Arial"/>
      <family val="2"/>
    </font>
    <font>
      <b/>
      <sz val="14"/>
      <name val="Arial"/>
      <family val="2"/>
    </font>
    <font>
      <u/>
      <sz val="9"/>
      <name val="Arial"/>
      <family val="2"/>
    </font>
    <font>
      <b/>
      <sz val="12"/>
      <name val="Arial"/>
      <family val="2"/>
    </font>
    <font>
      <sz val="11"/>
      <name val="Times New Roman"/>
      <family val="1"/>
    </font>
    <font>
      <b/>
      <sz val="11"/>
      <name val="Times New Roman"/>
      <family val="1"/>
    </font>
  </fonts>
  <fills count="3">
    <fill>
      <patternFill patternType="none"/>
    </fill>
    <fill>
      <patternFill patternType="gray125"/>
    </fill>
    <fill>
      <patternFill patternType="solid">
        <fgColor rgb="FFFFFFFF"/>
        <bgColor indexed="64"/>
      </patternFill>
    </fill>
  </fills>
  <borders count="135">
    <border>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hair">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right/>
      <top/>
      <bottom style="medium">
        <color auto="1"/>
      </bottom>
      <diagonal/>
    </border>
    <border>
      <left style="thin">
        <color auto="1"/>
      </left>
      <right style="medium">
        <color auto="1"/>
      </right>
      <top style="thin">
        <color auto="1"/>
      </top>
      <bottom/>
      <diagonal/>
    </border>
    <border>
      <left/>
      <right style="thin">
        <color auto="1"/>
      </right>
      <top/>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top style="dashed">
        <color theme="0" tint="-0.1499679555650502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thin">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indexed="64"/>
      </top>
      <bottom/>
      <diagonal/>
    </border>
    <border>
      <left style="medium">
        <color auto="1"/>
      </left>
      <right/>
      <top style="thin">
        <color auto="1"/>
      </top>
      <bottom style="thin">
        <color auto="1"/>
      </bottom>
      <diagonal/>
    </border>
    <border>
      <left/>
      <right/>
      <top/>
      <bottom style="medium">
        <color indexed="64"/>
      </bottom>
      <diagonal/>
    </border>
    <border>
      <left style="thin">
        <color auto="1"/>
      </left>
      <right style="medium">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medium">
        <color auto="1"/>
      </left>
      <right/>
      <top style="dashed">
        <color theme="0" tint="-0.14996795556505021"/>
      </top>
      <bottom style="thin">
        <color auto="1"/>
      </bottom>
      <diagonal/>
    </border>
    <border>
      <left/>
      <right style="thin">
        <color auto="1"/>
      </right>
      <top style="dashed">
        <color theme="0" tint="-0.1499679555650502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right style="thin">
        <color auto="1"/>
      </right>
      <top style="thin">
        <color auto="1"/>
      </top>
      <bottom style="dashed">
        <color theme="0" tint="-0.14996795556505021"/>
      </bottom>
      <diagonal/>
    </border>
    <border>
      <left style="medium">
        <color auto="1"/>
      </left>
      <right/>
      <top style="thin">
        <color auto="1"/>
      </top>
      <bottom style="dashed">
        <color theme="0" tint="-0.14996795556505021"/>
      </bottom>
      <diagonal/>
    </border>
    <border>
      <left style="medium">
        <color auto="1"/>
      </left>
      <right style="thin">
        <color auto="1"/>
      </right>
      <top style="dashed">
        <color theme="0" tint="-0.14996795556505021"/>
      </top>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medium">
        <color auto="1"/>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style="thin">
        <color auto="1"/>
      </right>
      <top/>
      <bottom style="dashed">
        <color theme="0" tint="-0.14996795556505021"/>
      </bottom>
      <diagonal/>
    </border>
    <border>
      <left style="medium">
        <color auto="1"/>
      </left>
      <right style="thin">
        <color auto="1"/>
      </right>
      <top style="thin">
        <color auto="1"/>
      </top>
      <bottom/>
      <diagonal/>
    </border>
    <border>
      <left style="medium">
        <color auto="1"/>
      </left>
      <right style="thin">
        <color auto="1"/>
      </right>
      <top style="thin">
        <color auto="1"/>
      </top>
      <bottom style="dashed">
        <color theme="0" tint="-0.14996795556505021"/>
      </bottom>
      <diagonal/>
    </border>
    <border>
      <left style="medium">
        <color auto="1"/>
      </left>
      <right style="thin">
        <color auto="1"/>
      </right>
      <top style="dashed">
        <color theme="0" tint="-0.14996795556505021"/>
      </top>
      <bottom style="thin">
        <color auto="1"/>
      </bottom>
      <diagonal/>
    </border>
    <border>
      <left style="medium">
        <color auto="1"/>
      </left>
      <right/>
      <top/>
      <bottom style="dashed">
        <color theme="0" tint="-0.14996795556505021"/>
      </bottom>
      <diagonal/>
    </border>
    <border>
      <left style="medium">
        <color auto="1"/>
      </left>
      <right/>
      <top style="dashed">
        <color theme="0" tint="-0.14996795556505021"/>
      </top>
      <bottom/>
      <diagonal/>
    </border>
    <border>
      <left style="thin">
        <color auto="1"/>
      </left>
      <right/>
      <top style="medium">
        <color auto="1"/>
      </top>
      <bottom/>
      <diagonal/>
    </border>
    <border>
      <left/>
      <right/>
      <top/>
      <bottom style="dashed">
        <color theme="0" tint="-0.14996795556505021"/>
      </bottom>
      <diagonal/>
    </border>
    <border>
      <left/>
      <right style="thin">
        <color auto="1"/>
      </right>
      <top/>
      <bottom style="dashed">
        <color theme="0" tint="-0.14996795556505021"/>
      </bottom>
      <diagonal/>
    </border>
    <border>
      <left/>
      <right/>
      <top style="dashed">
        <color theme="0" tint="-0.14996795556505021"/>
      </top>
      <bottom/>
      <diagonal/>
    </border>
    <border>
      <left/>
      <right style="thin">
        <color auto="1"/>
      </right>
      <top style="dashed">
        <color theme="0" tint="-0.14996795556505021"/>
      </top>
      <bottom/>
      <diagonal/>
    </border>
    <border>
      <left/>
      <right/>
      <top style="dashed">
        <color theme="0" tint="-0.14996795556505021"/>
      </top>
      <bottom style="medium">
        <color indexed="64"/>
      </bottom>
      <diagonal/>
    </border>
    <border>
      <left/>
      <right style="thin">
        <color auto="1"/>
      </right>
      <top style="dashed">
        <color theme="0" tint="-0.14996795556505021"/>
      </top>
      <bottom style="medium">
        <color indexed="64"/>
      </bottom>
      <diagonal/>
    </border>
  </borders>
  <cellStyleXfs count="30">
    <xf numFmtId="0" fontId="0" fillId="0" borderId="0"/>
    <xf numFmtId="43" fontId="10" fillId="0" borderId="0" applyFont="0" applyFill="0" applyBorder="0" applyAlignment="0" applyProtection="0"/>
    <xf numFmtId="0" fontId="14" fillId="0" borderId="0"/>
    <xf numFmtId="0" fontId="10" fillId="0" borderId="0"/>
    <xf numFmtId="44"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0" fontId="3"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xf numFmtId="0" fontId="10" fillId="0" borderId="0"/>
  </cellStyleXfs>
  <cellXfs count="698">
    <xf numFmtId="0" fontId="0" fillId="0" borderId="0" xfId="0"/>
    <xf numFmtId="0" fontId="8" fillId="0" borderId="0" xfId="0" applyFont="1"/>
    <xf numFmtId="0" fontId="8" fillId="0" borderId="0" xfId="0" applyFont="1" applyBorder="1"/>
    <xf numFmtId="0" fontId="8" fillId="0" borderId="3" xfId="0" applyFont="1" applyBorder="1"/>
    <xf numFmtId="0" fontId="8" fillId="0" borderId="4" xfId="0" applyFont="1" applyBorder="1"/>
    <xf numFmtId="0" fontId="8" fillId="0" borderId="5" xfId="0" applyFont="1" applyBorder="1"/>
    <xf numFmtId="0" fontId="8" fillId="0" borderId="7" xfId="0" applyFont="1" applyBorder="1"/>
    <xf numFmtId="0" fontId="8" fillId="0" borderId="13" xfId="0" applyFont="1" applyBorder="1"/>
    <xf numFmtId="3" fontId="8" fillId="0" borderId="14" xfId="0" applyNumberFormat="1" applyFont="1" applyBorder="1"/>
    <xf numFmtId="0" fontId="8" fillId="0" borderId="14" xfId="0" applyFont="1" applyBorder="1"/>
    <xf numFmtId="41" fontId="8" fillId="0" borderId="0" xfId="0" applyNumberFormat="1" applyFont="1" applyBorder="1"/>
    <xf numFmtId="3" fontId="8" fillId="0" borderId="34" xfId="0" applyNumberFormat="1" applyFont="1" applyBorder="1"/>
    <xf numFmtId="3" fontId="8" fillId="0" borderId="0" xfId="0" applyNumberFormat="1" applyFont="1" applyBorder="1"/>
    <xf numFmtId="0" fontId="9" fillId="0" borderId="38" xfId="0" applyFont="1" applyBorder="1"/>
    <xf numFmtId="0" fontId="9" fillId="0" borderId="28" xfId="0" applyFont="1" applyBorder="1"/>
    <xf numFmtId="0" fontId="8" fillId="0" borderId="40" xfId="0" applyFont="1" applyBorder="1"/>
    <xf numFmtId="0" fontId="8" fillId="0" borderId="29" xfId="0" applyFont="1" applyBorder="1"/>
    <xf numFmtId="41" fontId="8" fillId="0" borderId="12" xfId="0" applyNumberFormat="1" applyFont="1" applyBorder="1"/>
    <xf numFmtId="0" fontId="8" fillId="0" borderId="28" xfId="0" applyFont="1" applyBorder="1"/>
    <xf numFmtId="0" fontId="8" fillId="0" borderId="38" xfId="0" applyFont="1" applyBorder="1"/>
    <xf numFmtId="0" fontId="8" fillId="0" borderId="25" xfId="0" applyFont="1" applyBorder="1"/>
    <xf numFmtId="41" fontId="8" fillId="0" borderId="0" xfId="0" applyNumberFormat="1" applyFont="1"/>
    <xf numFmtId="0" fontId="8" fillId="0" borderId="0" xfId="0" applyFont="1" applyFill="1"/>
    <xf numFmtId="41" fontId="9" fillId="0" borderId="0" xfId="0" applyNumberFormat="1" applyFont="1"/>
    <xf numFmtId="0" fontId="8" fillId="0" borderId="43" xfId="0" applyFont="1" applyBorder="1"/>
    <xf numFmtId="0" fontId="8" fillId="0" borderId="48" xfId="0" applyFont="1" applyBorder="1"/>
    <xf numFmtId="0" fontId="9" fillId="0" borderId="40" xfId="0" applyFont="1" applyBorder="1"/>
    <xf numFmtId="0" fontId="13" fillId="0" borderId="0" xfId="0" applyFont="1" applyBorder="1"/>
    <xf numFmtId="0" fontId="12" fillId="0" borderId="13" xfId="0" applyFont="1" applyBorder="1"/>
    <xf numFmtId="0" fontId="15" fillId="0" borderId="0" xfId="2" applyFont="1"/>
    <xf numFmtId="0" fontId="16" fillId="0" borderId="0" xfId="0" applyFont="1"/>
    <xf numFmtId="0" fontId="17" fillId="0" borderId="0" xfId="2" applyFont="1"/>
    <xf numFmtId="0" fontId="8" fillId="0" borderId="1" xfId="0" applyFont="1" applyBorder="1" applyAlignment="1">
      <alignment horizontal="center"/>
    </xf>
    <xf numFmtId="0" fontId="8" fillId="0" borderId="31" xfId="0" applyFont="1" applyBorder="1"/>
    <xf numFmtId="165" fontId="8" fillId="0" borderId="0" xfId="1" applyNumberFormat="1" applyFont="1"/>
    <xf numFmtId="165" fontId="8" fillId="0" borderId="14" xfId="1" applyNumberFormat="1" applyFont="1" applyBorder="1"/>
    <xf numFmtId="0" fontId="8" fillId="0" borderId="34" xfId="0" applyFont="1" applyBorder="1"/>
    <xf numFmtId="3" fontId="8" fillId="0" borderId="14" xfId="1" applyNumberFormat="1" applyFont="1" applyBorder="1"/>
    <xf numFmtId="165" fontId="8" fillId="0" borderId="0" xfId="0" applyNumberFormat="1" applyFont="1"/>
    <xf numFmtId="0" fontId="8" fillId="0" borderId="2" xfId="0" applyFont="1" applyBorder="1" applyAlignment="1">
      <alignment horizontal="center"/>
    </xf>
    <xf numFmtId="0" fontId="8" fillId="0" borderId="3" xfId="0" applyFont="1" applyBorder="1" applyAlignment="1">
      <alignment horizontal="center"/>
    </xf>
    <xf numFmtId="0" fontId="8" fillId="0" borderId="0" xfId="0" applyFont="1" applyBorder="1"/>
    <xf numFmtId="0" fontId="8" fillId="0" borderId="6" xfId="0" applyFont="1" applyBorder="1"/>
    <xf numFmtId="0" fontId="8" fillId="0" borderId="32" xfId="0" applyFont="1" applyBorder="1"/>
    <xf numFmtId="0" fontId="8" fillId="0" borderId="33" xfId="0" applyFont="1" applyBorder="1"/>
    <xf numFmtId="3" fontId="8" fillId="0" borderId="33" xfId="0" applyNumberFormat="1" applyFont="1" applyBorder="1"/>
    <xf numFmtId="3" fontId="8" fillId="0" borderId="49" xfId="0" applyNumberFormat="1" applyFont="1" applyBorder="1"/>
    <xf numFmtId="3" fontId="8" fillId="0" borderId="1" xfId="0" applyNumberFormat="1" applyFont="1" applyBorder="1"/>
    <xf numFmtId="0" fontId="9" fillId="0" borderId="48" xfId="0" applyFont="1" applyBorder="1"/>
    <xf numFmtId="0" fontId="9" fillId="0" borderId="32" xfId="0" applyFont="1" applyBorder="1"/>
    <xf numFmtId="3" fontId="9" fillId="0" borderId="49" xfId="0" applyNumberFormat="1" applyFont="1" applyBorder="1"/>
    <xf numFmtId="0" fontId="8" fillId="0" borderId="0" xfId="0" applyFont="1" applyBorder="1"/>
    <xf numFmtId="0" fontId="9" fillId="0" borderId="31" xfId="0" applyFont="1" applyBorder="1" applyAlignment="1">
      <alignment horizontal="center"/>
    </xf>
    <xf numFmtId="166" fontId="8" fillId="0" borderId="39" xfId="0" applyNumberFormat="1" applyFont="1" applyBorder="1"/>
    <xf numFmtId="166" fontId="8" fillId="0" borderId="30" xfId="0" applyNumberFormat="1" applyFont="1" applyBorder="1"/>
    <xf numFmtId="166" fontId="8" fillId="0" borderId="41" xfId="0" applyNumberFormat="1" applyFont="1" applyBorder="1"/>
    <xf numFmtId="166" fontId="8" fillId="0" borderId="0" xfId="0" applyNumberFormat="1" applyFont="1" applyBorder="1"/>
    <xf numFmtId="166" fontId="8" fillId="0" borderId="12" xfId="0" applyNumberFormat="1" applyFont="1" applyBorder="1"/>
    <xf numFmtId="166" fontId="8" fillId="0" borderId="0" xfId="0" applyNumberFormat="1" applyFont="1" applyBorder="1" applyAlignment="1">
      <alignment horizontal="right"/>
    </xf>
    <xf numFmtId="166" fontId="8" fillId="0" borderId="0" xfId="1" applyNumberFormat="1" applyFont="1" applyBorder="1"/>
    <xf numFmtId="166" fontId="8" fillId="0" borderId="42" xfId="0" applyNumberFormat="1" applyFont="1" applyBorder="1"/>
    <xf numFmtId="166" fontId="9" fillId="0" borderId="27" xfId="0" applyNumberFormat="1" applyFont="1" applyBorder="1"/>
    <xf numFmtId="166" fontId="9" fillId="0" borderId="26" xfId="0" applyNumberFormat="1" applyFont="1" applyBorder="1"/>
    <xf numFmtId="166" fontId="8" fillId="0" borderId="26" xfId="0" applyNumberFormat="1" applyFont="1" applyBorder="1"/>
    <xf numFmtId="166" fontId="8" fillId="0" borderId="27" xfId="0" applyNumberFormat="1" applyFont="1" applyBorder="1"/>
    <xf numFmtId="166" fontId="8" fillId="0" borderId="42" xfId="0" applyNumberFormat="1" applyFont="1" applyFill="1" applyBorder="1"/>
    <xf numFmtId="166" fontId="8" fillId="0" borderId="12" xfId="0" applyNumberFormat="1" applyFont="1" applyFill="1" applyBorder="1"/>
    <xf numFmtId="166" fontId="8" fillId="0" borderId="12" xfId="0" applyNumberFormat="1" applyFont="1" applyBorder="1" applyAlignment="1">
      <alignment horizontal="right"/>
    </xf>
    <xf numFmtId="166" fontId="8" fillId="0" borderId="42" xfId="0" applyNumberFormat="1" applyFont="1" applyBorder="1" applyAlignment="1">
      <alignment horizontal="right"/>
    </xf>
    <xf numFmtId="166" fontId="9" fillId="0" borderId="42" xfId="0" applyNumberFormat="1" applyFont="1" applyBorder="1"/>
    <xf numFmtId="166" fontId="9" fillId="0" borderId="41" xfId="0" applyNumberFormat="1" applyFont="1" applyBorder="1"/>
    <xf numFmtId="166" fontId="9" fillId="0" borderId="12" xfId="0" applyNumberFormat="1" applyFont="1" applyBorder="1"/>
    <xf numFmtId="0" fontId="11" fillId="0" borderId="0" xfId="0" applyFont="1"/>
    <xf numFmtId="0" fontId="18" fillId="0" borderId="0" xfId="0" applyFont="1"/>
    <xf numFmtId="41" fontId="11" fillId="0" borderId="0" xfId="0" applyNumberFormat="1" applyFont="1" applyAlignment="1">
      <alignment vertical="top"/>
    </xf>
    <xf numFmtId="0" fontId="8" fillId="0" borderId="40" xfId="0" applyFont="1" applyBorder="1"/>
    <xf numFmtId="3" fontId="8" fillId="0" borderId="4" xfId="0" applyNumberFormat="1" applyFont="1" applyBorder="1"/>
    <xf numFmtId="0" fontId="8" fillId="0" borderId="0" xfId="0" applyFont="1" applyBorder="1"/>
    <xf numFmtId="170" fontId="8" fillId="0" borderId="34" xfId="0" applyNumberFormat="1" applyFont="1" applyBorder="1" applyAlignment="1">
      <alignment horizontal="right"/>
    </xf>
    <xf numFmtId="0" fontId="8" fillId="0" borderId="0" xfId="0" applyFont="1" applyBorder="1"/>
    <xf numFmtId="0" fontId="9" fillId="0" borderId="44" xfId="0" applyFont="1" applyBorder="1"/>
    <xf numFmtId="3" fontId="9" fillId="0" borderId="2" xfId="0" applyNumberFormat="1" applyFont="1" applyBorder="1"/>
    <xf numFmtId="3" fontId="9" fillId="0" borderId="1" xfId="0" applyNumberFormat="1" applyFont="1" applyBorder="1"/>
    <xf numFmtId="3" fontId="9" fillId="0" borderId="3" xfId="0" applyNumberFormat="1" applyFont="1" applyBorder="1"/>
    <xf numFmtId="169" fontId="8" fillId="0" borderId="0" xfId="0" applyNumberFormat="1" applyFont="1" applyBorder="1" applyAlignment="1">
      <alignment horizontal="right"/>
    </xf>
    <xf numFmtId="169" fontId="8" fillId="0" borderId="4" xfId="0" applyNumberFormat="1" applyFont="1" applyBorder="1" applyAlignment="1">
      <alignment horizontal="right"/>
    </xf>
    <xf numFmtId="166" fontId="8" fillId="0" borderId="0" xfId="0" applyNumberFormat="1" applyFont="1"/>
    <xf numFmtId="169" fontId="8" fillId="0" borderId="0" xfId="1" applyNumberFormat="1" applyFont="1"/>
    <xf numFmtId="169" fontId="8" fillId="0" borderId="5" xfId="0" applyNumberFormat="1" applyFont="1" applyBorder="1" applyAlignment="1">
      <alignment horizontal="right"/>
    </xf>
    <xf numFmtId="3" fontId="8" fillId="0" borderId="5" xfId="0" applyNumberFormat="1" applyFont="1" applyBorder="1"/>
    <xf numFmtId="169" fontId="8" fillId="0" borderId="1" xfId="0" applyNumberFormat="1" applyFont="1" applyBorder="1" applyAlignment="1">
      <alignment horizontal="right"/>
    </xf>
    <xf numFmtId="0" fontId="8" fillId="0" borderId="0" xfId="0" applyFont="1" applyBorder="1"/>
    <xf numFmtId="0" fontId="8" fillId="0" borderId="50" xfId="0" applyFont="1" applyBorder="1"/>
    <xf numFmtId="0" fontId="8" fillId="0" borderId="57" xfId="0" applyFont="1" applyBorder="1"/>
    <xf numFmtId="0" fontId="8" fillId="0" borderId="58" xfId="0" applyFont="1" applyBorder="1"/>
    <xf numFmtId="3" fontId="8" fillId="0" borderId="58" xfId="1" applyNumberFormat="1" applyFont="1" applyBorder="1"/>
    <xf numFmtId="3" fontId="8" fillId="0" borderId="58" xfId="0" applyNumberFormat="1" applyFont="1" applyBorder="1"/>
    <xf numFmtId="169" fontId="8" fillId="0" borderId="4" xfId="0" applyNumberFormat="1" applyFont="1" applyBorder="1"/>
    <xf numFmtId="3" fontId="8" fillId="0" borderId="4" xfId="0" applyNumberFormat="1" applyFont="1" applyBorder="1" applyAlignment="1">
      <alignment horizontal="right"/>
    </xf>
    <xf numFmtId="3" fontId="8" fillId="0" borderId="5" xfId="0" applyNumberFormat="1" applyFont="1" applyBorder="1" applyAlignment="1">
      <alignment horizontal="right"/>
    </xf>
    <xf numFmtId="0" fontId="8" fillId="0" borderId="0" xfId="0" applyFont="1" applyBorder="1"/>
    <xf numFmtId="3" fontId="8" fillId="0" borderId="49" xfId="0" applyNumberFormat="1" applyFont="1" applyBorder="1" applyAlignment="1"/>
    <xf numFmtId="0" fontId="20" fillId="0" borderId="0" xfId="0" applyFont="1"/>
    <xf numFmtId="0" fontId="21" fillId="0" borderId="0" xfId="0" applyFont="1"/>
    <xf numFmtId="3" fontId="21" fillId="0" borderId="0" xfId="0" applyNumberFormat="1" applyFont="1"/>
    <xf numFmtId="165" fontId="21" fillId="0" borderId="0" xfId="1" applyNumberFormat="1" applyFont="1"/>
    <xf numFmtId="0" fontId="26" fillId="0" borderId="0" xfId="0" applyFont="1" applyBorder="1" applyAlignment="1">
      <alignment horizontal="left" vertical="top"/>
    </xf>
    <xf numFmtId="0" fontId="25" fillId="0" borderId="62" xfId="0" applyFont="1" applyBorder="1"/>
    <xf numFmtId="3" fontId="25" fillId="0" borderId="63" xfId="0" applyNumberFormat="1" applyFont="1" applyBorder="1"/>
    <xf numFmtId="3" fontId="25" fillId="0" borderId="64" xfId="0" applyNumberFormat="1" applyFont="1" applyBorder="1"/>
    <xf numFmtId="3" fontId="25" fillId="0" borderId="65" xfId="0" applyNumberFormat="1" applyFont="1" applyBorder="1"/>
    <xf numFmtId="0" fontId="21" fillId="0" borderId="66" xfId="0" applyFont="1" applyBorder="1" applyAlignment="1">
      <alignment horizontal="left" indent="1"/>
    </xf>
    <xf numFmtId="3" fontId="25" fillId="0" borderId="67" xfId="0" applyNumberFormat="1" applyFont="1" applyBorder="1"/>
    <xf numFmtId="3" fontId="25" fillId="0" borderId="68" xfId="0" applyNumberFormat="1" applyFont="1" applyBorder="1"/>
    <xf numFmtId="3" fontId="21" fillId="0" borderId="69" xfId="0" applyNumberFormat="1" applyFont="1" applyBorder="1"/>
    <xf numFmtId="3" fontId="21" fillId="0" borderId="72" xfId="0" applyNumberFormat="1" applyFont="1" applyBorder="1"/>
    <xf numFmtId="3" fontId="25" fillId="0" borderId="73" xfId="0" applyNumberFormat="1" applyFont="1" applyBorder="1"/>
    <xf numFmtId="0" fontId="25" fillId="0" borderId="62" xfId="0" applyFont="1" applyBorder="1" applyAlignment="1">
      <alignment horizontal="left" indent="1"/>
    </xf>
    <xf numFmtId="3" fontId="25" fillId="0" borderId="74" xfId="0" applyNumberFormat="1" applyFont="1" applyBorder="1"/>
    <xf numFmtId="0" fontId="25" fillId="0" borderId="66" xfId="0" applyFont="1" applyBorder="1" applyAlignment="1">
      <alignment horizontal="left" indent="1"/>
    </xf>
    <xf numFmtId="3" fontId="25" fillId="0" borderId="69" xfId="0" applyNumberFormat="1" applyFont="1" applyBorder="1"/>
    <xf numFmtId="0" fontId="25" fillId="0" borderId="66" xfId="0" applyFont="1" applyBorder="1"/>
    <xf numFmtId="0" fontId="21" fillId="0" borderId="66" xfId="0" applyFont="1" applyBorder="1" applyAlignment="1">
      <alignment horizontal="left" indent="6"/>
    </xf>
    <xf numFmtId="3" fontId="21" fillId="0" borderId="73" xfId="0" applyNumberFormat="1" applyFont="1" applyBorder="1"/>
    <xf numFmtId="3" fontId="21" fillId="0" borderId="68" xfId="0" applyNumberFormat="1" applyFont="1" applyBorder="1"/>
    <xf numFmtId="0" fontId="25" fillId="0" borderId="66" xfId="0" applyFont="1" applyBorder="1" applyAlignment="1">
      <alignment horizontal="left" indent="3"/>
    </xf>
    <xf numFmtId="0" fontId="21" fillId="0" borderId="66" xfId="0" applyFont="1" applyBorder="1" applyAlignment="1">
      <alignment horizontal="left" indent="3"/>
    </xf>
    <xf numFmtId="3" fontId="21" fillId="0" borderId="75" xfId="0" applyNumberFormat="1" applyFont="1" applyBorder="1"/>
    <xf numFmtId="0" fontId="21" fillId="0" borderId="70" xfId="0" applyFont="1" applyBorder="1" applyAlignment="1">
      <alignment horizontal="left" indent="3"/>
    </xf>
    <xf numFmtId="3" fontId="21" fillId="0" borderId="76" xfId="0" applyNumberFormat="1" applyFont="1" applyBorder="1"/>
    <xf numFmtId="3" fontId="21" fillId="0" borderId="71" xfId="0" applyNumberFormat="1" applyFont="1" applyBorder="1"/>
    <xf numFmtId="0" fontId="25" fillId="0" borderId="77" xfId="0" applyFont="1" applyBorder="1" applyAlignment="1">
      <alignment horizontal="left" indent="3"/>
    </xf>
    <xf numFmtId="3" fontId="25" fillId="0" borderId="78" xfId="0" applyNumberFormat="1" applyFont="1" applyBorder="1"/>
    <xf numFmtId="3" fontId="25" fillId="0" borderId="79" xfId="0" applyNumberFormat="1" applyFont="1" applyBorder="1"/>
    <xf numFmtId="3" fontId="25" fillId="0" borderId="80" xfId="0" applyNumberFormat="1" applyFont="1" applyBorder="1"/>
    <xf numFmtId="0" fontId="25" fillId="0" borderId="49" xfId="0" applyFont="1" applyBorder="1" applyAlignment="1">
      <alignment horizontal="left" indent="1"/>
    </xf>
    <xf numFmtId="3" fontId="25" fillId="0" borderId="35" xfId="0" applyNumberFormat="1" applyFont="1" applyBorder="1"/>
    <xf numFmtId="3" fontId="25" fillId="0" borderId="36" xfId="0" applyNumberFormat="1" applyFont="1" applyBorder="1"/>
    <xf numFmtId="3" fontId="25" fillId="0" borderId="37" xfId="0" applyNumberFormat="1" applyFont="1" applyBorder="1"/>
    <xf numFmtId="0" fontId="25" fillId="0" borderId="62" xfId="0" applyFont="1" applyBorder="1" applyAlignment="1">
      <alignment horizontal="left"/>
    </xf>
    <xf numFmtId="0" fontId="25" fillId="0" borderId="66" xfId="0" applyFont="1" applyBorder="1" applyAlignment="1">
      <alignment horizontal="left"/>
    </xf>
    <xf numFmtId="0" fontId="21" fillId="0" borderId="66" xfId="0" applyFont="1" applyBorder="1" applyAlignment="1">
      <alignment horizontal="left" indent="4"/>
    </xf>
    <xf numFmtId="3" fontId="21" fillId="0" borderId="67" xfId="0" applyNumberFormat="1" applyFont="1" applyBorder="1"/>
    <xf numFmtId="0" fontId="25" fillId="0" borderId="77" xfId="0" applyFont="1" applyBorder="1" applyAlignment="1">
      <alignment horizontal="left" indent="1"/>
    </xf>
    <xf numFmtId="0" fontId="21" fillId="0" borderId="77" xfId="0" applyFont="1" applyBorder="1" applyAlignment="1">
      <alignment horizontal="left"/>
    </xf>
    <xf numFmtId="3" fontId="21" fillId="0" borderId="81" xfId="0" applyNumberFormat="1" applyFont="1" applyBorder="1"/>
    <xf numFmtId="3" fontId="21" fillId="0" borderId="79" xfId="0" applyNumberFormat="1" applyFont="1" applyBorder="1"/>
    <xf numFmtId="3" fontId="21" fillId="0" borderId="80" xfId="0" applyNumberFormat="1" applyFont="1" applyBorder="1"/>
    <xf numFmtId="0" fontId="20" fillId="0" borderId="0" xfId="0" applyFont="1" applyAlignment="1"/>
    <xf numFmtId="0" fontId="19" fillId="0" borderId="0" xfId="0" applyFont="1" applyAlignment="1"/>
    <xf numFmtId="0" fontId="23" fillId="0" borderId="0" xfId="0" applyFont="1" applyAlignment="1"/>
    <xf numFmtId="0" fontId="21" fillId="0" borderId="0" xfId="0" applyFont="1" applyAlignment="1"/>
    <xf numFmtId="0" fontId="24" fillId="0" borderId="0" xfId="0" applyFont="1" applyAlignment="1"/>
    <xf numFmtId="0" fontId="21" fillId="0" borderId="83" xfId="0" applyFont="1" applyBorder="1" applyAlignment="1">
      <alignment horizontal="center" vertical="top" wrapText="1"/>
    </xf>
    <xf numFmtId="0" fontId="21" fillId="0" borderId="84" xfId="0" applyFont="1" applyBorder="1" applyAlignment="1">
      <alignment horizontal="center" vertical="top" wrapText="1"/>
    </xf>
    <xf numFmtId="0" fontId="21" fillId="0" borderId="85" xfId="0" applyFont="1" applyBorder="1" applyAlignment="1">
      <alignment horizontal="left" indent="3"/>
    </xf>
    <xf numFmtId="3" fontId="21" fillId="0" borderId="86" xfId="0" applyNumberFormat="1" applyFont="1" applyBorder="1"/>
    <xf numFmtId="3" fontId="21" fillId="0" borderId="87" xfId="0" applyNumberFormat="1" applyFont="1" applyBorder="1"/>
    <xf numFmtId="0" fontId="21" fillId="0" borderId="73" xfId="0" applyFont="1" applyBorder="1" applyAlignment="1">
      <alignment horizontal="left" indent="3"/>
    </xf>
    <xf numFmtId="0" fontId="21" fillId="0" borderId="88" xfId="0" applyFont="1" applyBorder="1" applyAlignment="1">
      <alignment horizontal="left" indent="3"/>
    </xf>
    <xf numFmtId="3" fontId="21" fillId="0" borderId="89" xfId="0" applyNumberFormat="1" applyFont="1" applyBorder="1"/>
    <xf numFmtId="3" fontId="21" fillId="0" borderId="90" xfId="0" applyNumberFormat="1" applyFont="1" applyBorder="1"/>
    <xf numFmtId="0" fontId="25" fillId="0" borderId="91" xfId="0" applyFont="1" applyBorder="1" applyAlignment="1">
      <alignment horizontal="right"/>
    </xf>
    <xf numFmtId="3" fontId="25" fillId="0" borderId="83" xfId="0" applyNumberFormat="1" applyFont="1" applyBorder="1"/>
    <xf numFmtId="3" fontId="25" fillId="0" borderId="84" xfId="0" applyNumberFormat="1" applyFont="1" applyBorder="1"/>
    <xf numFmtId="0" fontId="21" fillId="0" borderId="73" xfId="0" applyFont="1" applyBorder="1" applyAlignment="1">
      <alignment horizontal="left" indent="5"/>
    </xf>
    <xf numFmtId="0" fontId="21" fillId="0" borderId="88" xfId="0" applyFont="1" applyBorder="1" applyAlignment="1">
      <alignment horizontal="left" indent="5"/>
    </xf>
    <xf numFmtId="0" fontId="21" fillId="0" borderId="59" xfId="0" applyFont="1" applyBorder="1" applyAlignment="1">
      <alignment horizontal="left" indent="3"/>
    </xf>
    <xf numFmtId="3" fontId="21" fillId="0" borderId="60" xfId="0" applyNumberFormat="1" applyFont="1" applyBorder="1"/>
    <xf numFmtId="3" fontId="21" fillId="0" borderId="61" xfId="0" applyNumberFormat="1" applyFont="1" applyBorder="1"/>
    <xf numFmtId="0" fontId="22" fillId="0" borderId="0" xfId="0" applyFont="1" applyBorder="1" applyAlignment="1">
      <alignment horizontal="center"/>
    </xf>
    <xf numFmtId="0" fontId="21" fillId="0" borderId="0" xfId="0" applyFont="1" applyBorder="1"/>
    <xf numFmtId="0" fontId="20" fillId="0" borderId="0" xfId="0" applyFont="1" applyBorder="1"/>
    <xf numFmtId="0" fontId="26" fillId="0" borderId="0" xfId="0" applyFont="1" applyBorder="1"/>
    <xf numFmtId="0" fontId="27" fillId="0" borderId="0" xfId="0" applyFont="1" applyBorder="1"/>
    <xf numFmtId="0" fontId="25" fillId="0" borderId="0" xfId="0" applyFont="1" applyBorder="1"/>
    <xf numFmtId="0" fontId="19" fillId="0" borderId="0" xfId="0" applyFont="1" applyBorder="1" applyAlignment="1"/>
    <xf numFmtId="0" fontId="23" fillId="0" borderId="0" xfId="0" applyFont="1" applyBorder="1" applyAlignment="1"/>
    <xf numFmtId="0" fontId="21" fillId="0" borderId="0" xfId="0" applyFont="1" applyBorder="1" applyAlignment="1"/>
    <xf numFmtId="0" fontId="24" fillId="0" borderId="0" xfId="0" applyFont="1" applyBorder="1" applyAlignment="1"/>
    <xf numFmtId="0" fontId="29" fillId="0" borderId="0" xfId="0" applyFont="1" applyBorder="1"/>
    <xf numFmtId="0" fontId="25" fillId="0" borderId="0" xfId="0" applyFont="1" applyBorder="1" applyAlignment="1"/>
    <xf numFmtId="0" fontId="31" fillId="0" borderId="0" xfId="0" applyFont="1" applyAlignment="1"/>
    <xf numFmtId="0" fontId="34" fillId="0" borderId="92" xfId="0" applyFont="1" applyBorder="1" applyAlignment="1">
      <alignment vertical="center" wrapText="1"/>
    </xf>
    <xf numFmtId="0" fontId="34" fillId="0" borderId="11"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51" xfId="0" applyFont="1" applyBorder="1" applyAlignment="1">
      <alignment horizontal="center" vertical="center" wrapText="1"/>
    </xf>
    <xf numFmtId="0" fontId="32" fillId="0" borderId="0" xfId="0" applyFont="1"/>
    <xf numFmtId="0" fontId="34" fillId="0" borderId="43" xfId="0" applyFont="1" applyBorder="1" applyAlignment="1">
      <alignment vertical="top"/>
    </xf>
    <xf numFmtId="0" fontId="32" fillId="0" borderId="31" xfId="0" applyFont="1" applyBorder="1"/>
    <xf numFmtId="0" fontId="32" fillId="0" borderId="93" xfId="0" applyFont="1" applyBorder="1"/>
    <xf numFmtId="0" fontId="24" fillId="0" borderId="0" xfId="0" applyFont="1"/>
    <xf numFmtId="0" fontId="32" fillId="0" borderId="48" xfId="0" applyFont="1" applyBorder="1" applyAlignment="1">
      <alignment vertical="top"/>
    </xf>
    <xf numFmtId="0" fontId="32" fillId="0" borderId="0" xfId="0" applyFont="1" applyBorder="1"/>
    <xf numFmtId="3" fontId="32" fillId="0" borderId="13" xfId="0" applyNumberFormat="1" applyFont="1" applyBorder="1"/>
    <xf numFmtId="0" fontId="32" fillId="0" borderId="50" xfId="0" applyFont="1" applyBorder="1"/>
    <xf numFmtId="3" fontId="34" fillId="0" borderId="28" xfId="0" applyNumberFormat="1" applyFont="1" applyBorder="1"/>
    <xf numFmtId="3" fontId="34" fillId="0" borderId="47" xfId="0" applyNumberFormat="1" applyFont="1" applyBorder="1"/>
    <xf numFmtId="0" fontId="34" fillId="0" borderId="48" xfId="0" applyFont="1" applyBorder="1" applyAlignment="1">
      <alignment vertical="top"/>
    </xf>
    <xf numFmtId="3" fontId="32" fillId="0" borderId="31" xfId="0" applyNumberFormat="1" applyFont="1" applyBorder="1"/>
    <xf numFmtId="3" fontId="32" fillId="0" borderId="93" xfId="0" applyNumberFormat="1" applyFont="1" applyBorder="1"/>
    <xf numFmtId="3" fontId="32" fillId="0" borderId="13" xfId="0" applyNumberFormat="1" applyFont="1" applyBorder="1" applyAlignment="1">
      <alignment vertical="top"/>
    </xf>
    <xf numFmtId="3" fontId="32" fillId="0" borderId="16" xfId="0" applyNumberFormat="1" applyFont="1" applyBorder="1" applyAlignment="1">
      <alignment vertical="top"/>
    </xf>
    <xf numFmtId="0" fontId="32" fillId="0" borderId="54" xfId="0" applyFont="1" applyBorder="1" applyAlignment="1">
      <alignment vertical="top"/>
    </xf>
    <xf numFmtId="3" fontId="34" fillId="0" borderId="31" xfId="0" applyNumberFormat="1" applyFont="1" applyBorder="1"/>
    <xf numFmtId="3" fontId="34" fillId="0" borderId="93" xfId="0" applyNumberFormat="1" applyFont="1" applyBorder="1"/>
    <xf numFmtId="3" fontId="34" fillId="0" borderId="95" xfId="0" applyNumberFormat="1" applyFont="1" applyBorder="1"/>
    <xf numFmtId="3" fontId="32" fillId="0" borderId="96" xfId="0" applyNumberFormat="1" applyFont="1" applyBorder="1"/>
    <xf numFmtId="3" fontId="32" fillId="0" borderId="97" xfId="0" applyNumberFormat="1" applyFont="1" applyBorder="1" applyAlignment="1">
      <alignment vertical="top"/>
    </xf>
    <xf numFmtId="3" fontId="32" fillId="0" borderId="98" xfId="0" applyNumberFormat="1" applyFont="1" applyBorder="1" applyAlignment="1">
      <alignment vertical="top"/>
    </xf>
    <xf numFmtId="0" fontId="32" fillId="0" borderId="99" xfId="0" applyFont="1" applyBorder="1" applyAlignment="1">
      <alignment vertical="top"/>
    </xf>
    <xf numFmtId="3" fontId="34" fillId="0" borderId="100" xfId="0" applyNumberFormat="1" applyFont="1" applyBorder="1"/>
    <xf numFmtId="0" fontId="31" fillId="0" borderId="0" xfId="0" applyFont="1"/>
    <xf numFmtId="0" fontId="35" fillId="0" borderId="0" xfId="0" applyFont="1" applyBorder="1"/>
    <xf numFmtId="0" fontId="24" fillId="0" borderId="0" xfId="0" applyFont="1" applyBorder="1"/>
    <xf numFmtId="0" fontId="8" fillId="0" borderId="0" xfId="0" applyFont="1" applyBorder="1"/>
    <xf numFmtId="3" fontId="21" fillId="0" borderId="59" xfId="0" applyNumberFormat="1" applyFont="1" applyBorder="1" applyAlignment="1">
      <alignment horizontal="center" vertical="top" wrapText="1"/>
    </xf>
    <xf numFmtId="3" fontId="21" fillId="0" borderId="60" xfId="0" applyNumberFormat="1" applyFont="1" applyBorder="1" applyAlignment="1">
      <alignment horizontal="center" vertical="top" wrapText="1"/>
    </xf>
    <xf numFmtId="165" fontId="21" fillId="0" borderId="61" xfId="1" applyNumberFormat="1" applyFont="1" applyBorder="1" applyAlignment="1">
      <alignment horizontal="center" vertical="top" wrapText="1"/>
    </xf>
    <xf numFmtId="38" fontId="8" fillId="0" borderId="14" xfId="0" applyNumberFormat="1" applyFont="1" applyBorder="1"/>
    <xf numFmtId="38" fontId="8" fillId="0" borderId="1" xfId="0" applyNumberFormat="1" applyFont="1" applyBorder="1"/>
    <xf numFmtId="166" fontId="9" fillId="0" borderId="94" xfId="0" applyNumberFormat="1" applyFont="1" applyBorder="1"/>
    <xf numFmtId="166" fontId="8" fillId="0" borderId="94" xfId="0" applyNumberFormat="1" applyFont="1" applyBorder="1" applyAlignment="1">
      <alignment horizontal="right"/>
    </xf>
    <xf numFmtId="0" fontId="8" fillId="0" borderId="0" xfId="0" applyFont="1" applyBorder="1"/>
    <xf numFmtId="0" fontId="9" fillId="0" borderId="43" xfId="0" applyFont="1" applyBorder="1"/>
    <xf numFmtId="0" fontId="8" fillId="0" borderId="102" xfId="0" applyFont="1" applyBorder="1"/>
    <xf numFmtId="0" fontId="9" fillId="0" borderId="6" xfId="0" applyFont="1" applyBorder="1"/>
    <xf numFmtId="0" fontId="37" fillId="0" borderId="0" xfId="0" applyFont="1"/>
    <xf numFmtId="0" fontId="38" fillId="0" borderId="0" xfId="2" applyFont="1"/>
    <xf numFmtId="0" fontId="37" fillId="0" borderId="0" xfId="0" applyFont="1" applyBorder="1"/>
    <xf numFmtId="0" fontId="39" fillId="0" borderId="0" xfId="0" applyFont="1" applyAlignment="1">
      <alignment vertical="top"/>
    </xf>
    <xf numFmtId="0" fontId="37" fillId="0" borderId="0" xfId="0" applyFont="1" applyFill="1"/>
    <xf numFmtId="0" fontId="37" fillId="0" borderId="5" xfId="0" applyFont="1" applyBorder="1"/>
    <xf numFmtId="0" fontId="37" fillId="0" borderId="4" xfId="0" applyFont="1" applyBorder="1"/>
    <xf numFmtId="0" fontId="37" fillId="0" borderId="1" xfId="0" applyFont="1" applyBorder="1"/>
    <xf numFmtId="0" fontId="37" fillId="0" borderId="22" xfId="0" applyFont="1" applyBorder="1" applyAlignment="1">
      <alignment horizontal="center"/>
    </xf>
    <xf numFmtId="0" fontId="37" fillId="0" borderId="23" xfId="0" applyFont="1" applyBorder="1" applyAlignment="1">
      <alignment horizontal="center"/>
    </xf>
    <xf numFmtId="0" fontId="37" fillId="0" borderId="3" xfId="0" applyFont="1" applyBorder="1" applyAlignment="1">
      <alignment horizontal="center"/>
    </xf>
    <xf numFmtId="0" fontId="37" fillId="0" borderId="24" xfId="0" applyFont="1" applyBorder="1" applyAlignment="1">
      <alignment horizontal="center"/>
    </xf>
    <xf numFmtId="0" fontId="37" fillId="0" borderId="2" xfId="0" applyFont="1" applyBorder="1" applyAlignment="1">
      <alignment horizontal="center"/>
    </xf>
    <xf numFmtId="168" fontId="37" fillId="0" borderId="15" xfId="0" applyNumberFormat="1" applyFont="1" applyBorder="1"/>
    <xf numFmtId="168" fontId="37" fillId="0" borderId="13" xfId="0" applyNumberFormat="1" applyFont="1" applyBorder="1"/>
    <xf numFmtId="168" fontId="37" fillId="0" borderId="14" xfId="0" applyNumberFormat="1" applyFont="1" applyBorder="1"/>
    <xf numFmtId="168" fontId="37" fillId="0" borderId="12" xfId="0" applyNumberFormat="1" applyFont="1" applyBorder="1"/>
    <xf numFmtId="168" fontId="37" fillId="0" borderId="0" xfId="0" applyNumberFormat="1" applyFont="1" applyBorder="1"/>
    <xf numFmtId="167" fontId="37" fillId="0" borderId="14" xfId="0" applyNumberFormat="1" applyFont="1" applyBorder="1"/>
    <xf numFmtId="167" fontId="37" fillId="0" borderId="0" xfId="0" applyNumberFormat="1" applyFont="1" applyBorder="1"/>
    <xf numFmtId="168" fontId="37" fillId="0" borderId="16" xfId="0" applyNumberFormat="1" applyFont="1" applyBorder="1"/>
    <xf numFmtId="168" fontId="37" fillId="0" borderId="94" xfId="0" applyNumberFormat="1" applyFont="1" applyBorder="1"/>
    <xf numFmtId="168" fontId="37" fillId="0" borderId="45" xfId="0" applyNumberFormat="1" applyFont="1" applyBorder="1"/>
    <xf numFmtId="168" fontId="37" fillId="0" borderId="28" xfId="0" applyNumberFormat="1" applyFont="1" applyBorder="1"/>
    <xf numFmtId="168" fontId="37" fillId="0" borderId="46" xfId="0" applyNumberFormat="1" applyFont="1" applyBorder="1"/>
    <xf numFmtId="168" fontId="37" fillId="0" borderId="42" xfId="0" applyNumberFormat="1" applyFont="1" applyBorder="1"/>
    <xf numFmtId="168" fontId="37" fillId="0" borderId="46" xfId="1" applyNumberFormat="1" applyFont="1" applyBorder="1"/>
    <xf numFmtId="168" fontId="37" fillId="0" borderId="19" xfId="0" applyNumberFormat="1" applyFont="1" applyBorder="1"/>
    <xf numFmtId="168" fontId="37" fillId="0" borderId="18" xfId="0" applyNumberFormat="1" applyFont="1" applyBorder="1"/>
    <xf numFmtId="168" fontId="37" fillId="0" borderId="3" xfId="0" applyNumberFormat="1" applyFont="1" applyBorder="1"/>
    <xf numFmtId="168" fontId="37" fillId="0" borderId="17" xfId="0" applyNumberFormat="1" applyFont="1" applyBorder="1"/>
    <xf numFmtId="168" fontId="37" fillId="0" borderId="2" xfId="0" applyNumberFormat="1" applyFont="1" applyBorder="1"/>
    <xf numFmtId="168" fontId="37" fillId="0" borderId="37" xfId="0" applyNumberFormat="1" applyFont="1" applyBorder="1"/>
    <xf numFmtId="168" fontId="37" fillId="0" borderId="34" xfId="0" applyNumberFormat="1" applyFont="1" applyBorder="1"/>
    <xf numFmtId="0" fontId="32" fillId="0" borderId="0" xfId="12" applyFont="1"/>
    <xf numFmtId="0" fontId="31" fillId="0" borderId="0" xfId="12" applyFont="1"/>
    <xf numFmtId="0" fontId="31" fillId="0" borderId="0" xfId="12" applyFont="1" applyAlignment="1"/>
    <xf numFmtId="0" fontId="34" fillId="0" borderId="0" xfId="12" applyFont="1" applyAlignment="1"/>
    <xf numFmtId="0" fontId="32" fillId="0" borderId="0" xfId="12" applyFont="1" applyAlignment="1"/>
    <xf numFmtId="0" fontId="32" fillId="0" borderId="83" xfId="12" applyFont="1" applyBorder="1" applyAlignment="1">
      <alignment horizontal="center" vertical="top" wrapText="1"/>
    </xf>
    <xf numFmtId="0" fontId="32" fillId="0" borderId="84" xfId="12" applyFont="1" applyBorder="1" applyAlignment="1">
      <alignment horizontal="center" vertical="top" wrapText="1"/>
    </xf>
    <xf numFmtId="3" fontId="34" fillId="0" borderId="83" xfId="12" applyNumberFormat="1" applyFont="1" applyBorder="1"/>
    <xf numFmtId="3" fontId="34" fillId="0" borderId="84" xfId="12" applyNumberFormat="1" applyFont="1" applyBorder="1"/>
    <xf numFmtId="0" fontId="32" fillId="0" borderId="54" xfId="12" applyFont="1" applyBorder="1" applyAlignment="1">
      <alignment horizontal="left"/>
    </xf>
    <xf numFmtId="164" fontId="32" fillId="0" borderId="30" xfId="13" applyNumberFormat="1" applyFont="1" applyBorder="1" applyAlignment="1">
      <alignment horizontal="left"/>
    </xf>
    <xf numFmtId="164" fontId="32" fillId="0" borderId="30" xfId="13" applyNumberFormat="1" applyFont="1" applyBorder="1" applyAlignment="1">
      <alignment horizontal="center"/>
    </xf>
    <xf numFmtId="165" fontId="32" fillId="0" borderId="41" xfId="14" applyNumberFormat="1" applyFont="1" applyBorder="1" applyAlignment="1">
      <alignment horizontal="left"/>
    </xf>
    <xf numFmtId="3" fontId="32" fillId="0" borderId="31" xfId="12" applyNumberFormat="1" applyFont="1" applyBorder="1"/>
    <xf numFmtId="3" fontId="32" fillId="0" borderId="55" xfId="12" applyNumberFormat="1" applyFont="1" applyBorder="1"/>
    <xf numFmtId="0" fontId="32" fillId="0" borderId="48" xfId="12" applyFont="1" applyBorder="1" applyAlignment="1">
      <alignment horizontal="left"/>
    </xf>
    <xf numFmtId="164" fontId="32" fillId="0" borderId="0" xfId="13" applyNumberFormat="1" applyFont="1" applyBorder="1" applyAlignment="1">
      <alignment horizontal="left"/>
    </xf>
    <xf numFmtId="164" fontId="32" fillId="0" borderId="0" xfId="13" applyNumberFormat="1" applyFont="1" applyBorder="1" applyAlignment="1">
      <alignment horizontal="center"/>
    </xf>
    <xf numFmtId="165" fontId="32" fillId="0" borderId="94" xfId="14" applyNumberFormat="1" applyFont="1" applyBorder="1" applyAlignment="1">
      <alignment horizontal="left"/>
    </xf>
    <xf numFmtId="3" fontId="32" fillId="0" borderId="13" xfId="12" applyNumberFormat="1" applyFont="1" applyBorder="1"/>
    <xf numFmtId="3" fontId="32" fillId="0" borderId="14" xfId="12" applyNumberFormat="1" applyFont="1" applyBorder="1"/>
    <xf numFmtId="3" fontId="34" fillId="0" borderId="13" xfId="13" applyNumberFormat="1" applyFont="1" applyBorder="1"/>
    <xf numFmtId="3" fontId="32" fillId="0" borderId="16" xfId="12" applyNumberFormat="1" applyFont="1" applyBorder="1"/>
    <xf numFmtId="3" fontId="32" fillId="0" borderId="103" xfId="12" applyNumberFormat="1" applyFont="1" applyBorder="1"/>
    <xf numFmtId="3" fontId="32" fillId="0" borderId="104" xfId="12" applyNumberFormat="1" applyFont="1" applyBorder="1"/>
    <xf numFmtId="3" fontId="34" fillId="0" borderId="31" xfId="13" applyNumberFormat="1" applyFont="1" applyBorder="1"/>
    <xf numFmtId="3" fontId="32" fillId="0" borderId="93" xfId="12" applyNumberFormat="1" applyFont="1" applyBorder="1"/>
    <xf numFmtId="0" fontId="32" fillId="0" borderId="50" xfId="12" applyFont="1" applyBorder="1" applyAlignment="1">
      <alignment horizontal="left"/>
    </xf>
    <xf numFmtId="164" fontId="32" fillId="0" borderId="39" xfId="13" applyNumberFormat="1" applyFont="1" applyBorder="1" applyAlignment="1">
      <alignment horizontal="left"/>
    </xf>
    <xf numFmtId="164" fontId="32" fillId="0" borderId="39" xfId="13" applyNumberFormat="1" applyFont="1" applyBorder="1" applyAlignment="1">
      <alignment horizontal="center"/>
    </xf>
    <xf numFmtId="165" fontId="32" fillId="0" borderId="42" xfId="14" applyNumberFormat="1" applyFont="1" applyBorder="1" applyAlignment="1">
      <alignment horizontal="left"/>
    </xf>
    <xf numFmtId="3" fontId="32" fillId="0" borderId="28" xfId="12" applyNumberFormat="1" applyFont="1" applyBorder="1"/>
    <xf numFmtId="3" fontId="32" fillId="0" borderId="58" xfId="12" applyNumberFormat="1" applyFont="1" applyBorder="1"/>
    <xf numFmtId="0" fontId="9" fillId="0" borderId="41" xfId="0" applyFont="1" applyBorder="1" applyAlignment="1">
      <alignment horizontal="center"/>
    </xf>
    <xf numFmtId="0" fontId="8" fillId="0" borderId="29" xfId="0" applyFont="1" applyBorder="1" applyAlignment="1">
      <alignment horizontal="center"/>
    </xf>
    <xf numFmtId="0" fontId="9" fillId="0" borderId="0" xfId="0" applyFont="1" applyBorder="1" applyAlignment="1">
      <alignment horizontal="center"/>
    </xf>
    <xf numFmtId="0" fontId="21" fillId="0" borderId="62" xfId="0" applyFont="1" applyBorder="1"/>
    <xf numFmtId="41" fontId="8" fillId="0" borderId="42" xfId="0" applyNumberFormat="1" applyFont="1" applyBorder="1" applyAlignment="1">
      <alignment horizontal="center"/>
    </xf>
    <xf numFmtId="41" fontId="9" fillId="0" borderId="0" xfId="0" applyNumberFormat="1" applyFont="1" applyBorder="1" applyAlignment="1">
      <alignment horizontal="center"/>
    </xf>
    <xf numFmtId="0" fontId="9" fillId="0" borderId="94" xfId="0" applyFont="1" applyBorder="1" applyAlignment="1">
      <alignment horizontal="center"/>
    </xf>
    <xf numFmtId="0" fontId="8" fillId="0" borderId="31" xfId="0" applyFont="1" applyBorder="1" applyAlignment="1">
      <alignment horizontal="center"/>
    </xf>
    <xf numFmtId="41" fontId="8" fillId="0" borderId="28" xfId="0" applyNumberFormat="1" applyFont="1" applyBorder="1" applyAlignment="1">
      <alignment horizontal="center"/>
    </xf>
    <xf numFmtId="166" fontId="8" fillId="0" borderId="31" xfId="0" applyNumberFormat="1" applyFont="1" applyBorder="1"/>
    <xf numFmtId="166" fontId="8" fillId="0" borderId="13" xfId="0" applyNumberFormat="1" applyFont="1" applyBorder="1"/>
    <xf numFmtId="166" fontId="8" fillId="0" borderId="13" xfId="0" applyNumberFormat="1" applyFont="1" applyBorder="1" applyAlignment="1">
      <alignment horizontal="right"/>
    </xf>
    <xf numFmtId="166" fontId="8" fillId="0" borderId="28" xfId="0" applyNumberFormat="1" applyFont="1" applyBorder="1" applyAlignment="1">
      <alignment horizontal="right"/>
    </xf>
    <xf numFmtId="166" fontId="9" fillId="0" borderId="83" xfId="0" applyNumberFormat="1" applyFont="1" applyBorder="1"/>
    <xf numFmtId="166" fontId="8" fillId="0" borderId="28" xfId="0" applyNumberFormat="1" applyFont="1" applyBorder="1"/>
    <xf numFmtId="166" fontId="8" fillId="0" borderId="83" xfId="0" applyNumberFormat="1" applyFont="1" applyBorder="1"/>
    <xf numFmtId="41" fontId="8" fillId="0" borderId="31" xfId="0" applyNumberFormat="1" applyFont="1" applyBorder="1" applyAlignment="1">
      <alignment horizontal="center"/>
    </xf>
    <xf numFmtId="41" fontId="8" fillId="0" borderId="31" xfId="0" applyNumberFormat="1" applyFont="1" applyBorder="1"/>
    <xf numFmtId="166" fontId="9" fillId="0" borderId="28" xfId="0" applyNumberFormat="1" applyFont="1" applyBorder="1"/>
    <xf numFmtId="166" fontId="9" fillId="0" borderId="13" xfId="0" applyNumberFormat="1" applyFont="1" applyBorder="1"/>
    <xf numFmtId="166" fontId="8" fillId="0" borderId="83" xfId="0" applyNumberFormat="1" applyFont="1" applyBorder="1" applyAlignment="1">
      <alignment horizontal="center"/>
    </xf>
    <xf numFmtId="0" fontId="9" fillId="0" borderId="0" xfId="0" applyFont="1" applyBorder="1" applyAlignment="1">
      <alignment horizontal="center"/>
    </xf>
    <xf numFmtId="0" fontId="21" fillId="0" borderId="0" xfId="20" applyFont="1"/>
    <xf numFmtId="0" fontId="20" fillId="0" borderId="0" xfId="20" applyFont="1"/>
    <xf numFmtId="0" fontId="24" fillId="0" borderId="0" xfId="20" applyFont="1"/>
    <xf numFmtId="0" fontId="20" fillId="0" borderId="0" xfId="20" applyFont="1" applyAlignment="1"/>
    <xf numFmtId="3" fontId="25" fillId="0" borderId="61" xfId="20" applyNumberFormat="1" applyFont="1" applyBorder="1"/>
    <xf numFmtId="3" fontId="25" fillId="0" borderId="60" xfId="20" applyNumberFormat="1" applyFont="1" applyBorder="1"/>
    <xf numFmtId="0" fontId="25" fillId="0" borderId="24" xfId="20" applyFont="1" applyBorder="1" applyAlignment="1">
      <alignment horizontal="center"/>
    </xf>
    <xf numFmtId="0" fontId="21" fillId="0" borderId="53" xfId="20" applyFont="1" applyBorder="1"/>
    <xf numFmtId="3" fontId="25" fillId="0" borderId="108" xfId="20" applyNumberFormat="1" applyFont="1" applyBorder="1"/>
    <xf numFmtId="3" fontId="25" fillId="0" borderId="109" xfId="20" applyNumberFormat="1" applyFont="1" applyBorder="1"/>
    <xf numFmtId="0" fontId="25" fillId="0" borderId="110" xfId="20" applyFont="1" applyBorder="1" applyAlignment="1">
      <alignment horizontal="right"/>
    </xf>
    <xf numFmtId="0" fontId="21" fillId="0" borderId="111" xfId="20" applyFont="1" applyBorder="1"/>
    <xf numFmtId="3" fontId="21" fillId="0" borderId="96" xfId="20" applyNumberFormat="1" applyFont="1" applyBorder="1"/>
    <xf numFmtId="3" fontId="21" fillId="0" borderId="95" xfId="20" applyNumberFormat="1" applyFont="1" applyBorder="1"/>
    <xf numFmtId="0" fontId="21" fillId="0" borderId="112" xfId="20" applyFont="1" applyBorder="1" applyAlignment="1">
      <alignment vertical="top" wrapText="1"/>
    </xf>
    <xf numFmtId="0" fontId="21" fillId="0" borderId="113" xfId="20" applyFont="1" applyBorder="1" applyAlignment="1">
      <alignment vertical="top"/>
    </xf>
    <xf numFmtId="0" fontId="21" fillId="0" borderId="114" xfId="20" applyFont="1" applyBorder="1"/>
    <xf numFmtId="0" fontId="21" fillId="0" borderId="115" xfId="20" applyFont="1" applyBorder="1"/>
    <xf numFmtId="0" fontId="25" fillId="0" borderId="116" xfId="20" applyFont="1" applyBorder="1" applyAlignment="1">
      <alignment vertical="top" wrapText="1"/>
    </xf>
    <xf numFmtId="0" fontId="25" fillId="0" borderId="117" xfId="20" applyFont="1" applyBorder="1" applyAlignment="1">
      <alignment vertical="top"/>
    </xf>
    <xf numFmtId="0" fontId="25" fillId="0" borderId="110" xfId="20" applyFont="1" applyBorder="1" applyAlignment="1">
      <alignment horizontal="right" vertical="top"/>
    </xf>
    <xf numFmtId="0" fontId="21" fillId="0" borderId="112" xfId="20" applyFont="1" applyBorder="1" applyAlignment="1">
      <alignment vertical="top"/>
    </xf>
    <xf numFmtId="3" fontId="21" fillId="0" borderId="95" xfId="21" applyNumberFormat="1" applyFont="1" applyBorder="1"/>
    <xf numFmtId="0" fontId="21" fillId="0" borderId="84" xfId="20" applyFont="1" applyBorder="1" applyAlignment="1">
      <alignment horizontal="center" vertical="top" wrapText="1"/>
    </xf>
    <xf numFmtId="0" fontId="21" fillId="0" borderId="83" xfId="20" applyFont="1" applyBorder="1" applyAlignment="1">
      <alignment horizontal="center" vertical="top" wrapText="1"/>
    </xf>
    <xf numFmtId="0" fontId="24" fillId="0" borderId="0" xfId="20" applyFont="1" applyAlignment="1"/>
    <xf numFmtId="0" fontId="21" fillId="0" borderId="0" xfId="20" applyFont="1" applyAlignment="1"/>
    <xf numFmtId="0" fontId="23" fillId="0" borderId="0" xfId="20" applyFont="1" applyAlignment="1"/>
    <xf numFmtId="0" fontId="19" fillId="0" borderId="0" xfId="20" applyFont="1" applyAlignment="1"/>
    <xf numFmtId="0" fontId="8" fillId="0" borderId="40" xfId="0" applyFont="1" applyBorder="1" applyAlignment="1">
      <alignment horizontal="center"/>
    </xf>
    <xf numFmtId="0" fontId="21" fillId="0" borderId="0" xfId="22" applyFont="1"/>
    <xf numFmtId="0" fontId="20" fillId="0" borderId="0" xfId="22" applyFont="1"/>
    <xf numFmtId="0" fontId="20" fillId="0" borderId="0" xfId="22" applyFont="1" applyAlignment="1"/>
    <xf numFmtId="0" fontId="25" fillId="0" borderId="0" xfId="22" applyFont="1"/>
    <xf numFmtId="0" fontId="24" fillId="0" borderId="0" xfId="22" applyFont="1" applyAlignment="1">
      <alignment horizontal="left" wrapText="1"/>
    </xf>
    <xf numFmtId="0" fontId="24" fillId="0" borderId="0" xfId="22" applyFont="1" applyFill="1" applyAlignment="1">
      <alignment horizontal="left" wrapText="1"/>
    </xf>
    <xf numFmtId="0" fontId="24" fillId="0" borderId="0" xfId="22" applyFont="1" applyFill="1" applyAlignment="1">
      <alignment horizontal="left"/>
    </xf>
    <xf numFmtId="0" fontId="21" fillId="0" borderId="0" xfId="22" applyFont="1" applyFill="1"/>
    <xf numFmtId="3" fontId="21" fillId="0" borderId="61" xfId="22" applyNumberFormat="1" applyFont="1" applyBorder="1"/>
    <xf numFmtId="3" fontId="21" fillId="0" borderId="60" xfId="22" applyNumberFormat="1" applyFont="1" applyBorder="1"/>
    <xf numFmtId="0" fontId="21" fillId="0" borderId="59" xfId="22" applyFont="1" applyBorder="1" applyAlignment="1">
      <alignment horizontal="left" indent="3"/>
    </xf>
    <xf numFmtId="3" fontId="21" fillId="0" borderId="98" xfId="22" applyNumberFormat="1" applyFont="1" applyBorder="1"/>
    <xf numFmtId="3" fontId="21" fillId="0" borderId="97" xfId="22" applyNumberFormat="1" applyFont="1" applyBorder="1"/>
    <xf numFmtId="0" fontId="21" fillId="0" borderId="118" xfId="22" applyFont="1" applyBorder="1" applyAlignment="1">
      <alignment horizontal="left" indent="5"/>
    </xf>
    <xf numFmtId="3" fontId="21" fillId="0" borderId="96" xfId="22" applyNumberFormat="1" applyFont="1" applyBorder="1"/>
    <xf numFmtId="3" fontId="21" fillId="0" borderId="95" xfId="22" applyNumberFormat="1" applyFont="1" applyBorder="1"/>
    <xf numFmtId="0" fontId="21" fillId="0" borderId="119" xfId="22" applyFont="1" applyBorder="1" applyAlignment="1">
      <alignment horizontal="left" indent="5"/>
    </xf>
    <xf numFmtId="0" fontId="21" fillId="0" borderId="119" xfId="22" applyFont="1" applyBorder="1" applyAlignment="1">
      <alignment horizontal="left" indent="3"/>
    </xf>
    <xf numFmtId="3" fontId="21" fillId="0" borderId="120" xfId="22" applyNumberFormat="1" applyFont="1" applyBorder="1"/>
    <xf numFmtId="3" fontId="21" fillId="0" borderId="121" xfId="22" applyNumberFormat="1" applyFont="1" applyBorder="1"/>
    <xf numFmtId="0" fontId="21" fillId="0" borderId="122" xfId="22" applyFont="1" applyBorder="1" applyAlignment="1">
      <alignment horizontal="left" indent="3"/>
    </xf>
    <xf numFmtId="3" fontId="21" fillId="0" borderId="108" xfId="22" applyNumberFormat="1" applyFont="1" applyBorder="1"/>
    <xf numFmtId="3" fontId="21" fillId="0" borderId="109" xfId="22" applyNumberFormat="1" applyFont="1" applyBorder="1"/>
    <xf numFmtId="0" fontId="21" fillId="0" borderId="45" xfId="22" applyFont="1" applyBorder="1" applyAlignment="1">
      <alignment horizontal="left" indent="1"/>
    </xf>
    <xf numFmtId="3" fontId="21" fillId="0" borderId="114" xfId="22" applyNumberFormat="1" applyFont="1" applyBorder="1"/>
    <xf numFmtId="3" fontId="21" fillId="0" borderId="115" xfId="22" applyNumberFormat="1" applyFont="1" applyBorder="1"/>
    <xf numFmtId="0" fontId="21" fillId="0" borderId="123" xfId="22" applyFont="1" applyBorder="1" applyAlignment="1">
      <alignment horizontal="left" indent="1"/>
    </xf>
    <xf numFmtId="3" fontId="25" fillId="0" borderId="84" xfId="22" applyNumberFormat="1" applyFont="1" applyBorder="1"/>
    <xf numFmtId="3" fontId="25" fillId="0" borderId="83" xfId="22" applyNumberFormat="1" applyFont="1" applyBorder="1"/>
    <xf numFmtId="0" fontId="25" fillId="0" borderId="91" xfId="22" applyFont="1" applyBorder="1" applyAlignment="1">
      <alignment horizontal="right"/>
    </xf>
    <xf numFmtId="3" fontId="21" fillId="0" borderId="47" xfId="22" applyNumberFormat="1" applyFont="1" applyBorder="1"/>
    <xf numFmtId="3" fontId="21" fillId="0" borderId="28" xfId="22" applyNumberFormat="1" applyFont="1" applyBorder="1"/>
    <xf numFmtId="0" fontId="21" fillId="0" borderId="45" xfId="22" applyFont="1" applyBorder="1" applyAlignment="1">
      <alignment horizontal="left" indent="3"/>
    </xf>
    <xf numFmtId="0" fontId="21" fillId="0" borderId="124" xfId="22" applyFont="1" applyBorder="1" applyAlignment="1">
      <alignment horizontal="left" indent="3"/>
    </xf>
    <xf numFmtId="0" fontId="21" fillId="0" borderId="84" xfId="22" applyFont="1" applyBorder="1" applyAlignment="1">
      <alignment horizontal="center" vertical="top" wrapText="1"/>
    </xf>
    <xf numFmtId="0" fontId="21" fillId="0" borderId="83" xfId="22" applyFont="1" applyBorder="1" applyAlignment="1">
      <alignment horizontal="center" vertical="top" wrapText="1"/>
    </xf>
    <xf numFmtId="0" fontId="25" fillId="0" borderId="9" xfId="22" applyFont="1" applyBorder="1" applyAlignment="1">
      <alignment horizontal="center" vertical="center" wrapText="1"/>
    </xf>
    <xf numFmtId="0" fontId="24" fillId="0" borderId="0" xfId="22" applyFont="1" applyAlignment="1"/>
    <xf numFmtId="0" fontId="24" fillId="0" borderId="92" xfId="22" applyFont="1" applyBorder="1" applyAlignment="1"/>
    <xf numFmtId="0" fontId="21" fillId="0" borderId="0" xfId="22" applyFont="1" applyAlignment="1"/>
    <xf numFmtId="0" fontId="23" fillId="0" borderId="0" xfId="22" applyFont="1" applyAlignment="1"/>
    <xf numFmtId="0" fontId="19" fillId="0" borderId="0" xfId="22" applyFont="1" applyAlignment="1"/>
    <xf numFmtId="0" fontId="21" fillId="0" borderId="0" xfId="23" applyFont="1"/>
    <xf numFmtId="0" fontId="20" fillId="0" borderId="0" xfId="23" applyFont="1"/>
    <xf numFmtId="3" fontId="21" fillId="0" borderId="96" xfId="23" applyNumberFormat="1" applyFont="1" applyBorder="1"/>
    <xf numFmtId="3" fontId="21" fillId="0" borderId="95" xfId="23" applyNumberFormat="1" applyFont="1" applyBorder="1"/>
    <xf numFmtId="0" fontId="21" fillId="0" borderId="119" xfId="23" applyFont="1" applyBorder="1" applyAlignment="1">
      <alignment horizontal="left" indent="3"/>
    </xf>
    <xf numFmtId="0" fontId="21" fillId="0" borderId="122" xfId="23" applyFont="1" applyBorder="1" applyAlignment="1">
      <alignment horizontal="left" indent="3"/>
    </xf>
    <xf numFmtId="3" fontId="21" fillId="0" borderId="114" xfId="23" applyNumberFormat="1" applyFont="1" applyBorder="1"/>
    <xf numFmtId="3" fontId="21" fillId="0" borderId="115" xfId="23" applyNumberFormat="1" applyFont="1" applyBorder="1"/>
    <xf numFmtId="0" fontId="21" fillId="0" borderId="84" xfId="23" applyFont="1" applyBorder="1" applyAlignment="1">
      <alignment horizontal="center" vertical="top" wrapText="1"/>
    </xf>
    <xf numFmtId="0" fontId="21" fillId="0" borderId="83" xfId="23" applyFont="1" applyBorder="1" applyAlignment="1">
      <alignment horizontal="center" vertical="top" wrapText="1"/>
    </xf>
    <xf numFmtId="3" fontId="21" fillId="0" borderId="108" xfId="23" applyNumberFormat="1" applyFont="1" applyBorder="1"/>
    <xf numFmtId="3" fontId="21" fillId="0" borderId="109" xfId="23" applyNumberFormat="1" applyFont="1" applyBorder="1"/>
    <xf numFmtId="0" fontId="21" fillId="0" borderId="125" xfId="23" applyFont="1" applyBorder="1" applyAlignment="1">
      <alignment horizontal="left" indent="3"/>
    </xf>
    <xf numFmtId="0" fontId="21" fillId="0" borderId="124" xfId="23" applyFont="1" applyBorder="1" applyAlignment="1">
      <alignment horizontal="left" indent="3"/>
    </xf>
    <xf numFmtId="0" fontId="24" fillId="0" borderId="0" xfId="23" applyFont="1" applyAlignment="1"/>
    <xf numFmtId="0" fontId="21" fillId="0" borderId="0" xfId="23" applyFont="1" applyAlignment="1"/>
    <xf numFmtId="0" fontId="23" fillId="0" borderId="0" xfId="23" applyFont="1" applyAlignment="1"/>
    <xf numFmtId="0" fontId="19" fillId="0" borderId="0" xfId="23" applyFont="1" applyAlignment="1"/>
    <xf numFmtId="0" fontId="20" fillId="0" borderId="0" xfId="23" applyFont="1" applyAlignment="1"/>
    <xf numFmtId="0" fontId="25" fillId="0" borderId="0" xfId="23" applyFont="1"/>
    <xf numFmtId="0" fontId="21" fillId="0" borderId="0" xfId="23" applyFont="1" applyAlignment="1">
      <alignment horizontal="left" wrapText="1"/>
    </xf>
    <xf numFmtId="3" fontId="21" fillId="0" borderId="61" xfId="23" applyNumberFormat="1" applyFont="1" applyBorder="1"/>
    <xf numFmtId="3" fontId="21" fillId="0" borderId="60" xfId="23" applyNumberFormat="1" applyFont="1" applyBorder="1"/>
    <xf numFmtId="0" fontId="21" fillId="0" borderId="59" xfId="23" applyFont="1" applyBorder="1" applyAlignment="1">
      <alignment horizontal="left" indent="3"/>
    </xf>
    <xf numFmtId="3" fontId="21" fillId="0" borderId="98" xfId="23" applyNumberFormat="1" applyFont="1" applyBorder="1"/>
    <xf numFmtId="3" fontId="21" fillId="0" borderId="97" xfId="23" applyNumberFormat="1" applyFont="1" applyBorder="1"/>
    <xf numFmtId="0" fontId="21" fillId="0" borderId="118" xfId="23" applyFont="1" applyBorder="1" applyAlignment="1">
      <alignment horizontal="left" indent="5"/>
    </xf>
    <xf numFmtId="0" fontId="21" fillId="0" borderId="119" xfId="23" applyFont="1" applyBorder="1" applyAlignment="1">
      <alignment horizontal="left" indent="5"/>
    </xf>
    <xf numFmtId="3" fontId="21" fillId="0" borderId="121" xfId="23" applyNumberFormat="1" applyFont="1" applyBorder="1"/>
    <xf numFmtId="3" fontId="21" fillId="0" borderId="120" xfId="23" applyNumberFormat="1" applyFont="1" applyBorder="1"/>
    <xf numFmtId="3" fontId="25" fillId="0" borderId="84" xfId="23" applyNumberFormat="1" applyFont="1" applyBorder="1"/>
    <xf numFmtId="3" fontId="25" fillId="0" borderId="83" xfId="23" applyNumberFormat="1" applyFont="1" applyBorder="1"/>
    <xf numFmtId="0" fontId="25" fillId="0" borderId="91" xfId="23" applyFont="1" applyBorder="1" applyAlignment="1">
      <alignment horizontal="right"/>
    </xf>
    <xf numFmtId="3" fontId="21" fillId="0" borderId="47" xfId="23" applyNumberFormat="1" applyFont="1" applyBorder="1"/>
    <xf numFmtId="3" fontId="21" fillId="0" borderId="28" xfId="23" applyNumberFormat="1" applyFont="1" applyBorder="1"/>
    <xf numFmtId="0" fontId="21" fillId="0" borderId="45" xfId="23" applyFont="1" applyBorder="1" applyAlignment="1">
      <alignment horizontal="left" indent="3"/>
    </xf>
    <xf numFmtId="0" fontId="25" fillId="0" borderId="9" xfId="23" applyFont="1" applyBorder="1" applyAlignment="1">
      <alignment horizontal="center" vertical="center" wrapText="1"/>
    </xf>
    <xf numFmtId="0" fontId="24" fillId="0" borderId="92" xfId="23" applyFont="1" applyBorder="1" applyAlignment="1"/>
    <xf numFmtId="0" fontId="25" fillId="0" borderId="106" xfId="23" applyFont="1" applyBorder="1" applyAlignment="1">
      <alignment horizontal="center"/>
    </xf>
    <xf numFmtId="0" fontId="21" fillId="0" borderId="113" xfId="23" applyFont="1" applyBorder="1" applyAlignment="1">
      <alignment horizontal="left" indent="1"/>
    </xf>
    <xf numFmtId="0" fontId="21" fillId="0" borderId="126" xfId="23" applyFont="1" applyBorder="1" applyAlignment="1">
      <alignment horizontal="left" indent="1"/>
    </xf>
    <xf numFmtId="0" fontId="21" fillId="0" borderId="113" xfId="23" applyFont="1" applyBorder="1"/>
    <xf numFmtId="0" fontId="21" fillId="0" borderId="126" xfId="23" applyFont="1" applyBorder="1"/>
    <xf numFmtId="0" fontId="21" fillId="0" borderId="127" xfId="23" applyFont="1" applyBorder="1"/>
    <xf numFmtId="3" fontId="21" fillId="0" borderId="13" xfId="23" applyNumberFormat="1" applyFont="1" applyBorder="1"/>
    <xf numFmtId="0" fontId="21" fillId="0" borderId="15" xfId="23" applyFont="1" applyBorder="1"/>
    <xf numFmtId="3" fontId="21" fillId="0" borderId="31" xfId="23" applyNumberFormat="1" applyFont="1" applyBorder="1"/>
    <xf numFmtId="0" fontId="21" fillId="0" borderId="123" xfId="23" applyFont="1" applyBorder="1"/>
    <xf numFmtId="0" fontId="21" fillId="0" borderId="0" xfId="24" applyFont="1"/>
    <xf numFmtId="0" fontId="20" fillId="0" borderId="0" xfId="24" applyFont="1"/>
    <xf numFmtId="0" fontId="25" fillId="0" borderId="0" xfId="24" applyFont="1" applyBorder="1"/>
    <xf numFmtId="0" fontId="20" fillId="0" borderId="0" xfId="24" applyFont="1" applyAlignment="1"/>
    <xf numFmtId="3" fontId="25" fillId="0" borderId="83" xfId="24" applyNumberFormat="1" applyFont="1" applyBorder="1"/>
    <xf numFmtId="0" fontId="25" fillId="0" borderId="83" xfId="24" applyFont="1" applyBorder="1" applyAlignment="1">
      <alignment horizontal="right" indent="1"/>
    </xf>
    <xf numFmtId="3" fontId="21" fillId="0" borderId="13" xfId="24" applyNumberFormat="1" applyFont="1" applyBorder="1"/>
    <xf numFmtId="0" fontId="21" fillId="0" borderId="13" xfId="24" applyFont="1" applyBorder="1" applyAlignment="1">
      <alignment horizontal="left" indent="1"/>
    </xf>
    <xf numFmtId="3" fontId="21" fillId="0" borderId="121" xfId="24" applyNumberFormat="1" applyFont="1" applyBorder="1"/>
    <xf numFmtId="0" fontId="21" fillId="0" borderId="121" xfId="24" applyFont="1" applyBorder="1" applyAlignment="1">
      <alignment horizontal="left" indent="1"/>
    </xf>
    <xf numFmtId="3" fontId="21" fillId="0" borderId="109" xfId="24" applyNumberFormat="1" applyFont="1" applyBorder="1"/>
    <xf numFmtId="0" fontId="21" fillId="0" borderId="109" xfId="24" applyFont="1" applyBorder="1" applyAlignment="1">
      <alignment horizontal="left" indent="1"/>
    </xf>
    <xf numFmtId="0" fontId="21" fillId="0" borderId="121" xfId="24" applyFont="1" applyBorder="1" applyAlignment="1">
      <alignment horizontal="left" indent="3"/>
    </xf>
    <xf numFmtId="3" fontId="21" fillId="0" borderId="115" xfId="24" applyNumberFormat="1" applyFont="1" applyBorder="1"/>
    <xf numFmtId="0" fontId="21" fillId="0" borderId="115" xfId="24" applyFont="1" applyBorder="1" applyAlignment="1">
      <alignment horizontal="left" indent="1"/>
    </xf>
    <xf numFmtId="3" fontId="21" fillId="0" borderId="28" xfId="24" applyNumberFormat="1" applyFont="1" applyBorder="1"/>
    <xf numFmtId="0" fontId="21" fillId="0" borderId="28" xfId="24" applyFont="1" applyBorder="1" applyAlignment="1">
      <alignment horizontal="left" indent="1"/>
    </xf>
    <xf numFmtId="3" fontId="21" fillId="0" borderId="97" xfId="24" applyNumberFormat="1" applyFont="1" applyBorder="1"/>
    <xf numFmtId="0" fontId="21" fillId="0" borderId="97" xfId="24" applyFont="1" applyBorder="1" applyAlignment="1">
      <alignment horizontal="left" indent="1"/>
    </xf>
    <xf numFmtId="0" fontId="21" fillId="0" borderId="83" xfId="24" applyFont="1" applyBorder="1" applyAlignment="1">
      <alignment horizontal="center" vertical="top" wrapText="1"/>
    </xf>
    <xf numFmtId="0" fontId="21" fillId="0" borderId="0" xfId="24" applyFont="1" applyBorder="1"/>
    <xf numFmtId="0" fontId="25" fillId="0" borderId="0" xfId="24" applyFont="1" applyBorder="1" applyAlignment="1">
      <alignment horizontal="right" indent="1"/>
    </xf>
    <xf numFmtId="0" fontId="21" fillId="0" borderId="0" xfId="24" applyFont="1" applyBorder="1" applyAlignment="1">
      <alignment horizontal="center" vertical="top" wrapText="1"/>
    </xf>
    <xf numFmtId="0" fontId="25" fillId="0" borderId="0" xfId="24" applyFont="1" applyBorder="1" applyAlignment="1">
      <alignment horizontal="left" vertical="center" wrapText="1"/>
    </xf>
    <xf numFmtId="0" fontId="25" fillId="0" borderId="39" xfId="24" applyFont="1" applyBorder="1"/>
    <xf numFmtId="3" fontId="25" fillId="0" borderId="0" xfId="24" applyNumberFormat="1" applyFont="1" applyBorder="1"/>
    <xf numFmtId="0" fontId="24" fillId="0" borderId="0" xfId="24" applyFont="1" applyAlignment="1"/>
    <xf numFmtId="0" fontId="21" fillId="0" borderId="0" xfId="24" applyFont="1" applyAlignment="1"/>
    <xf numFmtId="0" fontId="23" fillId="0" borderId="0" xfId="24" applyFont="1" applyAlignment="1"/>
    <xf numFmtId="0" fontId="19" fillId="0" borderId="0" xfId="24" applyFont="1" applyAlignment="1"/>
    <xf numFmtId="0" fontId="25" fillId="0" borderId="94" xfId="24" applyFont="1" applyBorder="1" applyAlignment="1">
      <alignment horizontal="center" vertical="center" wrapText="1"/>
    </xf>
    <xf numFmtId="0" fontId="19" fillId="0" borderId="0" xfId="24" applyFont="1" applyAlignment="1">
      <alignment horizontal="center"/>
    </xf>
    <xf numFmtId="0" fontId="23" fillId="0" borderId="0" xfId="24" applyFont="1" applyAlignment="1">
      <alignment horizontal="center"/>
    </xf>
    <xf numFmtId="0" fontId="21" fillId="0" borderId="0" xfId="24" applyFont="1" applyAlignment="1">
      <alignment horizontal="center"/>
    </xf>
    <xf numFmtId="0" fontId="24" fillId="0" borderId="0" xfId="24" applyFont="1" applyAlignment="1">
      <alignment horizontal="center"/>
    </xf>
    <xf numFmtId="0" fontId="25" fillId="0" borderId="31" xfId="24" applyFont="1" applyBorder="1" applyAlignment="1">
      <alignment horizontal="center" vertical="center"/>
    </xf>
    <xf numFmtId="0" fontId="25" fillId="0" borderId="13" xfId="24" applyFont="1" applyBorder="1" applyAlignment="1">
      <alignment horizontal="center" vertical="center"/>
    </xf>
    <xf numFmtId="0" fontId="25" fillId="0" borderId="28" xfId="24" applyFont="1" applyBorder="1" applyAlignment="1">
      <alignment horizontal="center" vertical="center"/>
    </xf>
    <xf numFmtId="0" fontId="25" fillId="0" borderId="40" xfId="24" applyFont="1" applyBorder="1" applyAlignment="1">
      <alignment horizontal="center" vertical="center" wrapText="1"/>
    </xf>
    <xf numFmtId="0" fontId="25" fillId="0" borderId="0" xfId="24" applyFont="1" applyBorder="1" applyAlignment="1">
      <alignment horizontal="center" vertical="center" wrapText="1"/>
    </xf>
    <xf numFmtId="3" fontId="34" fillId="0" borderId="103" xfId="12" applyNumberFormat="1" applyFont="1" applyBorder="1"/>
    <xf numFmtId="0" fontId="42" fillId="0" borderId="0" xfId="25" applyFont="1" applyAlignment="1"/>
    <xf numFmtId="0" fontId="19" fillId="0" borderId="0" xfId="25" applyFont="1" applyAlignment="1"/>
    <xf numFmtId="0" fontId="1" fillId="0" borderId="0" xfId="25" applyFont="1"/>
    <xf numFmtId="0" fontId="23" fillId="0" borderId="0" xfId="25" applyFont="1" applyAlignment="1"/>
    <xf numFmtId="0" fontId="1" fillId="0" borderId="0" xfId="25" applyFont="1" applyAlignment="1"/>
    <xf numFmtId="0" fontId="24" fillId="0" borderId="0" xfId="25" applyFont="1" applyAlignment="1"/>
    <xf numFmtId="0" fontId="25" fillId="0" borderId="0" xfId="25" applyFont="1" applyBorder="1" applyAlignment="1">
      <alignment horizontal="center" vertical="center" wrapText="1"/>
    </xf>
    <xf numFmtId="0" fontId="25" fillId="0" borderId="0" xfId="25" applyFont="1" applyBorder="1" applyAlignment="1">
      <alignment vertical="center" wrapText="1"/>
    </xf>
    <xf numFmtId="0" fontId="1" fillId="0" borderId="83" xfId="25" applyFont="1" applyBorder="1" applyAlignment="1">
      <alignment horizontal="center" vertical="top" wrapText="1"/>
    </xf>
    <xf numFmtId="0" fontId="1" fillId="0" borderId="84" xfId="25" applyFont="1" applyBorder="1" applyAlignment="1">
      <alignment horizontal="center" vertical="top" wrapText="1"/>
    </xf>
    <xf numFmtId="0" fontId="1" fillId="0" borderId="0" xfId="25" applyFont="1" applyBorder="1" applyAlignment="1">
      <alignment horizontal="center" vertical="top" wrapText="1"/>
    </xf>
    <xf numFmtId="3" fontId="1" fillId="0" borderId="115" xfId="25" applyNumberFormat="1" applyFont="1" applyBorder="1"/>
    <xf numFmtId="3" fontId="1" fillId="0" borderId="114" xfId="25" applyNumberFormat="1" applyFont="1" applyBorder="1"/>
    <xf numFmtId="0" fontId="1" fillId="0" borderId="0" xfId="25" applyFont="1" applyBorder="1"/>
    <xf numFmtId="3" fontId="1" fillId="0" borderId="95" xfId="25" applyNumberFormat="1" applyFont="1" applyBorder="1"/>
    <xf numFmtId="3" fontId="1" fillId="0" borderId="96" xfId="25" applyNumberFormat="1" applyFont="1" applyBorder="1"/>
    <xf numFmtId="3" fontId="1" fillId="0" borderId="109" xfId="25" applyNumberFormat="1" applyFont="1" applyBorder="1"/>
    <xf numFmtId="3" fontId="1" fillId="0" borderId="108" xfId="25" applyNumberFormat="1" applyFont="1" applyBorder="1"/>
    <xf numFmtId="0" fontId="25" fillId="0" borderId="59" xfId="25" applyFont="1" applyBorder="1" applyAlignment="1">
      <alignment horizontal="right"/>
    </xf>
    <xf numFmtId="0" fontId="25" fillId="0" borderId="24" xfId="25" applyFont="1" applyBorder="1" applyAlignment="1">
      <alignment horizontal="right"/>
    </xf>
    <xf numFmtId="3" fontId="25" fillId="0" borderId="60" xfId="25" applyNumberFormat="1" applyFont="1" applyBorder="1"/>
    <xf numFmtId="3" fontId="25" fillId="0" borderId="61" xfId="25" applyNumberFormat="1" applyFont="1" applyBorder="1"/>
    <xf numFmtId="0" fontId="25" fillId="0" borderId="0" xfId="25" applyFont="1" applyBorder="1"/>
    <xf numFmtId="0" fontId="20" fillId="0" borderId="0" xfId="25" applyFont="1"/>
    <xf numFmtId="0" fontId="1" fillId="0" borderId="0" xfId="25" applyFont="1" applyAlignment="1">
      <alignment vertical="top" wrapText="1"/>
    </xf>
    <xf numFmtId="0" fontId="1" fillId="0" borderId="116" xfId="25" applyFont="1" applyBorder="1" applyAlignment="1">
      <alignment horizontal="left"/>
    </xf>
    <xf numFmtId="0" fontId="1" fillId="0" borderId="112" xfId="25" applyFont="1" applyBorder="1" applyAlignment="1">
      <alignment horizontal="left"/>
    </xf>
    <xf numFmtId="0" fontId="1" fillId="0" borderId="110" xfId="25" applyFont="1" applyBorder="1" applyAlignment="1">
      <alignment horizontal="left"/>
    </xf>
    <xf numFmtId="0" fontId="1" fillId="0" borderId="124" xfId="25" applyFont="1" applyBorder="1" applyAlignment="1">
      <alignment horizontal="left" indent="2"/>
    </xf>
    <xf numFmtId="0" fontId="1" fillId="0" borderId="119" xfId="25" applyFont="1" applyBorder="1" applyAlignment="1">
      <alignment horizontal="left" indent="2"/>
    </xf>
    <xf numFmtId="0" fontId="1" fillId="0" borderId="125" xfId="25" applyFont="1" applyBorder="1" applyAlignment="1">
      <alignment horizontal="left" indent="2"/>
    </xf>
    <xf numFmtId="0" fontId="32" fillId="0" borderId="102" xfId="0" applyFont="1" applyBorder="1" applyAlignment="1">
      <alignment vertical="top"/>
    </xf>
    <xf numFmtId="3" fontId="32" fillId="0" borderId="103" xfId="0" applyNumberFormat="1" applyFont="1" applyBorder="1" applyAlignment="1">
      <alignment vertical="top"/>
    </xf>
    <xf numFmtId="3" fontId="32" fillId="0" borderId="104" xfId="0" applyNumberFormat="1" applyFont="1" applyBorder="1" applyAlignment="1">
      <alignment vertical="top"/>
    </xf>
    <xf numFmtId="3" fontId="34" fillId="0" borderId="103" xfId="0" applyNumberFormat="1" applyFont="1" applyBorder="1" applyAlignment="1">
      <alignment vertical="top"/>
    </xf>
    <xf numFmtId="0" fontId="46" fillId="0" borderId="0" xfId="3" applyFont="1" applyAlignment="1">
      <alignment vertical="top"/>
    </xf>
    <xf numFmtId="0" fontId="46" fillId="0" borderId="0" xfId="3" applyFont="1" applyBorder="1" applyAlignment="1">
      <alignment vertical="top"/>
    </xf>
    <xf numFmtId="0" fontId="46" fillId="0" borderId="0" xfId="3" applyFont="1" applyBorder="1" applyAlignment="1">
      <alignment horizontal="right" vertical="top" wrapText="1"/>
    </xf>
    <xf numFmtId="0" fontId="46" fillId="0" borderId="0" xfId="3" applyFont="1" applyBorder="1" applyAlignment="1">
      <alignment horizontal="right" vertical="top"/>
    </xf>
    <xf numFmtId="0" fontId="46" fillId="0" borderId="0" xfId="3" applyFont="1" applyBorder="1" applyAlignment="1">
      <alignment vertical="top" wrapText="1"/>
    </xf>
    <xf numFmtId="0" fontId="46" fillId="0" borderId="0" xfId="3" applyFont="1" applyAlignment="1">
      <alignment horizontal="left" vertical="top"/>
    </xf>
    <xf numFmtId="0" fontId="46" fillId="0" borderId="0" xfId="3" applyFont="1" applyAlignment="1">
      <alignment horizontal="right" vertical="top"/>
    </xf>
    <xf numFmtId="0" fontId="16" fillId="0" borderId="0" xfId="3" applyFont="1" applyAlignment="1">
      <alignment vertical="top"/>
    </xf>
    <xf numFmtId="0" fontId="16" fillId="0" borderId="0" xfId="3" applyFont="1" applyAlignment="1">
      <alignment horizontal="left" vertical="top"/>
    </xf>
    <xf numFmtId="166" fontId="46" fillId="0" borderId="83" xfId="3" applyNumberFormat="1" applyFont="1" applyBorder="1" applyAlignment="1">
      <alignment vertical="top"/>
    </xf>
    <xf numFmtId="0" fontId="46" fillId="0" borderId="83" xfId="3" applyFont="1" applyBorder="1" applyAlignment="1">
      <alignment horizontal="justify" vertical="top"/>
    </xf>
    <xf numFmtId="0" fontId="46" fillId="0" borderId="83" xfId="3" applyFont="1" applyBorder="1" applyAlignment="1">
      <alignment vertical="top"/>
    </xf>
    <xf numFmtId="171" fontId="46" fillId="0" borderId="83" xfId="4" applyNumberFormat="1" applyFont="1" applyBorder="1" applyAlignment="1">
      <alignment vertical="top"/>
    </xf>
    <xf numFmtId="0" fontId="46" fillId="0" borderId="25" xfId="3" applyFont="1" applyBorder="1" applyAlignment="1">
      <alignment horizontal="right" vertical="top"/>
    </xf>
    <xf numFmtId="0" fontId="8" fillId="0" borderId="0" xfId="3" applyFont="1" applyAlignment="1">
      <alignment vertical="top"/>
    </xf>
    <xf numFmtId="0" fontId="9" fillId="0" borderId="0" xfId="3" applyFont="1" applyAlignment="1">
      <alignment vertical="top"/>
    </xf>
    <xf numFmtId="0" fontId="9" fillId="0" borderId="0" xfId="3" applyFont="1" applyAlignment="1">
      <alignment horizontal="left" vertical="top" indent="1"/>
    </xf>
    <xf numFmtId="0" fontId="8" fillId="0" borderId="0" xfId="3" applyFont="1" applyAlignment="1">
      <alignment horizontal="center" vertical="top"/>
    </xf>
    <xf numFmtId="0" fontId="1" fillId="0" borderId="66" xfId="0" applyFont="1" applyBorder="1" applyAlignment="1">
      <alignment horizontal="left" indent="4"/>
    </xf>
    <xf numFmtId="0" fontId="21" fillId="0" borderId="0" xfId="0" applyFont="1" applyAlignment="1">
      <alignment horizontal="left" vertical="top"/>
    </xf>
    <xf numFmtId="0" fontId="28" fillId="0" borderId="0" xfId="0" applyFont="1" applyAlignment="1">
      <alignment horizontal="left" vertical="top"/>
    </xf>
    <xf numFmtId="0" fontId="19" fillId="0" borderId="0" xfId="0" applyFont="1" applyAlignment="1">
      <alignment horizontal="center"/>
    </xf>
    <xf numFmtId="0" fontId="23" fillId="0" borderId="0" xfId="0" applyFont="1" applyAlignment="1">
      <alignment horizontal="center"/>
    </xf>
    <xf numFmtId="0" fontId="21" fillId="0" borderId="0" xfId="0" applyFont="1" applyAlignment="1">
      <alignment horizontal="center"/>
    </xf>
    <xf numFmtId="0" fontId="24" fillId="0" borderId="0" xfId="0" applyFont="1" applyAlignment="1">
      <alignment horizontal="center"/>
    </xf>
    <xf numFmtId="0" fontId="21" fillId="0" borderId="11" xfId="0" applyFont="1" applyBorder="1" applyAlignment="1">
      <alignment horizontal="center"/>
    </xf>
    <xf numFmtId="0" fontId="21" fillId="0" borderId="9" xfId="0" applyFont="1" applyBorder="1" applyAlignment="1">
      <alignment horizontal="center"/>
    </xf>
    <xf numFmtId="0" fontId="21" fillId="0" borderId="51" xfId="0" applyFont="1" applyBorder="1" applyAlignment="1">
      <alignment horizontal="center"/>
    </xf>
    <xf numFmtId="0" fontId="25" fillId="0" borderId="82" xfId="0" applyFont="1" applyBorder="1" applyAlignment="1">
      <alignment horizontal="center" vertical="center"/>
    </xf>
    <xf numFmtId="0" fontId="25" fillId="0" borderId="45" xfId="0" applyFont="1" applyBorder="1" applyAlignment="1">
      <alignment horizontal="center" vertical="center"/>
    </xf>
    <xf numFmtId="0" fontId="25" fillId="0" borderId="9"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82" xfId="25" applyFont="1" applyBorder="1" applyAlignment="1">
      <alignment horizontal="center" vertical="center"/>
    </xf>
    <xf numFmtId="0" fontId="25" fillId="0" borderId="45" xfId="25" applyFont="1" applyBorder="1" applyAlignment="1">
      <alignment horizontal="center" vertical="center"/>
    </xf>
    <xf numFmtId="0" fontId="25" fillId="0" borderId="105" xfId="25" applyFont="1" applyBorder="1" applyAlignment="1">
      <alignment horizontal="center" vertical="center" wrapText="1"/>
    </xf>
    <xf numFmtId="0" fontId="25" fillId="0" borderId="42" xfId="25" applyFont="1" applyBorder="1" applyAlignment="1">
      <alignment horizontal="center" vertical="center" wrapText="1"/>
    </xf>
    <xf numFmtId="0" fontId="25" fillId="0" borderId="9" xfId="25" applyFont="1" applyBorder="1" applyAlignment="1">
      <alignment horizontal="center" vertical="center" wrapText="1"/>
    </xf>
    <xf numFmtId="0" fontId="25" fillId="0" borderId="51" xfId="25" applyFont="1" applyBorder="1" applyAlignment="1">
      <alignment horizontal="center" vertical="center" wrapText="1"/>
    </xf>
    <xf numFmtId="0" fontId="19" fillId="0" borderId="0" xfId="25" applyFont="1" applyAlignment="1">
      <alignment horizontal="center"/>
    </xf>
    <xf numFmtId="0" fontId="23" fillId="0" borderId="0" xfId="25" applyFont="1" applyAlignment="1">
      <alignment horizontal="center"/>
    </xf>
    <xf numFmtId="0" fontId="1" fillId="0" borderId="0" xfId="25" applyFont="1" applyAlignment="1">
      <alignment horizontal="center"/>
    </xf>
    <xf numFmtId="0" fontId="24" fillId="0" borderId="0" xfId="25" applyFont="1" applyAlignment="1">
      <alignment horizontal="center"/>
    </xf>
    <xf numFmtId="0" fontId="24" fillId="0" borderId="107" xfId="25" applyFont="1" applyBorder="1" applyAlignment="1">
      <alignment horizontal="center"/>
    </xf>
    <xf numFmtId="0" fontId="24" fillId="0" borderId="0" xfId="25" applyFont="1" applyBorder="1" applyAlignment="1">
      <alignment horizontal="center"/>
    </xf>
    <xf numFmtId="0" fontId="25" fillId="0" borderId="9" xfId="23" applyFont="1" applyBorder="1" applyAlignment="1">
      <alignment horizontal="center" vertical="center" wrapText="1"/>
    </xf>
    <xf numFmtId="0" fontId="25" fillId="0" borderId="8" xfId="23" applyFont="1" applyBorder="1" applyAlignment="1">
      <alignment horizontal="center" vertical="center" wrapText="1"/>
    </xf>
    <xf numFmtId="0" fontId="25" fillId="0" borderId="8" xfId="25" applyFont="1" applyBorder="1" applyAlignment="1">
      <alignment horizontal="center" vertical="center" wrapText="1"/>
    </xf>
    <xf numFmtId="0" fontId="25" fillId="0" borderId="51" xfId="23" applyFont="1" applyBorder="1" applyAlignment="1">
      <alignment horizontal="center" vertical="center" wrapText="1"/>
    </xf>
    <xf numFmtId="0" fontId="19" fillId="0" borderId="0" xfId="20" applyFont="1" applyAlignment="1">
      <alignment horizontal="center"/>
    </xf>
    <xf numFmtId="0" fontId="23" fillId="0" borderId="0" xfId="20" applyFont="1" applyAlignment="1">
      <alignment horizontal="center"/>
    </xf>
    <xf numFmtId="0" fontId="21" fillId="0" borderId="0" xfId="20" applyFont="1" applyAlignment="1">
      <alignment horizontal="center"/>
    </xf>
    <xf numFmtId="0" fontId="24" fillId="0" borderId="0" xfId="20" applyFont="1" applyAlignment="1">
      <alignment horizontal="center"/>
    </xf>
    <xf numFmtId="0" fontId="41" fillId="0" borderId="0" xfId="20" applyFont="1" applyAlignment="1">
      <alignment horizontal="left" vertical="top"/>
    </xf>
    <xf numFmtId="0" fontId="25" fillId="0" borderId="9" xfId="20" applyFont="1" applyBorder="1" applyAlignment="1">
      <alignment horizontal="center" vertical="center" wrapText="1"/>
    </xf>
    <xf numFmtId="0" fontId="25" fillId="0" borderId="51" xfId="20" applyFont="1" applyBorder="1" applyAlignment="1">
      <alignment horizontal="center" vertical="center" wrapText="1"/>
    </xf>
    <xf numFmtId="0" fontId="25" fillId="0" borderId="82" xfId="20" applyFont="1" applyBorder="1" applyAlignment="1">
      <alignment horizontal="center" vertical="center" wrapText="1"/>
    </xf>
    <xf numFmtId="0" fontId="25" fillId="0" borderId="101" xfId="20" applyFont="1" applyBorder="1" applyAlignment="1">
      <alignment horizontal="center" vertical="center" wrapText="1"/>
    </xf>
    <xf numFmtId="0" fontId="25" fillId="0" borderId="45" xfId="20" applyFont="1" applyBorder="1" applyAlignment="1">
      <alignment horizontal="center" vertical="center" wrapText="1"/>
    </xf>
    <xf numFmtId="0" fontId="25" fillId="0" borderId="28" xfId="20" applyFont="1" applyBorder="1" applyAlignment="1">
      <alignment horizontal="center" vertical="center" wrapText="1"/>
    </xf>
    <xf numFmtId="0" fontId="21" fillId="0" borderId="92" xfId="20" applyFont="1" applyBorder="1" applyAlignment="1">
      <alignment horizontal="center"/>
    </xf>
    <xf numFmtId="0" fontId="32" fillId="0" borderId="0" xfId="0" applyFont="1" applyBorder="1" applyAlignment="1">
      <alignment horizontal="left" vertical="top" wrapText="1"/>
    </xf>
    <xf numFmtId="0" fontId="32" fillId="0" borderId="94" xfId="0" applyFont="1" applyBorder="1" applyAlignment="1">
      <alignment horizontal="left" vertical="top" wrapText="1"/>
    </xf>
    <xf numFmtId="0" fontId="34" fillId="0" borderId="39" xfId="0" applyFont="1" applyBorder="1" applyAlignment="1">
      <alignment horizontal="right" vertical="top"/>
    </xf>
    <xf numFmtId="0" fontId="34" fillId="0" borderId="42" xfId="0" applyFont="1" applyBorder="1" applyAlignment="1">
      <alignment horizontal="right" vertical="top"/>
    </xf>
    <xf numFmtId="0" fontId="34" fillId="0" borderId="52" xfId="0" applyFont="1" applyBorder="1" applyAlignment="1">
      <alignment horizontal="center" vertical="top"/>
    </xf>
    <xf numFmtId="0" fontId="34" fillId="0" borderId="24" xfId="0" applyFont="1" applyBorder="1" applyAlignment="1">
      <alignment horizontal="center" vertical="top"/>
    </xf>
    <xf numFmtId="0" fontId="36" fillId="0" borderId="0" xfId="0" applyFont="1" applyBorder="1" applyAlignment="1">
      <alignment horizontal="left" vertical="top"/>
    </xf>
    <xf numFmtId="0" fontId="36" fillId="0" borderId="94" xfId="0" applyFont="1" applyBorder="1" applyAlignment="1">
      <alignment horizontal="left" vertical="top"/>
    </xf>
    <xf numFmtId="0" fontId="34" fillId="0" borderId="30" xfId="0" applyFont="1" applyBorder="1" applyAlignment="1">
      <alignment horizontal="left" vertical="top"/>
    </xf>
    <xf numFmtId="0" fontId="34" fillId="0" borderId="41" xfId="0" applyFont="1" applyBorder="1" applyAlignment="1">
      <alignment horizontal="left" vertical="top"/>
    </xf>
    <xf numFmtId="0" fontId="36" fillId="0" borderId="0" xfId="0" applyFont="1" applyBorder="1" applyAlignment="1">
      <alignment horizontal="left" vertical="top" wrapText="1"/>
    </xf>
    <xf numFmtId="0" fontId="36" fillId="0" borderId="94" xfId="0" applyFont="1" applyBorder="1" applyAlignment="1">
      <alignment horizontal="left" vertical="top" wrapText="1"/>
    </xf>
    <xf numFmtId="0" fontId="32" fillId="0" borderId="107" xfId="0" applyFont="1" applyBorder="1" applyAlignment="1">
      <alignment vertical="top" wrapText="1"/>
    </xf>
    <xf numFmtId="0" fontId="32" fillId="0" borderId="17" xfId="0" applyFont="1" applyBorder="1" applyAlignment="1">
      <alignment vertical="top" wrapText="1"/>
    </xf>
    <xf numFmtId="0" fontId="32" fillId="0" borderId="0" xfId="0" applyFont="1" applyBorder="1" applyAlignment="1">
      <alignment vertical="top" wrapText="1"/>
    </xf>
    <xf numFmtId="0" fontId="32" fillId="0" borderId="94" xfId="0" applyFont="1" applyBorder="1" applyAlignment="1">
      <alignment vertical="top" wrapText="1"/>
    </xf>
    <xf numFmtId="0" fontId="34" fillId="0" borderId="30" xfId="0" applyFont="1" applyBorder="1" applyAlignment="1">
      <alignment horizontal="left" vertical="top" wrapText="1"/>
    </xf>
    <xf numFmtId="0" fontId="34" fillId="0" borderId="41" xfId="0" applyFont="1" applyBorder="1" applyAlignment="1">
      <alignment horizontal="left" vertical="top" wrapText="1"/>
    </xf>
    <xf numFmtId="0" fontId="36" fillId="0" borderId="131" xfId="25" applyFont="1" applyBorder="1" applyAlignment="1">
      <alignment horizontal="left" vertical="top" wrapText="1"/>
    </xf>
    <xf numFmtId="0" fontId="36" fillId="0" borderId="132" xfId="25" applyFont="1" applyBorder="1" applyAlignment="1">
      <alignment horizontal="left" vertical="top" wrapText="1"/>
    </xf>
    <xf numFmtId="0" fontId="32" fillId="0" borderId="133" xfId="0" applyFont="1" applyBorder="1" applyAlignment="1">
      <alignment horizontal="left" vertical="top" wrapText="1"/>
    </xf>
    <xf numFmtId="0" fontId="32" fillId="0" borderId="134" xfId="0" applyFont="1" applyBorder="1" applyAlignment="1">
      <alignment horizontal="left" vertical="top" wrapText="1"/>
    </xf>
    <xf numFmtId="0" fontId="37" fillId="0" borderId="129" xfId="25" applyFont="1" applyBorder="1" applyAlignment="1">
      <alignment horizontal="left" vertical="top" wrapText="1"/>
    </xf>
    <xf numFmtId="0" fontId="37" fillId="0" borderId="130" xfId="25" applyFont="1" applyBorder="1" applyAlignment="1">
      <alignment horizontal="left" vertical="top" wrapText="1"/>
    </xf>
    <xf numFmtId="0" fontId="30"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21" fillId="0" borderId="0" xfId="0" applyFont="1" applyBorder="1" applyAlignment="1">
      <alignment horizontal="center"/>
    </xf>
    <xf numFmtId="0" fontId="34" fillId="0" borderId="6" xfId="0" applyFont="1" applyBorder="1" applyAlignment="1">
      <alignment horizontal="left" vertical="top" wrapText="1"/>
    </xf>
    <xf numFmtId="0" fontId="34" fillId="0" borderId="105" xfId="0" applyFont="1" applyBorder="1" applyAlignment="1">
      <alignment horizontal="left" vertical="top" wrapText="1"/>
    </xf>
    <xf numFmtId="0" fontId="25" fillId="0" borderId="82" xfId="23" applyFont="1" applyBorder="1" applyAlignment="1">
      <alignment horizontal="center" vertical="center"/>
    </xf>
    <xf numFmtId="0" fontId="25" fillId="0" borderId="45" xfId="23" applyFont="1" applyBorder="1" applyAlignment="1">
      <alignment horizontal="center" vertical="center"/>
    </xf>
    <xf numFmtId="0" fontId="19" fillId="0" borderId="0" xfId="23" applyFont="1" applyAlignment="1">
      <alignment horizontal="center"/>
    </xf>
    <xf numFmtId="0" fontId="23" fillId="0" borderId="0" xfId="23" applyFont="1" applyAlignment="1">
      <alignment horizontal="center"/>
    </xf>
    <xf numFmtId="0" fontId="21" fillId="0" borderId="0" xfId="23" applyFont="1" applyAlignment="1">
      <alignment horizontal="center"/>
    </xf>
    <xf numFmtId="0" fontId="24" fillId="0" borderId="0" xfId="23" applyFont="1" applyAlignment="1">
      <alignment horizontal="center"/>
    </xf>
    <xf numFmtId="0" fontId="25" fillId="0" borderId="20" xfId="23" applyFont="1" applyBorder="1" applyAlignment="1">
      <alignment horizontal="center" vertical="center" wrapText="1"/>
    </xf>
    <xf numFmtId="0" fontId="21" fillId="0" borderId="0" xfId="23" applyFont="1" applyAlignment="1">
      <alignment horizontal="center" wrapText="1"/>
    </xf>
    <xf numFmtId="0" fontId="21" fillId="0" borderId="0" xfId="23" applyFont="1" applyAlignment="1">
      <alignment horizontal="left" wrapText="1"/>
    </xf>
    <xf numFmtId="0" fontId="1" fillId="0" borderId="0" xfId="23" applyFont="1" applyAlignment="1">
      <alignment horizontal="left" wrapText="1"/>
    </xf>
    <xf numFmtId="0" fontId="21" fillId="0" borderId="0" xfId="22" applyFont="1" applyAlignment="1">
      <alignment horizontal="left" wrapText="1"/>
    </xf>
    <xf numFmtId="0" fontId="19" fillId="0" borderId="0" xfId="22" applyFont="1" applyAlignment="1">
      <alignment horizontal="center"/>
    </xf>
    <xf numFmtId="0" fontId="23" fillId="0" borderId="0" xfId="22" applyFont="1" applyAlignment="1">
      <alignment horizontal="center"/>
    </xf>
    <xf numFmtId="0" fontId="21" fillId="0" borderId="0" xfId="22" applyFont="1" applyAlignment="1">
      <alignment horizontal="center"/>
    </xf>
    <xf numFmtId="0" fontId="24" fillId="0" borderId="0" xfId="22" applyFont="1" applyAlignment="1">
      <alignment horizontal="center"/>
    </xf>
    <xf numFmtId="0" fontId="25" fillId="0" borderId="82" xfId="22" applyFont="1" applyBorder="1" applyAlignment="1">
      <alignment horizontal="center" vertical="center"/>
    </xf>
    <xf numFmtId="0" fontId="25" fillId="0" borderId="45" xfId="22" applyFont="1" applyBorder="1" applyAlignment="1">
      <alignment horizontal="center" vertical="center"/>
    </xf>
    <xf numFmtId="0" fontId="25" fillId="0" borderId="9" xfId="22" applyFont="1" applyFill="1" applyBorder="1" applyAlignment="1">
      <alignment horizontal="center" vertical="center" wrapText="1"/>
    </xf>
    <xf numFmtId="0" fontId="25" fillId="0" borderId="9" xfId="22" applyFont="1" applyBorder="1" applyAlignment="1">
      <alignment horizontal="center" vertical="center" wrapText="1"/>
    </xf>
    <xf numFmtId="0" fontId="25" fillId="0" borderId="51" xfId="22" applyFont="1" applyBorder="1" applyAlignment="1">
      <alignment horizontal="center" vertical="center" wrapText="1"/>
    </xf>
    <xf numFmtId="0" fontId="21" fillId="0" borderId="0" xfId="22" applyFont="1" applyAlignment="1">
      <alignment horizontal="center" wrapText="1"/>
    </xf>
    <xf numFmtId="0" fontId="25" fillId="0" borderId="128" xfId="23" applyFont="1" applyBorder="1" applyAlignment="1">
      <alignment horizontal="center" vertical="center" wrapText="1"/>
    </xf>
    <xf numFmtId="0" fontId="25" fillId="0" borderId="105" xfId="23" applyFont="1" applyBorder="1" applyAlignment="1">
      <alignment horizontal="center" vertical="center" wrapText="1"/>
    </xf>
    <xf numFmtId="0" fontId="25" fillId="0" borderId="21" xfId="23" applyFont="1" applyBorder="1" applyAlignment="1">
      <alignment horizontal="center" vertical="center" wrapText="1"/>
    </xf>
    <xf numFmtId="0" fontId="25" fillId="0" borderId="10" xfId="23" applyFont="1" applyBorder="1" applyAlignment="1">
      <alignment horizontal="center" vertical="center" wrapText="1"/>
    </xf>
    <xf numFmtId="0" fontId="25" fillId="0" borderId="82" xfId="23" applyFont="1" applyBorder="1" applyAlignment="1">
      <alignment horizontal="center" vertical="center" wrapText="1"/>
    </xf>
    <xf numFmtId="0" fontId="25" fillId="0" borderId="45" xfId="23" applyFont="1" applyBorder="1" applyAlignment="1">
      <alignment horizontal="center" vertical="center" wrapText="1"/>
    </xf>
    <xf numFmtId="0" fontId="19" fillId="0" borderId="0" xfId="24" applyFont="1" applyAlignment="1">
      <alignment horizontal="center"/>
    </xf>
    <xf numFmtId="0" fontId="23" fillId="0" borderId="0" xfId="24" applyFont="1" applyAlignment="1">
      <alignment horizontal="center"/>
    </xf>
    <xf numFmtId="0" fontId="21" fillId="0" borderId="0" xfId="24" applyFont="1" applyAlignment="1">
      <alignment horizontal="center"/>
    </xf>
    <xf numFmtId="0" fontId="24" fillId="0" borderId="0" xfId="24" applyFont="1" applyAlignment="1">
      <alignment horizontal="center"/>
    </xf>
    <xf numFmtId="0" fontId="25" fillId="0" borderId="25" xfId="24" applyFont="1" applyBorder="1" applyAlignment="1">
      <alignment horizontal="center" vertical="center" wrapText="1"/>
    </xf>
    <xf numFmtId="0" fontId="25" fillId="0" borderId="27" xfId="24" applyFont="1" applyBorder="1" applyAlignment="1">
      <alignment horizontal="center" vertical="center" wrapText="1"/>
    </xf>
    <xf numFmtId="0" fontId="25" fillId="0" borderId="25" xfId="24" applyFont="1" applyBorder="1" applyAlignment="1">
      <alignment horizontal="center" vertical="center"/>
    </xf>
    <xf numFmtId="0" fontId="25" fillId="0" borderId="26" xfId="24" applyFont="1" applyBorder="1" applyAlignment="1">
      <alignment horizontal="center" vertical="center"/>
    </xf>
    <xf numFmtId="0" fontId="25" fillId="0" borderId="27" xfId="24" applyFont="1" applyBorder="1" applyAlignment="1">
      <alignment horizontal="center" vertical="center"/>
    </xf>
    <xf numFmtId="0" fontId="25" fillId="0" borderId="26" xfId="24" applyFont="1" applyBorder="1" applyAlignment="1">
      <alignment horizontal="center" vertical="center" wrapText="1"/>
    </xf>
    <xf numFmtId="0" fontId="25" fillId="0" borderId="29" xfId="24" applyFont="1" applyBorder="1" applyAlignment="1">
      <alignment horizontal="center" vertical="center" wrapText="1"/>
    </xf>
    <xf numFmtId="0" fontId="25" fillId="0" borderId="41" xfId="24" applyFont="1" applyBorder="1" applyAlignment="1">
      <alignment horizontal="center" vertical="center" wrapText="1"/>
    </xf>
    <xf numFmtId="0" fontId="25" fillId="0" borderId="56" xfId="24" applyFont="1" applyBorder="1" applyAlignment="1">
      <alignment horizontal="center" vertical="center" wrapText="1"/>
    </xf>
    <xf numFmtId="0" fontId="25" fillId="0" borderId="42" xfId="24" applyFont="1" applyBorder="1" applyAlignment="1">
      <alignment horizontal="center" vertical="center" wrapText="1"/>
    </xf>
    <xf numFmtId="0" fontId="34" fillId="0" borderId="9" xfId="12" applyFont="1" applyBorder="1" applyAlignment="1">
      <alignment horizontal="center" vertical="center" wrapText="1"/>
    </xf>
    <xf numFmtId="0" fontId="34" fillId="0" borderId="51" xfId="12" applyFont="1" applyBorder="1" applyAlignment="1">
      <alignment horizontal="center" vertical="center" wrapText="1"/>
    </xf>
    <xf numFmtId="0" fontId="34" fillId="0" borderId="0" xfId="12" applyFont="1" applyAlignment="1">
      <alignment horizontal="center"/>
    </xf>
    <xf numFmtId="0" fontId="32" fillId="0" borderId="0" xfId="12" applyFont="1" applyAlignment="1">
      <alignment horizontal="center"/>
    </xf>
    <xf numFmtId="0" fontId="34" fillId="0" borderId="102" xfId="12" applyFont="1" applyBorder="1" applyAlignment="1">
      <alignment horizontal="left" indent="2"/>
    </xf>
    <xf numFmtId="0" fontId="34" fillId="0" borderId="107" xfId="12" applyFont="1" applyBorder="1" applyAlignment="1">
      <alignment horizontal="left" indent="2"/>
    </xf>
    <xf numFmtId="0" fontId="34" fillId="0" borderId="43" xfId="12" applyFont="1" applyBorder="1" applyAlignment="1">
      <alignment horizontal="center" vertical="center"/>
    </xf>
    <xf numFmtId="0" fontId="34" fillId="0" borderId="6" xfId="12" applyFont="1" applyBorder="1" applyAlignment="1">
      <alignment horizontal="center" vertical="center"/>
    </xf>
    <xf numFmtId="0" fontId="34" fillId="0" borderId="105" xfId="12" applyFont="1" applyBorder="1" applyAlignment="1">
      <alignment horizontal="center" vertical="center"/>
    </xf>
    <xf numFmtId="0" fontId="34" fillId="0" borderId="50" xfId="12" applyFont="1" applyBorder="1" applyAlignment="1">
      <alignment horizontal="center" vertical="center"/>
    </xf>
    <xf numFmtId="0" fontId="34" fillId="0" borderId="39" xfId="12" applyFont="1" applyBorder="1" applyAlignment="1">
      <alignment horizontal="center" vertical="center"/>
    </xf>
    <xf numFmtId="0" fontId="34" fillId="0" borderId="42" xfId="12" applyFont="1" applyBorder="1" applyAlignment="1">
      <alignment horizontal="center" vertical="center"/>
    </xf>
    <xf numFmtId="0" fontId="34" fillId="0" borderId="106" xfId="12" applyFont="1" applyBorder="1" applyAlignment="1">
      <alignment horizontal="center"/>
    </xf>
    <xf numFmtId="0" fontId="34" fillId="0" borderId="26" xfId="12" applyFont="1" applyBorder="1" applyAlignment="1">
      <alignment horizontal="center"/>
    </xf>
    <xf numFmtId="0" fontId="34" fillId="0" borderId="27" xfId="12" applyFont="1" applyBorder="1" applyAlignment="1">
      <alignment horizontal="center"/>
    </xf>
    <xf numFmtId="0" fontId="34" fillId="0" borderId="54" xfId="12" applyFont="1" applyBorder="1" applyAlignment="1">
      <alignment horizontal="left" indent="2"/>
    </xf>
    <xf numFmtId="0" fontId="34" fillId="0" borderId="30" xfId="12" applyFont="1" applyBorder="1" applyAlignment="1">
      <alignment horizontal="left" indent="2"/>
    </xf>
    <xf numFmtId="0" fontId="34" fillId="0" borderId="48" xfId="12" applyFont="1" applyBorder="1" applyAlignment="1">
      <alignment horizontal="left" indent="2"/>
    </xf>
    <xf numFmtId="0" fontId="34" fillId="0" borderId="0" xfId="12" applyFont="1" applyBorder="1" applyAlignment="1">
      <alignment horizontal="left" indent="2"/>
    </xf>
    <xf numFmtId="0" fontId="9" fillId="0" borderId="29" xfId="0" applyFont="1" applyBorder="1" applyAlignment="1">
      <alignment horizontal="center"/>
    </xf>
    <xf numFmtId="0" fontId="9" fillId="0" borderId="41" xfId="0" applyFont="1" applyBorder="1" applyAlignment="1">
      <alignment horizontal="center"/>
    </xf>
    <xf numFmtId="0" fontId="9" fillId="0" borderId="38" xfId="0" applyFont="1" applyBorder="1" applyAlignment="1">
      <alignment horizontal="center"/>
    </xf>
    <xf numFmtId="0" fontId="9" fillId="0" borderId="42" xfId="0" applyFont="1" applyBorder="1" applyAlignment="1">
      <alignment horizontal="center"/>
    </xf>
    <xf numFmtId="41" fontId="9" fillId="0" borderId="29" xfId="0" applyNumberFormat="1" applyFont="1" applyBorder="1" applyAlignment="1">
      <alignment horizontal="center"/>
    </xf>
    <xf numFmtId="41" fontId="9" fillId="0" borderId="41" xfId="0" applyNumberFormat="1" applyFont="1" applyBorder="1" applyAlignment="1">
      <alignment horizontal="center"/>
    </xf>
    <xf numFmtId="41" fontId="9" fillId="0" borderId="38" xfId="0" applyNumberFormat="1" applyFont="1" applyBorder="1" applyAlignment="1">
      <alignment horizontal="center"/>
    </xf>
    <xf numFmtId="41" fontId="9" fillId="0" borderId="42" xfId="0" applyNumberFormat="1" applyFont="1" applyBorder="1" applyAlignment="1">
      <alignment horizontal="center"/>
    </xf>
    <xf numFmtId="0" fontId="4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37" fillId="0" borderId="0" xfId="0" applyFont="1" applyAlignment="1">
      <alignment wrapText="1"/>
    </xf>
    <xf numFmtId="0" fontId="45" fillId="0" borderId="0" xfId="0" applyFont="1" applyAlignment="1">
      <alignment horizontal="center"/>
    </xf>
    <xf numFmtId="0" fontId="37" fillId="0" borderId="0" xfId="0" applyFont="1" applyAlignment="1">
      <alignment horizontal="center"/>
    </xf>
    <xf numFmtId="0" fontId="37" fillId="0" borderId="43" xfId="0" applyFont="1" applyBorder="1" applyAlignment="1">
      <alignment horizontal="center" wrapText="1"/>
    </xf>
    <xf numFmtId="0" fontId="37" fillId="0" borderId="6" xfId="0" applyFont="1" applyBorder="1" applyAlignment="1">
      <alignment horizontal="center" wrapText="1"/>
    </xf>
    <xf numFmtId="0" fontId="37" fillId="0" borderId="7" xfId="0" applyFont="1" applyBorder="1" applyAlignment="1">
      <alignment horizontal="center" wrapText="1"/>
    </xf>
    <xf numFmtId="0" fontId="37" fillId="0" borderId="50" xfId="0" applyFont="1" applyBorder="1" applyAlignment="1">
      <alignment horizontal="center" wrapText="1"/>
    </xf>
    <xf numFmtId="0" fontId="37" fillId="0" borderId="39" xfId="0" applyFont="1" applyBorder="1" applyAlignment="1">
      <alignment horizontal="center" wrapText="1"/>
    </xf>
    <xf numFmtId="0" fontId="37" fillId="0" borderId="46" xfId="0" applyFont="1" applyBorder="1" applyAlignment="1">
      <alignment horizontal="center" wrapText="1"/>
    </xf>
    <xf numFmtId="0" fontId="37" fillId="0" borderId="43" xfId="0" applyFont="1" applyBorder="1" applyAlignment="1">
      <alignment horizontal="center"/>
    </xf>
    <xf numFmtId="0" fontId="37" fillId="0" borderId="6" xfId="0" applyFont="1" applyBorder="1" applyAlignment="1">
      <alignment horizontal="center"/>
    </xf>
    <xf numFmtId="0" fontId="37" fillId="0" borderId="7" xfId="0" applyFont="1" applyBorder="1" applyAlignment="1">
      <alignment horizontal="center"/>
    </xf>
    <xf numFmtId="0" fontId="37" fillId="0" borderId="50" xfId="0" applyFont="1" applyBorder="1" applyAlignment="1">
      <alignment horizontal="center"/>
    </xf>
    <xf numFmtId="0" fontId="37" fillId="0" borderId="39" xfId="0" applyFont="1" applyBorder="1" applyAlignment="1">
      <alignment horizontal="center"/>
    </xf>
    <xf numFmtId="0" fontId="37" fillId="0" borderId="46" xfId="0" applyFont="1" applyBorder="1" applyAlignment="1">
      <alignment horizontal="center"/>
    </xf>
    <xf numFmtId="0" fontId="10" fillId="0" borderId="0" xfId="0" applyFont="1" applyBorder="1" applyAlignment="1">
      <alignment horizontal="center"/>
    </xf>
    <xf numFmtId="0" fontId="46" fillId="0" borderId="27" xfId="3" applyFont="1" applyBorder="1" applyAlignment="1">
      <alignment horizontal="left" vertical="top" wrapText="1"/>
    </xf>
    <xf numFmtId="0" fontId="47" fillId="2" borderId="83" xfId="3" applyFont="1" applyFill="1" applyBorder="1" applyAlignment="1">
      <alignment horizontal="center" vertical="top" wrapText="1"/>
    </xf>
    <xf numFmtId="0" fontId="46" fillId="0" borderId="25" xfId="3" applyFont="1" applyBorder="1" applyAlignment="1">
      <alignment horizontal="left" vertical="top" wrapText="1"/>
    </xf>
    <xf numFmtId="0" fontId="46" fillId="0" borderId="26" xfId="3" applyFont="1" applyBorder="1" applyAlignment="1">
      <alignment horizontal="left" vertical="top" wrapText="1"/>
    </xf>
    <xf numFmtId="0" fontId="46" fillId="0" borderId="39" xfId="3" applyFont="1" applyBorder="1" applyAlignment="1">
      <alignment horizontal="left" vertical="top" wrapText="1"/>
    </xf>
    <xf numFmtId="0" fontId="47" fillId="0" borderId="83" xfId="3" applyFont="1" applyBorder="1" applyAlignment="1">
      <alignment vertical="top"/>
    </xf>
    <xf numFmtId="0" fontId="46" fillId="0" borderId="26" xfId="3" applyFont="1" applyBorder="1" applyAlignment="1">
      <alignment horizontal="left" vertical="top"/>
    </xf>
    <xf numFmtId="0" fontId="46" fillId="0" borderId="27" xfId="3" applyFont="1" applyBorder="1" applyAlignment="1">
      <alignment horizontal="left" vertical="top"/>
    </xf>
    <xf numFmtId="0" fontId="46" fillId="0" borderId="25" xfId="3" applyFont="1" applyBorder="1" applyAlignment="1">
      <alignment horizontal="right" vertical="top" wrapText="1"/>
    </xf>
  </cellXfs>
  <cellStyles count="30">
    <cellStyle name="Comma" xfId="1" builtinId="3"/>
    <cellStyle name="Comma 2" xfId="5"/>
    <cellStyle name="Comma 2 2" xfId="11"/>
    <cellStyle name="Comma 3" xfId="6"/>
    <cellStyle name="Comma 4" xfId="14"/>
    <cellStyle name="Comma 4 2" xfId="15"/>
    <cellStyle name="Comma 5" xfId="21"/>
    <cellStyle name="Comma 6" xfId="26"/>
    <cellStyle name="Currency 2" xfId="4"/>
    <cellStyle name="Currency 2 2" xfId="10"/>
    <cellStyle name="Currency 3" xfId="13"/>
    <cellStyle name="Currency 3 2" xfId="28"/>
    <cellStyle name="Currency 4" xfId="16"/>
    <cellStyle name="Currency 4 2" xfId="17"/>
    <cellStyle name="Currency 5" xfId="27"/>
    <cellStyle name="Normal" xfId="0" builtinId="0"/>
    <cellStyle name="Normal 2" xfId="3"/>
    <cellStyle name="Normal 3" xfId="7"/>
    <cellStyle name="Normal 4" xfId="12"/>
    <cellStyle name="Normal 4 2" xfId="29"/>
    <cellStyle name="Normal 5" xfId="20"/>
    <cellStyle name="Normal 6" xfId="22"/>
    <cellStyle name="Normal 7" xfId="23"/>
    <cellStyle name="Normal 8" xfId="24"/>
    <cellStyle name="Normal 9" xfId="25"/>
    <cellStyle name="Normal_Improve by DU" xfId="2"/>
    <cellStyle name="Percent 2" xfId="8"/>
    <cellStyle name="Percent 2 2" xfId="9"/>
    <cellStyle name="Percent 3" xfId="18"/>
    <cellStyle name="Percent 3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111125</xdr:rowOff>
    </xdr:from>
    <xdr:to>
      <xdr:col>10</xdr:col>
      <xdr:colOff>668453</xdr:colOff>
      <xdr:row>32</xdr:row>
      <xdr:rowOff>174625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111125"/>
          <a:ext cx="7383578" cy="615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M1:M34"/>
  <sheetViews>
    <sheetView tabSelected="1" view="pageBreakPreview" zoomScale="60" zoomScaleNormal="100" workbookViewId="0"/>
  </sheetViews>
  <sheetFormatPr defaultRowHeight="15" x14ac:dyDescent="0.2"/>
  <cols>
    <col min="12" max="12" width="4.109375" customWidth="1"/>
  </cols>
  <sheetData>
    <row r="1" spans="13:13" x14ac:dyDescent="0.2">
      <c r="M1" s="102" t="s">
        <v>75</v>
      </c>
    </row>
    <row r="2" spans="13:13" x14ac:dyDescent="0.2">
      <c r="M2" s="102" t="s">
        <v>75</v>
      </c>
    </row>
    <row r="3" spans="13:13" x14ac:dyDescent="0.2">
      <c r="M3" s="102" t="s">
        <v>75</v>
      </c>
    </row>
    <row r="4" spans="13:13" x14ac:dyDescent="0.2">
      <c r="M4" s="102" t="s">
        <v>75</v>
      </c>
    </row>
    <row r="5" spans="13:13" x14ac:dyDescent="0.2">
      <c r="M5" s="102" t="s">
        <v>75</v>
      </c>
    </row>
    <row r="6" spans="13:13" x14ac:dyDescent="0.2">
      <c r="M6" s="102" t="s">
        <v>75</v>
      </c>
    </row>
    <row r="7" spans="13:13" x14ac:dyDescent="0.2">
      <c r="M7" s="102" t="s">
        <v>75</v>
      </c>
    </row>
    <row r="8" spans="13:13" x14ac:dyDescent="0.2">
      <c r="M8" s="102" t="s">
        <v>75</v>
      </c>
    </row>
    <row r="9" spans="13:13" x14ac:dyDescent="0.2">
      <c r="M9" s="102" t="s">
        <v>75</v>
      </c>
    </row>
    <row r="10" spans="13:13" x14ac:dyDescent="0.2">
      <c r="M10" s="102" t="s">
        <v>75</v>
      </c>
    </row>
    <row r="11" spans="13:13" x14ac:dyDescent="0.2">
      <c r="M11" s="102" t="s">
        <v>75</v>
      </c>
    </row>
    <row r="12" spans="13:13" x14ac:dyDescent="0.2">
      <c r="M12" s="102" t="s">
        <v>75</v>
      </c>
    </row>
    <row r="13" spans="13:13" x14ac:dyDescent="0.2">
      <c r="M13" s="102" t="s">
        <v>75</v>
      </c>
    </row>
    <row r="14" spans="13:13" x14ac:dyDescent="0.2">
      <c r="M14" s="102" t="s">
        <v>75</v>
      </c>
    </row>
    <row r="15" spans="13:13" x14ac:dyDescent="0.2">
      <c r="M15" s="102" t="s">
        <v>75</v>
      </c>
    </row>
    <row r="16" spans="13:13" x14ac:dyDescent="0.2">
      <c r="M16" s="102" t="s">
        <v>75</v>
      </c>
    </row>
    <row r="17" spans="13:13" x14ac:dyDescent="0.2">
      <c r="M17" s="102" t="s">
        <v>75</v>
      </c>
    </row>
    <row r="18" spans="13:13" x14ac:dyDescent="0.2">
      <c r="M18" s="102" t="s">
        <v>75</v>
      </c>
    </row>
    <row r="19" spans="13:13" x14ac:dyDescent="0.2">
      <c r="M19" s="102" t="s">
        <v>75</v>
      </c>
    </row>
    <row r="20" spans="13:13" x14ac:dyDescent="0.2">
      <c r="M20" s="102" t="s">
        <v>75</v>
      </c>
    </row>
    <row r="21" spans="13:13" x14ac:dyDescent="0.2">
      <c r="M21" s="102" t="s">
        <v>75</v>
      </c>
    </row>
    <row r="22" spans="13:13" x14ac:dyDescent="0.2">
      <c r="M22" s="102" t="s">
        <v>75</v>
      </c>
    </row>
    <row r="23" spans="13:13" x14ac:dyDescent="0.2">
      <c r="M23" s="102" t="s">
        <v>75</v>
      </c>
    </row>
    <row r="24" spans="13:13" x14ac:dyDescent="0.2">
      <c r="M24" s="102" t="s">
        <v>75</v>
      </c>
    </row>
    <row r="25" spans="13:13" x14ac:dyDescent="0.2">
      <c r="M25" s="102" t="s">
        <v>75</v>
      </c>
    </row>
    <row r="26" spans="13:13" x14ac:dyDescent="0.2">
      <c r="M26" s="102" t="s">
        <v>75</v>
      </c>
    </row>
    <row r="27" spans="13:13" x14ac:dyDescent="0.2">
      <c r="M27" s="102" t="s">
        <v>75</v>
      </c>
    </row>
    <row r="28" spans="13:13" x14ac:dyDescent="0.2">
      <c r="M28" s="102" t="s">
        <v>75</v>
      </c>
    </row>
    <row r="29" spans="13:13" x14ac:dyDescent="0.2">
      <c r="M29" s="102" t="s">
        <v>75</v>
      </c>
    </row>
    <row r="30" spans="13:13" x14ac:dyDescent="0.2">
      <c r="M30" s="102" t="s">
        <v>75</v>
      </c>
    </row>
    <row r="31" spans="13:13" x14ac:dyDescent="0.2">
      <c r="M31" s="102" t="s">
        <v>75</v>
      </c>
    </row>
    <row r="32" spans="13:13" x14ac:dyDescent="0.2">
      <c r="M32" s="102" t="s">
        <v>75</v>
      </c>
    </row>
    <row r="33" spans="13:13" x14ac:dyDescent="0.2">
      <c r="M33" s="102" t="s">
        <v>75</v>
      </c>
    </row>
    <row r="34" spans="13:13" x14ac:dyDescent="0.2">
      <c r="M34" s="102" t="s">
        <v>76</v>
      </c>
    </row>
  </sheetData>
  <pageMargins left="0" right="0" top="1" bottom="0.25" header="0.75" footer="0.3"/>
  <pageSetup orientation="landscape" r:id="rId1"/>
  <headerFooter>
    <oddHeader>&amp;L&amp;"Arial,Bold"A: Organization Chart</oddHeader>
    <oddFooter>&amp;C&amp;"Times New Roman,Regular"Exhibit A:  Organization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topLeftCell="A4" zoomScale="80" zoomScaleNormal="100" zoomScaleSheetLayoutView="80" workbookViewId="0">
      <selection activeCell="A28" sqref="A28"/>
    </sheetView>
  </sheetViews>
  <sheetFormatPr defaultRowHeight="14.25" x14ac:dyDescent="0.2"/>
  <cols>
    <col min="1" max="1" width="35.6640625" style="388" customWidth="1"/>
    <col min="2" max="4" width="10.6640625" style="388" customWidth="1"/>
    <col min="5" max="5" width="13.44140625" style="388" customWidth="1"/>
    <col min="6" max="9" width="10.6640625" style="388" customWidth="1"/>
    <col min="10" max="10" width="11.6640625" style="388" customWidth="1"/>
    <col min="11" max="11" width="10.88671875" style="389" bestFit="1" customWidth="1"/>
    <col min="12" max="12" width="3.5546875" style="388" customWidth="1"/>
    <col min="13" max="14" width="6.44140625" style="388" customWidth="1"/>
    <col min="15" max="15" width="9.88671875" style="388" customWidth="1"/>
    <col min="16" max="17" width="6.44140625" style="388" customWidth="1"/>
    <col min="18" max="18" width="9.88671875" style="388" customWidth="1"/>
    <col min="19" max="16384" width="8.88671875" style="388"/>
  </cols>
  <sheetData>
    <row r="1" spans="1:18" ht="18" x14ac:dyDescent="0.25">
      <c r="A1" s="604" t="s">
        <v>6</v>
      </c>
      <c r="B1" s="604"/>
      <c r="C1" s="604"/>
      <c r="D1" s="604"/>
      <c r="E1" s="604"/>
      <c r="F1" s="604"/>
      <c r="G1" s="604"/>
      <c r="H1" s="604"/>
      <c r="I1" s="604"/>
      <c r="J1" s="604"/>
      <c r="K1" s="406" t="s">
        <v>75</v>
      </c>
      <c r="L1" s="405"/>
      <c r="M1" s="405"/>
      <c r="N1" s="405"/>
      <c r="O1" s="405"/>
      <c r="P1" s="405"/>
      <c r="Q1" s="405"/>
      <c r="R1" s="405"/>
    </row>
    <row r="2" spans="1:18" ht="15" x14ac:dyDescent="0.2">
      <c r="A2" s="605" t="s">
        <v>17</v>
      </c>
      <c r="B2" s="605"/>
      <c r="C2" s="605"/>
      <c r="D2" s="605"/>
      <c r="E2" s="605"/>
      <c r="F2" s="605"/>
      <c r="G2" s="605"/>
      <c r="H2" s="605"/>
      <c r="I2" s="605"/>
      <c r="J2" s="605"/>
      <c r="K2" s="406" t="s">
        <v>75</v>
      </c>
      <c r="L2" s="404"/>
      <c r="M2" s="404"/>
      <c r="N2" s="404"/>
      <c r="O2" s="404"/>
      <c r="P2" s="404"/>
      <c r="Q2" s="404"/>
      <c r="R2" s="404"/>
    </row>
    <row r="3" spans="1:18" x14ac:dyDescent="0.2">
      <c r="A3" s="606" t="s">
        <v>18</v>
      </c>
      <c r="B3" s="606"/>
      <c r="C3" s="606"/>
      <c r="D3" s="606"/>
      <c r="E3" s="606"/>
      <c r="F3" s="606"/>
      <c r="G3" s="606"/>
      <c r="H3" s="606"/>
      <c r="I3" s="606"/>
      <c r="J3" s="606"/>
      <c r="K3" s="406" t="s">
        <v>75</v>
      </c>
      <c r="L3" s="403"/>
      <c r="M3" s="403"/>
      <c r="N3" s="403"/>
      <c r="O3" s="403"/>
      <c r="P3" s="403"/>
      <c r="Q3" s="403"/>
      <c r="R3" s="403"/>
    </row>
    <row r="4" spans="1:18" x14ac:dyDescent="0.2">
      <c r="A4" s="607" t="s">
        <v>41</v>
      </c>
      <c r="B4" s="607"/>
      <c r="C4" s="607"/>
      <c r="D4" s="607"/>
      <c r="E4" s="607"/>
      <c r="F4" s="607"/>
      <c r="G4" s="607"/>
      <c r="H4" s="607"/>
      <c r="I4" s="607"/>
      <c r="J4" s="607"/>
      <c r="K4" s="406" t="s">
        <v>75</v>
      </c>
      <c r="L4" s="402"/>
      <c r="M4" s="402"/>
      <c r="N4" s="402"/>
      <c r="O4" s="402"/>
      <c r="P4" s="402"/>
      <c r="Q4" s="402"/>
      <c r="R4" s="402"/>
    </row>
    <row r="5" spans="1:18" x14ac:dyDescent="0.2">
      <c r="A5" s="607"/>
      <c r="B5" s="607"/>
      <c r="C5" s="607"/>
      <c r="D5" s="607"/>
      <c r="E5" s="607"/>
      <c r="F5" s="607"/>
      <c r="G5" s="607"/>
      <c r="H5" s="607"/>
      <c r="I5" s="607"/>
      <c r="J5" s="607"/>
      <c r="K5" s="406" t="s">
        <v>75</v>
      </c>
      <c r="L5" s="402"/>
      <c r="M5" s="402"/>
      <c r="N5" s="402"/>
      <c r="O5" s="402"/>
      <c r="P5" s="402"/>
      <c r="Q5" s="402"/>
      <c r="R5" s="402"/>
    </row>
    <row r="6" spans="1:18" ht="15" thickBot="1" x14ac:dyDescent="0.25">
      <c r="A6" s="607"/>
      <c r="B6" s="607"/>
      <c r="C6" s="607"/>
      <c r="D6" s="607"/>
      <c r="E6" s="607"/>
      <c r="F6" s="607"/>
      <c r="G6" s="607"/>
      <c r="H6" s="607"/>
      <c r="I6" s="607"/>
      <c r="J6" s="607"/>
      <c r="K6" s="406" t="s">
        <v>75</v>
      </c>
      <c r="L6" s="402"/>
      <c r="M6" s="402"/>
      <c r="N6" s="402"/>
      <c r="O6" s="402"/>
      <c r="P6" s="402"/>
      <c r="Q6" s="402"/>
      <c r="R6" s="402"/>
    </row>
    <row r="7" spans="1:18" ht="15" x14ac:dyDescent="0.2">
      <c r="A7" s="627" t="s">
        <v>20</v>
      </c>
      <c r="B7" s="623" t="s">
        <v>353</v>
      </c>
      <c r="C7" s="624"/>
      <c r="D7" s="623" t="s">
        <v>170</v>
      </c>
      <c r="E7" s="624"/>
      <c r="F7" s="625" t="s">
        <v>112</v>
      </c>
      <c r="G7" s="608"/>
      <c r="H7" s="608"/>
      <c r="I7" s="608"/>
      <c r="J7" s="626"/>
      <c r="K7" s="406" t="s">
        <v>75</v>
      </c>
    </row>
    <row r="8" spans="1:18" ht="28.5" x14ac:dyDescent="0.2">
      <c r="A8" s="628"/>
      <c r="B8" s="397" t="s">
        <v>168</v>
      </c>
      <c r="C8" s="397" t="s">
        <v>334</v>
      </c>
      <c r="D8" s="397" t="s">
        <v>168</v>
      </c>
      <c r="E8" s="397" t="s">
        <v>334</v>
      </c>
      <c r="F8" s="397" t="s">
        <v>78</v>
      </c>
      <c r="G8" s="397" t="s">
        <v>83</v>
      </c>
      <c r="H8" s="397" t="s">
        <v>52</v>
      </c>
      <c r="I8" s="397" t="s">
        <v>352</v>
      </c>
      <c r="J8" s="396" t="s">
        <v>351</v>
      </c>
      <c r="K8" s="406" t="s">
        <v>75</v>
      </c>
    </row>
    <row r="9" spans="1:18" x14ac:dyDescent="0.2">
      <c r="A9" s="435" t="s">
        <v>25</v>
      </c>
      <c r="B9" s="434">
        <v>2017</v>
      </c>
      <c r="C9" s="434">
        <v>0</v>
      </c>
      <c r="D9" s="434">
        <v>2017</v>
      </c>
      <c r="E9" s="434">
        <v>0</v>
      </c>
      <c r="F9" s="434">
        <v>0</v>
      </c>
      <c r="G9" s="434">
        <v>53</v>
      </c>
      <c r="H9" s="434">
        <v>0</v>
      </c>
      <c r="I9" s="434">
        <f t="shared" ref="I9:I29" si="0">D9+F9+G9+H9</f>
        <v>2070</v>
      </c>
      <c r="J9" s="434">
        <v>0</v>
      </c>
      <c r="K9" s="406" t="s">
        <v>75</v>
      </c>
    </row>
    <row r="10" spans="1:18" x14ac:dyDescent="0.2">
      <c r="A10" s="433" t="s">
        <v>26</v>
      </c>
      <c r="B10" s="432">
        <v>19756</v>
      </c>
      <c r="C10" s="432">
        <v>0</v>
      </c>
      <c r="D10" s="432">
        <v>19756</v>
      </c>
      <c r="E10" s="432">
        <v>0</v>
      </c>
      <c r="F10" s="432">
        <v>0</v>
      </c>
      <c r="G10" s="432">
        <v>1155</v>
      </c>
      <c r="H10" s="432">
        <v>0</v>
      </c>
      <c r="I10" s="432">
        <f t="shared" si="0"/>
        <v>20911</v>
      </c>
      <c r="J10" s="432">
        <v>0</v>
      </c>
      <c r="K10" s="406" t="s">
        <v>75</v>
      </c>
    </row>
    <row r="11" spans="1:18" x14ac:dyDescent="0.2">
      <c r="A11" s="430" t="s">
        <v>350</v>
      </c>
      <c r="B11" s="416">
        <v>876</v>
      </c>
      <c r="C11" s="416">
        <v>19</v>
      </c>
      <c r="D11" s="416">
        <v>876</v>
      </c>
      <c r="E11" s="416">
        <v>19</v>
      </c>
      <c r="F11" s="416">
        <v>0</v>
      </c>
      <c r="G11" s="416">
        <v>22</v>
      </c>
      <c r="H11" s="416">
        <v>0</v>
      </c>
      <c r="I11" s="416">
        <f t="shared" si="0"/>
        <v>898</v>
      </c>
      <c r="J11" s="416">
        <v>19</v>
      </c>
      <c r="K11" s="406" t="s">
        <v>75</v>
      </c>
    </row>
    <row r="12" spans="1:18" x14ac:dyDescent="0.2">
      <c r="A12" s="431" t="s">
        <v>349</v>
      </c>
      <c r="B12" s="413">
        <v>3101</v>
      </c>
      <c r="C12" s="413">
        <v>18</v>
      </c>
      <c r="D12" s="413">
        <v>3101</v>
      </c>
      <c r="E12" s="413">
        <v>18</v>
      </c>
      <c r="F12" s="413">
        <v>0</v>
      </c>
      <c r="G12" s="413">
        <v>248</v>
      </c>
      <c r="H12" s="413">
        <v>0</v>
      </c>
      <c r="I12" s="413">
        <f t="shared" si="0"/>
        <v>3349</v>
      </c>
      <c r="J12" s="413">
        <v>18</v>
      </c>
      <c r="K12" s="406" t="s">
        <v>75</v>
      </c>
    </row>
    <row r="13" spans="1:18" x14ac:dyDescent="0.2">
      <c r="A13" s="430" t="s">
        <v>348</v>
      </c>
      <c r="B13" s="416">
        <v>0</v>
      </c>
      <c r="C13" s="416">
        <v>0</v>
      </c>
      <c r="D13" s="416">
        <v>0</v>
      </c>
      <c r="E13" s="416">
        <v>0</v>
      </c>
      <c r="F13" s="416">
        <v>0</v>
      </c>
      <c r="G13" s="416">
        <v>0</v>
      </c>
      <c r="H13" s="416">
        <v>0</v>
      </c>
      <c r="I13" s="416">
        <f t="shared" si="0"/>
        <v>0</v>
      </c>
      <c r="J13" s="416">
        <v>0</v>
      </c>
      <c r="K13" s="406" t="s">
        <v>75</v>
      </c>
    </row>
    <row r="14" spans="1:18" x14ac:dyDescent="0.2">
      <c r="A14" s="429" t="s">
        <v>27</v>
      </c>
      <c r="B14" s="391">
        <v>846</v>
      </c>
      <c r="C14" s="391">
        <v>2</v>
      </c>
      <c r="D14" s="391">
        <v>846</v>
      </c>
      <c r="E14" s="391">
        <v>2</v>
      </c>
      <c r="F14" s="391">
        <v>0</v>
      </c>
      <c r="G14" s="391">
        <v>41</v>
      </c>
      <c r="H14" s="391">
        <v>0</v>
      </c>
      <c r="I14" s="391">
        <f t="shared" si="0"/>
        <v>887</v>
      </c>
      <c r="J14" s="391">
        <v>2</v>
      </c>
      <c r="K14" s="406" t="s">
        <v>75</v>
      </c>
    </row>
    <row r="15" spans="1:18" x14ac:dyDescent="0.2">
      <c r="A15" s="429" t="s">
        <v>347</v>
      </c>
      <c r="B15" s="391">
        <v>2756</v>
      </c>
      <c r="C15" s="391">
        <v>58</v>
      </c>
      <c r="D15" s="391">
        <v>2756</v>
      </c>
      <c r="E15" s="391">
        <v>58</v>
      </c>
      <c r="F15" s="391">
        <v>0</v>
      </c>
      <c r="G15" s="391">
        <v>90</v>
      </c>
      <c r="H15" s="391">
        <v>0</v>
      </c>
      <c r="I15" s="391">
        <f t="shared" si="0"/>
        <v>2846</v>
      </c>
      <c r="J15" s="391">
        <v>58</v>
      </c>
      <c r="K15" s="406" t="s">
        <v>75</v>
      </c>
    </row>
    <row r="16" spans="1:18" x14ac:dyDescent="0.2">
      <c r="A16" s="429" t="s">
        <v>346</v>
      </c>
      <c r="B16" s="391">
        <v>2</v>
      </c>
      <c r="C16" s="391">
        <v>0</v>
      </c>
      <c r="D16" s="391">
        <v>2</v>
      </c>
      <c r="E16" s="391">
        <v>0</v>
      </c>
      <c r="F16" s="391">
        <v>0</v>
      </c>
      <c r="G16" s="391">
        <v>0</v>
      </c>
      <c r="H16" s="391">
        <v>0</v>
      </c>
      <c r="I16" s="391">
        <f t="shared" si="0"/>
        <v>2</v>
      </c>
      <c r="J16" s="391">
        <v>0</v>
      </c>
      <c r="K16" s="406" t="s">
        <v>75</v>
      </c>
    </row>
    <row r="17" spans="1:11" x14ac:dyDescent="0.2">
      <c r="A17" s="429" t="s">
        <v>28</v>
      </c>
      <c r="B17" s="391">
        <v>956</v>
      </c>
      <c r="C17" s="391">
        <v>4</v>
      </c>
      <c r="D17" s="391">
        <v>956</v>
      </c>
      <c r="E17" s="391">
        <v>4</v>
      </c>
      <c r="F17" s="391">
        <v>0</v>
      </c>
      <c r="G17" s="391">
        <v>33</v>
      </c>
      <c r="H17" s="391">
        <v>0</v>
      </c>
      <c r="I17" s="391">
        <f t="shared" si="0"/>
        <v>989</v>
      </c>
      <c r="J17" s="391">
        <v>4</v>
      </c>
      <c r="K17" s="406" t="s">
        <v>75</v>
      </c>
    </row>
    <row r="18" spans="1:11" x14ac:dyDescent="0.2">
      <c r="A18" s="429" t="s">
        <v>345</v>
      </c>
      <c r="B18" s="391">
        <v>2721</v>
      </c>
      <c r="C18" s="391">
        <v>8</v>
      </c>
      <c r="D18" s="391">
        <v>2721</v>
      </c>
      <c r="E18" s="391">
        <v>8</v>
      </c>
      <c r="F18" s="391">
        <v>0</v>
      </c>
      <c r="G18" s="391">
        <v>97</v>
      </c>
      <c r="H18" s="391">
        <v>0</v>
      </c>
      <c r="I18" s="391">
        <f t="shared" si="0"/>
        <v>2818</v>
      </c>
      <c r="J18" s="391">
        <v>8</v>
      </c>
      <c r="K18" s="406" t="s">
        <v>75</v>
      </c>
    </row>
    <row r="19" spans="1:11" x14ac:dyDescent="0.2">
      <c r="A19" s="429" t="s">
        <v>29</v>
      </c>
      <c r="B19" s="391">
        <v>362</v>
      </c>
      <c r="C19" s="391">
        <v>0</v>
      </c>
      <c r="D19" s="391">
        <v>362</v>
      </c>
      <c r="E19" s="391">
        <v>0</v>
      </c>
      <c r="F19" s="391">
        <v>0</v>
      </c>
      <c r="G19" s="391">
        <v>16</v>
      </c>
      <c r="H19" s="391">
        <v>0</v>
      </c>
      <c r="I19" s="391">
        <f t="shared" si="0"/>
        <v>378</v>
      </c>
      <c r="J19" s="391">
        <v>0</v>
      </c>
      <c r="K19" s="406" t="s">
        <v>75</v>
      </c>
    </row>
    <row r="20" spans="1:11" x14ac:dyDescent="0.2">
      <c r="A20" s="429" t="s">
        <v>24</v>
      </c>
      <c r="B20" s="391">
        <v>175</v>
      </c>
      <c r="C20" s="391">
        <v>0</v>
      </c>
      <c r="D20" s="391">
        <v>175</v>
      </c>
      <c r="E20" s="391">
        <v>0</v>
      </c>
      <c r="F20" s="391">
        <v>0</v>
      </c>
      <c r="G20" s="391">
        <v>6</v>
      </c>
      <c r="H20" s="391">
        <v>0</v>
      </c>
      <c r="I20" s="391">
        <f t="shared" si="0"/>
        <v>181</v>
      </c>
      <c r="J20" s="391">
        <v>0</v>
      </c>
      <c r="K20" s="406" t="s">
        <v>75</v>
      </c>
    </row>
    <row r="21" spans="1:11" x14ac:dyDescent="0.2">
      <c r="A21" s="429" t="s">
        <v>344</v>
      </c>
      <c r="B21" s="391">
        <f>82+493</f>
        <v>575</v>
      </c>
      <c r="C21" s="391">
        <v>0</v>
      </c>
      <c r="D21" s="391">
        <f>82+493</f>
        <v>575</v>
      </c>
      <c r="E21" s="391">
        <v>0</v>
      </c>
      <c r="F21" s="391">
        <v>0</v>
      </c>
      <c r="G21" s="391">
        <v>23</v>
      </c>
      <c r="H21" s="391">
        <v>0</v>
      </c>
      <c r="I21" s="391">
        <f t="shared" si="0"/>
        <v>598</v>
      </c>
      <c r="J21" s="391">
        <v>0</v>
      </c>
      <c r="K21" s="406" t="s">
        <v>75</v>
      </c>
    </row>
    <row r="22" spans="1:11" x14ac:dyDescent="0.2">
      <c r="A22" s="429" t="s">
        <v>343</v>
      </c>
      <c r="B22" s="391">
        <v>19</v>
      </c>
      <c r="C22" s="391">
        <v>0</v>
      </c>
      <c r="D22" s="391">
        <v>19</v>
      </c>
      <c r="E22" s="391">
        <v>0</v>
      </c>
      <c r="F22" s="391">
        <v>0</v>
      </c>
      <c r="G22" s="391">
        <v>0</v>
      </c>
      <c r="H22" s="391">
        <v>0</v>
      </c>
      <c r="I22" s="391">
        <f t="shared" si="0"/>
        <v>19</v>
      </c>
      <c r="J22" s="391">
        <v>0</v>
      </c>
      <c r="K22" s="406" t="s">
        <v>75</v>
      </c>
    </row>
    <row r="23" spans="1:11" x14ac:dyDescent="0.2">
      <c r="A23" s="429" t="s">
        <v>342</v>
      </c>
      <c r="B23" s="391">
        <v>401</v>
      </c>
      <c r="C23" s="391">
        <v>0</v>
      </c>
      <c r="D23" s="391">
        <v>401</v>
      </c>
      <c r="E23" s="391">
        <v>0</v>
      </c>
      <c r="F23" s="391">
        <v>0</v>
      </c>
      <c r="G23" s="391">
        <v>9</v>
      </c>
      <c r="H23" s="391">
        <v>0</v>
      </c>
      <c r="I23" s="391">
        <f t="shared" si="0"/>
        <v>410</v>
      </c>
      <c r="J23" s="391">
        <v>0</v>
      </c>
      <c r="K23" s="406" t="s">
        <v>75</v>
      </c>
    </row>
    <row r="24" spans="1:11" x14ac:dyDescent="0.2">
      <c r="A24" s="429" t="s">
        <v>341</v>
      </c>
      <c r="B24" s="391">
        <v>514</v>
      </c>
      <c r="C24" s="391">
        <v>16</v>
      </c>
      <c r="D24" s="391">
        <v>514</v>
      </c>
      <c r="E24" s="391">
        <v>16</v>
      </c>
      <c r="F24" s="391">
        <v>0</v>
      </c>
      <c r="G24" s="391">
        <v>15</v>
      </c>
      <c r="H24" s="391">
        <v>0</v>
      </c>
      <c r="I24" s="391">
        <f t="shared" si="0"/>
        <v>529</v>
      </c>
      <c r="J24" s="391">
        <v>16</v>
      </c>
      <c r="K24" s="406" t="s">
        <v>75</v>
      </c>
    </row>
    <row r="25" spans="1:11" x14ac:dyDescent="0.2">
      <c r="A25" s="429" t="s">
        <v>340</v>
      </c>
      <c r="B25" s="391">
        <v>1294</v>
      </c>
      <c r="C25" s="391">
        <v>9</v>
      </c>
      <c r="D25" s="391">
        <v>1294</v>
      </c>
      <c r="E25" s="391">
        <v>9</v>
      </c>
      <c r="F25" s="391">
        <v>0</v>
      </c>
      <c r="G25" s="391">
        <v>71</v>
      </c>
      <c r="H25" s="391">
        <v>0</v>
      </c>
      <c r="I25" s="391">
        <f t="shared" si="0"/>
        <v>1365</v>
      </c>
      <c r="J25" s="391">
        <v>9</v>
      </c>
      <c r="K25" s="406" t="s">
        <v>75</v>
      </c>
    </row>
    <row r="26" spans="1:11" x14ac:dyDescent="0.2">
      <c r="A26" s="429" t="s">
        <v>339</v>
      </c>
      <c r="B26" s="391">
        <v>127</v>
      </c>
      <c r="C26" s="391">
        <v>0</v>
      </c>
      <c r="D26" s="391">
        <v>127</v>
      </c>
      <c r="E26" s="391">
        <v>0</v>
      </c>
      <c r="F26" s="391">
        <v>0</v>
      </c>
      <c r="G26" s="391">
        <v>5</v>
      </c>
      <c r="H26" s="391">
        <v>0</v>
      </c>
      <c r="I26" s="391">
        <f t="shared" si="0"/>
        <v>132</v>
      </c>
      <c r="J26" s="391">
        <v>0</v>
      </c>
      <c r="K26" s="406" t="s">
        <v>75</v>
      </c>
    </row>
    <row r="27" spans="1:11" x14ac:dyDescent="0.2">
      <c r="A27" s="429" t="s">
        <v>30</v>
      </c>
      <c r="B27" s="391">
        <v>3</v>
      </c>
      <c r="C27" s="391">
        <v>0</v>
      </c>
      <c r="D27" s="391">
        <v>3</v>
      </c>
      <c r="E27" s="391">
        <v>0</v>
      </c>
      <c r="F27" s="391">
        <v>0</v>
      </c>
      <c r="G27" s="391">
        <v>0</v>
      </c>
      <c r="H27" s="391">
        <v>0</v>
      </c>
      <c r="I27" s="391">
        <f t="shared" si="0"/>
        <v>3</v>
      </c>
      <c r="J27" s="391">
        <v>0</v>
      </c>
      <c r="K27" s="406" t="s">
        <v>75</v>
      </c>
    </row>
    <row r="28" spans="1:11" x14ac:dyDescent="0.2">
      <c r="A28" s="429" t="s">
        <v>338</v>
      </c>
      <c r="B28" s="391">
        <v>405</v>
      </c>
      <c r="C28" s="391">
        <v>0</v>
      </c>
      <c r="D28" s="391">
        <v>405</v>
      </c>
      <c r="E28" s="391">
        <v>0</v>
      </c>
      <c r="F28" s="391">
        <v>0</v>
      </c>
      <c r="G28" s="391">
        <v>12</v>
      </c>
      <c r="H28" s="391">
        <v>0</v>
      </c>
      <c r="I28" s="391">
        <f t="shared" si="0"/>
        <v>417</v>
      </c>
      <c r="J28" s="391">
        <v>0</v>
      </c>
      <c r="K28" s="406" t="s">
        <v>75</v>
      </c>
    </row>
    <row r="29" spans="1:11" x14ac:dyDescent="0.2">
      <c r="A29" s="429" t="s">
        <v>273</v>
      </c>
      <c r="B29" s="391">
        <v>4129</v>
      </c>
      <c r="C29" s="391">
        <v>2</v>
      </c>
      <c r="D29" s="391">
        <v>4129</v>
      </c>
      <c r="E29" s="391">
        <v>2</v>
      </c>
      <c r="F29" s="391">
        <v>0</v>
      </c>
      <c r="G29" s="391">
        <v>191</v>
      </c>
      <c r="H29" s="391">
        <v>0</v>
      </c>
      <c r="I29" s="391">
        <f t="shared" si="0"/>
        <v>4320</v>
      </c>
      <c r="J29" s="391">
        <v>2</v>
      </c>
      <c r="K29" s="406" t="s">
        <v>75</v>
      </c>
    </row>
    <row r="30" spans="1:11" ht="15" x14ac:dyDescent="0.25">
      <c r="A30" s="426" t="s">
        <v>19</v>
      </c>
      <c r="B30" s="419">
        <f t="shared" ref="B30:J30" si="1">SUM(B9:B29)</f>
        <v>41035</v>
      </c>
      <c r="C30" s="419">
        <f t="shared" si="1"/>
        <v>136</v>
      </c>
      <c r="D30" s="419">
        <f t="shared" si="1"/>
        <v>41035</v>
      </c>
      <c r="E30" s="419">
        <f t="shared" si="1"/>
        <v>136</v>
      </c>
      <c r="F30" s="419">
        <f t="shared" si="1"/>
        <v>0</v>
      </c>
      <c r="G30" s="419">
        <f t="shared" si="1"/>
        <v>2087</v>
      </c>
      <c r="H30" s="419">
        <f t="shared" si="1"/>
        <v>0</v>
      </c>
      <c r="I30" s="419">
        <f t="shared" si="1"/>
        <v>43122</v>
      </c>
      <c r="J30" s="419">
        <f t="shared" si="1"/>
        <v>136</v>
      </c>
      <c r="K30" s="406" t="s">
        <v>75</v>
      </c>
    </row>
    <row r="31" spans="1:11" x14ac:dyDescent="0.2">
      <c r="A31" s="428" t="s">
        <v>32</v>
      </c>
      <c r="B31" s="416">
        <v>1162</v>
      </c>
      <c r="C31" s="416">
        <v>0</v>
      </c>
      <c r="D31" s="416">
        <v>1162</v>
      </c>
      <c r="E31" s="416">
        <v>0</v>
      </c>
      <c r="F31" s="416">
        <v>0</v>
      </c>
      <c r="G31" s="416">
        <v>0</v>
      </c>
      <c r="H31" s="416">
        <f>SUM(H13:H30)</f>
        <v>0</v>
      </c>
      <c r="I31" s="416">
        <f>D31+F31+G31+H31</f>
        <v>1162</v>
      </c>
      <c r="J31" s="416">
        <v>0</v>
      </c>
      <c r="K31" s="406" t="s">
        <v>75</v>
      </c>
    </row>
    <row r="32" spans="1:11" x14ac:dyDescent="0.2">
      <c r="A32" s="427" t="s">
        <v>31</v>
      </c>
      <c r="B32" s="391">
        <f>+B30-B31</f>
        <v>39873</v>
      </c>
      <c r="C32" s="391">
        <v>136</v>
      </c>
      <c r="D32" s="391">
        <f>+D30-D31</f>
        <v>39873</v>
      </c>
      <c r="E32" s="391">
        <v>136</v>
      </c>
      <c r="F32" s="391">
        <v>0</v>
      </c>
      <c r="G32" s="391">
        <f>+G30-G31</f>
        <v>2087</v>
      </c>
      <c r="H32" s="391">
        <f>SUM(H14:H31)</f>
        <v>0</v>
      </c>
      <c r="I32" s="391">
        <f>D32+F32+G32+H32</f>
        <v>41960</v>
      </c>
      <c r="J32" s="391">
        <v>136</v>
      </c>
      <c r="K32" s="406" t="s">
        <v>75</v>
      </c>
    </row>
    <row r="33" spans="1:11" x14ac:dyDescent="0.2">
      <c r="A33" s="427" t="s">
        <v>337</v>
      </c>
      <c r="B33" s="391">
        <v>0</v>
      </c>
      <c r="C33" s="391">
        <v>0</v>
      </c>
      <c r="D33" s="391">
        <v>0</v>
      </c>
      <c r="E33" s="391">
        <v>0</v>
      </c>
      <c r="F33" s="391">
        <v>0</v>
      </c>
      <c r="G33" s="391">
        <v>0</v>
      </c>
      <c r="H33" s="391">
        <f>SUM(H15:H32)</f>
        <v>0</v>
      </c>
      <c r="I33" s="391">
        <f>D33+F33+G33+H33</f>
        <v>0</v>
      </c>
      <c r="J33" s="391">
        <v>0</v>
      </c>
      <c r="K33" s="406" t="s">
        <v>75</v>
      </c>
    </row>
    <row r="34" spans="1:11" ht="15" x14ac:dyDescent="0.25">
      <c r="A34" s="426" t="s">
        <v>19</v>
      </c>
      <c r="B34" s="419">
        <f t="shared" ref="B34:J34" si="2">SUM(B31:B33)</f>
        <v>41035</v>
      </c>
      <c r="C34" s="419">
        <f t="shared" si="2"/>
        <v>136</v>
      </c>
      <c r="D34" s="419">
        <f t="shared" si="2"/>
        <v>41035</v>
      </c>
      <c r="E34" s="419">
        <f t="shared" si="2"/>
        <v>136</v>
      </c>
      <c r="F34" s="419">
        <f t="shared" si="2"/>
        <v>0</v>
      </c>
      <c r="G34" s="419">
        <f t="shared" si="2"/>
        <v>2087</v>
      </c>
      <c r="H34" s="419">
        <f t="shared" si="2"/>
        <v>0</v>
      </c>
      <c r="I34" s="419">
        <f t="shared" si="2"/>
        <v>43122</v>
      </c>
      <c r="J34" s="419">
        <f t="shared" si="2"/>
        <v>136</v>
      </c>
      <c r="K34" s="406" t="s">
        <v>76</v>
      </c>
    </row>
    <row r="35" spans="1:11" x14ac:dyDescent="0.2">
      <c r="K35" s="406"/>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5" orientation="landscape" r:id="rId1"/>
  <headerFooter>
    <oddHeader>&amp;L&amp;"Arial,Bold"&amp;12I. Detail of Permanent Positions by Category</oddHeader>
    <oddFooter>&amp;C&amp;"Arial,Regular"Exhibit I - Details of Permanent Positions by Category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view="pageBreakPreview" topLeftCell="D2" zoomScale="85" zoomScaleNormal="100" zoomScaleSheetLayoutView="85" workbookViewId="0">
      <selection activeCell="J40" sqref="J40:K40"/>
    </sheetView>
  </sheetViews>
  <sheetFormatPr defaultRowHeight="15" x14ac:dyDescent="0.2"/>
  <cols>
    <col min="1" max="1" width="49.44140625" style="436" customWidth="1"/>
    <col min="2" max="2" width="8.88671875" style="436" customWidth="1"/>
    <col min="3" max="3" width="9.88671875" style="436" customWidth="1"/>
    <col min="4" max="4" width="6.77734375" style="436" customWidth="1"/>
    <col min="5" max="5" width="9.88671875" style="436" customWidth="1"/>
    <col min="6" max="6" width="6.77734375" style="436" customWidth="1"/>
    <col min="7" max="7" width="9.88671875" style="436" customWidth="1"/>
    <col min="8" max="8" width="6.77734375" style="436" customWidth="1"/>
    <col min="9" max="9" width="9.88671875" style="436" customWidth="1"/>
    <col min="10" max="10" width="5.88671875" style="436" customWidth="1"/>
    <col min="11" max="11" width="7.5546875" style="436" customWidth="1"/>
    <col min="12" max="12" width="5.88671875" style="436" customWidth="1"/>
    <col min="13" max="13" width="8.5546875" style="436" customWidth="1"/>
    <col min="14" max="14" width="10.88671875" style="437" bestFit="1" customWidth="1"/>
    <col min="15" max="15" width="9.88671875" style="436" customWidth="1"/>
    <col min="17" max="17" width="3.5546875" style="436" customWidth="1"/>
    <col min="18" max="19" width="6.44140625" style="436" customWidth="1"/>
    <col min="20" max="20" width="9.88671875" style="436" customWidth="1"/>
    <col min="21" max="22" width="6.44140625" style="436" customWidth="1"/>
    <col min="23" max="23" width="9.88671875" style="436" customWidth="1"/>
    <col min="24" max="16384" width="8.88671875" style="436"/>
  </cols>
  <sheetData>
    <row r="1" spans="1:23" ht="18" x14ac:dyDescent="0.25">
      <c r="A1" s="629" t="s">
        <v>53</v>
      </c>
      <c r="B1" s="629"/>
      <c r="C1" s="629"/>
      <c r="D1" s="629"/>
      <c r="E1" s="629"/>
      <c r="F1" s="629"/>
      <c r="G1" s="629"/>
      <c r="H1" s="629"/>
      <c r="I1" s="629"/>
      <c r="J1" s="629"/>
      <c r="K1" s="629"/>
      <c r="L1" s="629"/>
      <c r="M1" s="629"/>
      <c r="N1" s="439" t="s">
        <v>75</v>
      </c>
      <c r="O1" s="467"/>
      <c r="Q1" s="465"/>
      <c r="R1" s="465"/>
      <c r="S1" s="465"/>
      <c r="T1" s="465"/>
      <c r="U1" s="465"/>
      <c r="V1" s="465"/>
      <c r="W1" s="465"/>
    </row>
    <row r="2" spans="1:23" x14ac:dyDescent="0.2">
      <c r="A2" s="630" t="s">
        <v>17</v>
      </c>
      <c r="B2" s="630"/>
      <c r="C2" s="630"/>
      <c r="D2" s="630"/>
      <c r="E2" s="630"/>
      <c r="F2" s="630"/>
      <c r="G2" s="630"/>
      <c r="H2" s="630"/>
      <c r="I2" s="630"/>
      <c r="J2" s="630"/>
      <c r="K2" s="630"/>
      <c r="L2" s="630"/>
      <c r="M2" s="630"/>
      <c r="N2" s="439" t="s">
        <v>75</v>
      </c>
      <c r="O2" s="468"/>
      <c r="Q2" s="464"/>
      <c r="R2" s="464"/>
      <c r="S2" s="464"/>
      <c r="T2" s="464"/>
      <c r="U2" s="464"/>
      <c r="V2" s="464"/>
      <c r="W2" s="464"/>
    </row>
    <row r="3" spans="1:23" x14ac:dyDescent="0.2">
      <c r="A3" s="631" t="s">
        <v>18</v>
      </c>
      <c r="B3" s="631"/>
      <c r="C3" s="631"/>
      <c r="D3" s="631"/>
      <c r="E3" s="631"/>
      <c r="F3" s="631"/>
      <c r="G3" s="631"/>
      <c r="H3" s="631"/>
      <c r="I3" s="631"/>
      <c r="J3" s="631"/>
      <c r="K3" s="631"/>
      <c r="L3" s="631"/>
      <c r="M3" s="631"/>
      <c r="N3" s="439" t="s">
        <v>75</v>
      </c>
      <c r="O3" s="469"/>
      <c r="Q3" s="463"/>
      <c r="R3" s="463"/>
      <c r="S3" s="463"/>
      <c r="T3" s="463"/>
      <c r="U3" s="463"/>
      <c r="V3" s="463"/>
      <c r="W3" s="463"/>
    </row>
    <row r="4" spans="1:23" x14ac:dyDescent="0.2">
      <c r="A4" s="632" t="s">
        <v>41</v>
      </c>
      <c r="B4" s="632"/>
      <c r="C4" s="632"/>
      <c r="D4" s="632"/>
      <c r="E4" s="632"/>
      <c r="F4" s="632"/>
      <c r="G4" s="632"/>
      <c r="H4" s="632"/>
      <c r="I4" s="632"/>
      <c r="J4" s="632"/>
      <c r="K4" s="632"/>
      <c r="L4" s="632"/>
      <c r="M4" s="632"/>
      <c r="N4" s="439" t="s">
        <v>75</v>
      </c>
      <c r="O4" s="470"/>
      <c r="Q4" s="462"/>
      <c r="R4" s="462"/>
      <c r="S4" s="462"/>
      <c r="T4" s="462"/>
      <c r="U4" s="462"/>
      <c r="V4" s="462"/>
      <c r="W4" s="462"/>
    </row>
    <row r="5" spans="1:23" x14ac:dyDescent="0.2">
      <c r="A5" s="470"/>
      <c r="B5" s="470"/>
      <c r="C5" s="470"/>
      <c r="D5" s="470"/>
      <c r="E5" s="470"/>
      <c r="F5" s="470"/>
      <c r="G5" s="470"/>
      <c r="H5" s="470"/>
      <c r="I5" s="470"/>
      <c r="J5" s="470"/>
      <c r="K5" s="470"/>
      <c r="L5" s="470"/>
      <c r="M5" s="470"/>
      <c r="N5" s="439" t="s">
        <v>75</v>
      </c>
      <c r="O5" s="470"/>
      <c r="Q5" s="462"/>
      <c r="R5" s="462"/>
      <c r="S5" s="462"/>
      <c r="T5" s="462"/>
      <c r="U5" s="462"/>
      <c r="V5" s="462"/>
      <c r="W5" s="462"/>
    </row>
    <row r="6" spans="1:23" x14ac:dyDescent="0.2">
      <c r="A6" s="471" t="s">
        <v>42</v>
      </c>
      <c r="B6" s="635" t="s">
        <v>378</v>
      </c>
      <c r="C6" s="636"/>
      <c r="D6" s="636"/>
      <c r="E6" s="636"/>
      <c r="F6" s="636"/>
      <c r="G6" s="636"/>
      <c r="H6" s="636"/>
      <c r="I6" s="636"/>
      <c r="J6" s="636"/>
      <c r="K6" s="636"/>
      <c r="L6" s="636"/>
      <c r="M6" s="637"/>
      <c r="N6" s="439" t="s">
        <v>75</v>
      </c>
      <c r="O6" s="475"/>
    </row>
    <row r="7" spans="1:23" ht="30" customHeight="1" x14ac:dyDescent="0.2">
      <c r="A7" s="472"/>
      <c r="B7" s="633" t="s">
        <v>374</v>
      </c>
      <c r="C7" s="634"/>
      <c r="D7" s="633" t="s">
        <v>373</v>
      </c>
      <c r="E7" s="634"/>
      <c r="F7" s="633" t="s">
        <v>372</v>
      </c>
      <c r="G7" s="634"/>
      <c r="H7" s="633" t="s">
        <v>377</v>
      </c>
      <c r="I7" s="634"/>
      <c r="J7" s="633" t="s">
        <v>376</v>
      </c>
      <c r="K7" s="634"/>
      <c r="L7" s="633" t="s">
        <v>375</v>
      </c>
      <c r="M7" s="634"/>
      <c r="N7" s="439" t="s">
        <v>75</v>
      </c>
      <c r="O7" s="475"/>
    </row>
    <row r="8" spans="1:23" ht="28.5" x14ac:dyDescent="0.2">
      <c r="A8" s="473"/>
      <c r="B8" s="455" t="s">
        <v>168</v>
      </c>
      <c r="C8" s="455" t="s">
        <v>11</v>
      </c>
      <c r="D8" s="455" t="s">
        <v>168</v>
      </c>
      <c r="E8" s="455" t="s">
        <v>11</v>
      </c>
      <c r="F8" s="455" t="s">
        <v>168</v>
      </c>
      <c r="G8" s="455" t="s">
        <v>11</v>
      </c>
      <c r="H8" s="455" t="s">
        <v>168</v>
      </c>
      <c r="I8" s="455" t="s">
        <v>11</v>
      </c>
      <c r="J8" s="455" t="s">
        <v>168</v>
      </c>
      <c r="K8" s="455" t="s">
        <v>11</v>
      </c>
      <c r="L8" s="455" t="s">
        <v>168</v>
      </c>
      <c r="M8" s="455" t="s">
        <v>11</v>
      </c>
      <c r="N8" s="439" t="s">
        <v>75</v>
      </c>
      <c r="O8" s="458"/>
    </row>
    <row r="9" spans="1:23" x14ac:dyDescent="0.2">
      <c r="A9" s="450" t="s">
        <v>274</v>
      </c>
      <c r="B9" s="449">
        <v>0</v>
      </c>
      <c r="C9" s="449">
        <v>0</v>
      </c>
      <c r="D9" s="449">
        <v>0</v>
      </c>
      <c r="E9" s="449">
        <v>0</v>
      </c>
      <c r="F9" s="449">
        <v>0</v>
      </c>
      <c r="G9" s="449">
        <v>0</v>
      </c>
      <c r="H9" s="449">
        <v>0</v>
      </c>
      <c r="I9" s="449">
        <v>0</v>
      </c>
      <c r="J9" s="449">
        <v>0</v>
      </c>
      <c r="K9" s="449">
        <v>0</v>
      </c>
      <c r="L9" s="449">
        <v>0</v>
      </c>
      <c r="M9" s="449">
        <v>0</v>
      </c>
      <c r="N9" s="439" t="s">
        <v>75</v>
      </c>
      <c r="O9" s="456"/>
    </row>
    <row r="10" spans="1:23" x14ac:dyDescent="0.2">
      <c r="A10" s="445" t="s">
        <v>271</v>
      </c>
      <c r="B10" s="444">
        <v>4</v>
      </c>
      <c r="C10" s="444">
        <v>578</v>
      </c>
      <c r="D10" s="444">
        <v>2</v>
      </c>
      <c r="E10" s="444">
        <v>267</v>
      </c>
      <c r="F10" s="444">
        <v>2</v>
      </c>
      <c r="G10" s="444">
        <v>266</v>
      </c>
      <c r="H10" s="444">
        <v>0</v>
      </c>
      <c r="I10" s="444">
        <v>0</v>
      </c>
      <c r="J10" s="444">
        <v>0</v>
      </c>
      <c r="K10" s="444">
        <v>0</v>
      </c>
      <c r="L10" s="444">
        <v>0</v>
      </c>
      <c r="M10" s="444">
        <v>0</v>
      </c>
      <c r="N10" s="439" t="s">
        <v>75</v>
      </c>
      <c r="O10" s="456"/>
    </row>
    <row r="11" spans="1:23" x14ac:dyDescent="0.2">
      <c r="A11" s="445" t="s">
        <v>270</v>
      </c>
      <c r="B11" s="444">
        <v>0</v>
      </c>
      <c r="C11" s="444">
        <v>0</v>
      </c>
      <c r="D11" s="444">
        <v>0</v>
      </c>
      <c r="E11" s="444">
        <v>0</v>
      </c>
      <c r="F11" s="444">
        <v>0</v>
      </c>
      <c r="G11" s="444">
        <v>0</v>
      </c>
      <c r="H11" s="444">
        <v>0</v>
      </c>
      <c r="I11" s="444">
        <v>0</v>
      </c>
      <c r="J11" s="444">
        <v>0</v>
      </c>
      <c r="K11" s="444">
        <v>0</v>
      </c>
      <c r="L11" s="444">
        <v>0</v>
      </c>
      <c r="M11" s="444">
        <v>0</v>
      </c>
      <c r="N11" s="439" t="s">
        <v>75</v>
      </c>
      <c r="O11" s="456"/>
    </row>
    <row r="12" spans="1:23" x14ac:dyDescent="0.2">
      <c r="A12" s="445" t="s">
        <v>269</v>
      </c>
      <c r="B12" s="444">
        <v>10</v>
      </c>
      <c r="C12" s="444">
        <v>1039</v>
      </c>
      <c r="D12" s="444">
        <v>7</v>
      </c>
      <c r="E12" s="444">
        <v>673</v>
      </c>
      <c r="F12" s="444">
        <v>7</v>
      </c>
      <c r="G12" s="444">
        <v>673</v>
      </c>
      <c r="H12" s="444">
        <v>25</v>
      </c>
      <c r="I12" s="444">
        <v>2507</v>
      </c>
      <c r="J12" s="444">
        <v>0</v>
      </c>
      <c r="K12" s="444">
        <v>0</v>
      </c>
      <c r="L12" s="444">
        <v>0</v>
      </c>
      <c r="M12" s="444">
        <v>0</v>
      </c>
      <c r="N12" s="439" t="s">
        <v>75</v>
      </c>
      <c r="O12" s="456"/>
    </row>
    <row r="13" spans="1:23" x14ac:dyDescent="0.2">
      <c r="A13" s="445" t="s">
        <v>268</v>
      </c>
      <c r="B13" s="444">
        <v>34</v>
      </c>
      <c r="C13" s="444">
        <v>2970</v>
      </c>
      <c r="D13" s="444">
        <v>14</v>
      </c>
      <c r="E13" s="444">
        <v>1132</v>
      </c>
      <c r="F13" s="444">
        <v>14</v>
      </c>
      <c r="G13" s="444">
        <v>1132</v>
      </c>
      <c r="H13" s="444">
        <v>95</v>
      </c>
      <c r="I13" s="444">
        <v>7027</v>
      </c>
      <c r="J13" s="444">
        <v>0</v>
      </c>
      <c r="K13" s="444">
        <v>0</v>
      </c>
      <c r="L13" s="444">
        <v>0</v>
      </c>
      <c r="M13" s="444">
        <v>0</v>
      </c>
      <c r="N13" s="439" t="s">
        <v>75</v>
      </c>
      <c r="O13" s="456"/>
    </row>
    <row r="14" spans="1:23" x14ac:dyDescent="0.2">
      <c r="A14" s="445" t="s">
        <v>267</v>
      </c>
      <c r="B14" s="444">
        <v>76</v>
      </c>
      <c r="C14" s="444">
        <v>5539</v>
      </c>
      <c r="D14" s="444">
        <v>38</v>
      </c>
      <c r="E14" s="444">
        <v>2564</v>
      </c>
      <c r="F14" s="444">
        <v>45</v>
      </c>
      <c r="G14" s="444">
        <v>3037</v>
      </c>
      <c r="H14" s="444">
        <v>0</v>
      </c>
      <c r="I14" s="444">
        <v>0</v>
      </c>
      <c r="J14" s="444">
        <v>0</v>
      </c>
      <c r="K14" s="444">
        <v>0</v>
      </c>
      <c r="L14" s="444">
        <v>0</v>
      </c>
      <c r="M14" s="444">
        <v>0</v>
      </c>
      <c r="N14" s="439" t="s">
        <v>75</v>
      </c>
      <c r="O14" s="456"/>
    </row>
    <row r="15" spans="1:23" x14ac:dyDescent="0.2">
      <c r="A15" s="445" t="s">
        <v>266</v>
      </c>
      <c r="B15" s="444">
        <v>1</v>
      </c>
      <c r="C15" s="444">
        <v>68</v>
      </c>
      <c r="D15" s="444">
        <v>0</v>
      </c>
      <c r="E15" s="444">
        <v>0</v>
      </c>
      <c r="F15" s="444">
        <v>1</v>
      </c>
      <c r="G15" s="444">
        <v>63</v>
      </c>
      <c r="H15" s="444">
        <v>0</v>
      </c>
      <c r="I15" s="444">
        <v>0</v>
      </c>
      <c r="J15" s="444">
        <v>0</v>
      </c>
      <c r="K15" s="444">
        <v>0</v>
      </c>
      <c r="L15" s="444">
        <v>0</v>
      </c>
      <c r="M15" s="444">
        <v>0</v>
      </c>
      <c r="N15" s="439" t="s">
        <v>75</v>
      </c>
      <c r="O15" s="456"/>
    </row>
    <row r="16" spans="1:23" x14ac:dyDescent="0.2">
      <c r="A16" s="445" t="s">
        <v>265</v>
      </c>
      <c r="B16" s="444">
        <v>57</v>
      </c>
      <c r="C16" s="444">
        <v>3531</v>
      </c>
      <c r="D16" s="444">
        <v>32</v>
      </c>
      <c r="E16" s="444">
        <v>1837</v>
      </c>
      <c r="F16" s="444">
        <v>20</v>
      </c>
      <c r="G16" s="444">
        <v>1148</v>
      </c>
      <c r="H16" s="444">
        <v>0</v>
      </c>
      <c r="I16" s="444">
        <v>0</v>
      </c>
      <c r="J16" s="444">
        <v>0</v>
      </c>
      <c r="K16" s="444">
        <v>0</v>
      </c>
      <c r="L16" s="444">
        <v>0</v>
      </c>
      <c r="M16" s="444">
        <v>0</v>
      </c>
      <c r="N16" s="439" t="s">
        <v>75</v>
      </c>
      <c r="O16" s="456"/>
    </row>
    <row r="17" spans="1:15" x14ac:dyDescent="0.2">
      <c r="A17" s="445" t="s">
        <v>264</v>
      </c>
      <c r="B17" s="444">
        <v>4</v>
      </c>
      <c r="C17" s="444">
        <v>231</v>
      </c>
      <c r="D17" s="444">
        <v>0</v>
      </c>
      <c r="E17" s="444">
        <v>0</v>
      </c>
      <c r="F17" s="444">
        <v>5</v>
      </c>
      <c r="G17" s="444">
        <v>266</v>
      </c>
      <c r="H17" s="444">
        <v>0</v>
      </c>
      <c r="I17" s="444">
        <v>0</v>
      </c>
      <c r="J17" s="444">
        <v>0</v>
      </c>
      <c r="K17" s="444">
        <v>0</v>
      </c>
      <c r="L17" s="444">
        <v>0</v>
      </c>
      <c r="M17" s="444">
        <v>0</v>
      </c>
      <c r="N17" s="439" t="s">
        <v>75</v>
      </c>
      <c r="O17" s="456"/>
    </row>
    <row r="18" spans="1:15" x14ac:dyDescent="0.2">
      <c r="A18" s="445" t="s">
        <v>263</v>
      </c>
      <c r="B18" s="444">
        <v>23</v>
      </c>
      <c r="C18" s="444">
        <v>1262</v>
      </c>
      <c r="D18" s="444">
        <v>15</v>
      </c>
      <c r="E18" s="444">
        <v>765</v>
      </c>
      <c r="F18" s="444">
        <v>8</v>
      </c>
      <c r="G18" s="444">
        <v>408</v>
      </c>
      <c r="H18" s="444">
        <v>0</v>
      </c>
      <c r="I18" s="444">
        <v>0</v>
      </c>
      <c r="J18" s="444">
        <v>0</v>
      </c>
      <c r="K18" s="444">
        <v>0</v>
      </c>
      <c r="L18" s="444">
        <v>0</v>
      </c>
      <c r="M18" s="444">
        <v>0</v>
      </c>
      <c r="N18" s="439" t="s">
        <v>75</v>
      </c>
      <c r="O18" s="456"/>
    </row>
    <row r="19" spans="1:15" x14ac:dyDescent="0.2">
      <c r="A19" s="445" t="s">
        <v>262</v>
      </c>
      <c r="B19" s="444">
        <v>27</v>
      </c>
      <c r="C19" s="444">
        <v>1367</v>
      </c>
      <c r="D19" s="444">
        <v>18</v>
      </c>
      <c r="E19" s="444">
        <v>847</v>
      </c>
      <c r="F19" s="444">
        <v>14</v>
      </c>
      <c r="G19" s="444">
        <v>658</v>
      </c>
      <c r="H19" s="444">
        <v>0</v>
      </c>
      <c r="I19" s="444">
        <v>0</v>
      </c>
      <c r="J19" s="444">
        <v>0</v>
      </c>
      <c r="K19" s="444">
        <v>0</v>
      </c>
      <c r="L19" s="444">
        <v>0</v>
      </c>
      <c r="M19" s="444">
        <v>0</v>
      </c>
      <c r="N19" s="439" t="s">
        <v>75</v>
      </c>
      <c r="O19" s="456"/>
    </row>
    <row r="20" spans="1:15" x14ac:dyDescent="0.2">
      <c r="A20" s="454" t="s">
        <v>261</v>
      </c>
      <c r="B20" s="453">
        <v>0</v>
      </c>
      <c r="C20" s="453">
        <v>0</v>
      </c>
      <c r="D20" s="453">
        <v>0</v>
      </c>
      <c r="E20" s="453">
        <v>0</v>
      </c>
      <c r="F20" s="453">
        <v>1</v>
      </c>
      <c r="G20" s="453">
        <v>44</v>
      </c>
      <c r="H20" s="453">
        <v>0</v>
      </c>
      <c r="I20" s="453">
        <v>0</v>
      </c>
      <c r="J20" s="453">
        <v>0</v>
      </c>
      <c r="K20" s="453">
        <v>0</v>
      </c>
      <c r="L20" s="453">
        <v>0</v>
      </c>
      <c r="M20" s="453">
        <v>0</v>
      </c>
      <c r="N20" s="439" t="s">
        <v>75</v>
      </c>
      <c r="O20" s="456"/>
    </row>
    <row r="21" spans="1:15" x14ac:dyDescent="0.2">
      <c r="A21" s="452" t="s">
        <v>74</v>
      </c>
      <c r="B21" s="451">
        <v>36</v>
      </c>
      <c r="C21" s="451">
        <v>2807</v>
      </c>
      <c r="D21" s="451">
        <v>20</v>
      </c>
      <c r="E21" s="451">
        <v>1479</v>
      </c>
      <c r="F21" s="451">
        <v>16</v>
      </c>
      <c r="G21" s="451">
        <v>1222</v>
      </c>
      <c r="H21" s="451">
        <v>0</v>
      </c>
      <c r="I21" s="451">
        <v>0</v>
      </c>
      <c r="J21" s="451">
        <v>0</v>
      </c>
      <c r="K21" s="451">
        <v>0</v>
      </c>
      <c r="L21" s="451">
        <v>0</v>
      </c>
      <c r="M21" s="451">
        <v>0</v>
      </c>
      <c r="N21" s="439" t="s">
        <v>75</v>
      </c>
      <c r="O21" s="456"/>
    </row>
    <row r="22" spans="1:15" x14ac:dyDescent="0.2">
      <c r="A22" s="450" t="s">
        <v>364</v>
      </c>
      <c r="B22" s="449">
        <f t="shared" ref="B22:M22" si="0">SUM(B9:B21)</f>
        <v>272</v>
      </c>
      <c r="C22" s="449">
        <f t="shared" si="0"/>
        <v>19392</v>
      </c>
      <c r="D22" s="449">
        <f t="shared" si="0"/>
        <v>146</v>
      </c>
      <c r="E22" s="449">
        <f t="shared" si="0"/>
        <v>9564</v>
      </c>
      <c r="F22" s="449">
        <f t="shared" si="0"/>
        <v>133</v>
      </c>
      <c r="G22" s="449">
        <f t="shared" si="0"/>
        <v>8917</v>
      </c>
      <c r="H22" s="449">
        <f t="shared" si="0"/>
        <v>120</v>
      </c>
      <c r="I22" s="449">
        <f t="shared" si="0"/>
        <v>9534</v>
      </c>
      <c r="J22" s="449">
        <f t="shared" si="0"/>
        <v>0</v>
      </c>
      <c r="K22" s="449">
        <f t="shared" si="0"/>
        <v>0</v>
      </c>
      <c r="L22" s="449">
        <f t="shared" si="0"/>
        <v>0</v>
      </c>
      <c r="M22" s="449">
        <f t="shared" si="0"/>
        <v>0</v>
      </c>
      <c r="N22" s="439" t="s">
        <v>75</v>
      </c>
      <c r="O22" s="456"/>
    </row>
    <row r="23" spans="1:15" x14ac:dyDescent="0.2">
      <c r="A23" s="448" t="s">
        <v>363</v>
      </c>
      <c r="B23" s="444">
        <v>-203</v>
      </c>
      <c r="C23" s="444">
        <v>-14157</v>
      </c>
      <c r="D23" s="444">
        <v>-100</v>
      </c>
      <c r="E23" s="444">
        <v>-6382</v>
      </c>
      <c r="F23" s="444">
        <v>-106</v>
      </c>
      <c r="G23" s="444">
        <v>-7027</v>
      </c>
      <c r="H23" s="444">
        <v>-60</v>
      </c>
      <c r="I23" s="444">
        <v>-672</v>
      </c>
      <c r="J23" s="444">
        <f>-J22*0.5</f>
        <v>0</v>
      </c>
      <c r="K23" s="444">
        <f>-K22*0.5</f>
        <v>0</v>
      </c>
      <c r="L23" s="444">
        <f>-L22*0.5</f>
        <v>0</v>
      </c>
      <c r="M23" s="444"/>
      <c r="N23" s="439" t="s">
        <v>75</v>
      </c>
      <c r="O23" s="456"/>
    </row>
    <row r="24" spans="1:15" x14ac:dyDescent="0.2">
      <c r="A24" s="445" t="s">
        <v>362</v>
      </c>
      <c r="B24" s="444"/>
      <c r="C24" s="444">
        <v>459</v>
      </c>
      <c r="D24" s="444"/>
      <c r="E24" s="444">
        <v>263</v>
      </c>
      <c r="F24" s="444"/>
      <c r="G24" s="444">
        <v>173</v>
      </c>
      <c r="H24" s="444"/>
      <c r="I24" s="444">
        <v>0</v>
      </c>
      <c r="J24" s="444"/>
      <c r="K24" s="444">
        <v>0</v>
      </c>
      <c r="L24" s="444"/>
      <c r="M24" s="444">
        <v>0</v>
      </c>
      <c r="N24" s="439" t="s">
        <v>75</v>
      </c>
      <c r="O24" s="456"/>
    </row>
    <row r="25" spans="1:15" x14ac:dyDescent="0.2">
      <c r="A25" s="447" t="s">
        <v>361</v>
      </c>
      <c r="B25" s="446">
        <f t="shared" ref="B25:M25" si="1">SUM(B22:B24)</f>
        <v>69</v>
      </c>
      <c r="C25" s="446">
        <f t="shared" si="1"/>
        <v>5694</v>
      </c>
      <c r="D25" s="446">
        <f t="shared" si="1"/>
        <v>46</v>
      </c>
      <c r="E25" s="446">
        <f t="shared" si="1"/>
        <v>3445</v>
      </c>
      <c r="F25" s="446">
        <f t="shared" si="1"/>
        <v>27</v>
      </c>
      <c r="G25" s="446">
        <f t="shared" si="1"/>
        <v>2063</v>
      </c>
      <c r="H25" s="446">
        <f t="shared" si="1"/>
        <v>60</v>
      </c>
      <c r="I25" s="446">
        <f t="shared" si="1"/>
        <v>8862</v>
      </c>
      <c r="J25" s="446">
        <f t="shared" si="1"/>
        <v>0</v>
      </c>
      <c r="K25" s="446">
        <f t="shared" si="1"/>
        <v>0</v>
      </c>
      <c r="L25" s="446">
        <f t="shared" si="1"/>
        <v>0</v>
      </c>
      <c r="M25" s="446">
        <f t="shared" si="1"/>
        <v>0</v>
      </c>
      <c r="N25" s="439" t="s">
        <v>75</v>
      </c>
      <c r="O25" s="456"/>
    </row>
    <row r="26" spans="1:15" x14ac:dyDescent="0.2">
      <c r="A26" s="445" t="s">
        <v>33</v>
      </c>
      <c r="B26" s="444"/>
      <c r="C26" s="444">
        <v>2303</v>
      </c>
      <c r="D26" s="444"/>
      <c r="E26" s="444">
        <v>1392</v>
      </c>
      <c r="F26" s="444"/>
      <c r="G26" s="444">
        <v>826</v>
      </c>
      <c r="H26" s="444"/>
      <c r="I26" s="444">
        <v>4638</v>
      </c>
      <c r="J26" s="444"/>
      <c r="K26" s="444">
        <v>0</v>
      </c>
      <c r="L26" s="444"/>
      <c r="M26" s="444">
        <v>0</v>
      </c>
      <c r="N26" s="439" t="s">
        <v>75</v>
      </c>
      <c r="O26" s="456"/>
    </row>
    <row r="27" spans="1:15" x14ac:dyDescent="0.2">
      <c r="A27" s="445" t="s">
        <v>359</v>
      </c>
      <c r="B27" s="444"/>
      <c r="C27" s="444">
        <v>60</v>
      </c>
      <c r="D27" s="444"/>
      <c r="E27" s="444">
        <v>34</v>
      </c>
      <c r="F27" s="444"/>
      <c r="G27" s="444">
        <v>34</v>
      </c>
      <c r="H27" s="444"/>
      <c r="I27" s="444">
        <v>0</v>
      </c>
      <c r="J27" s="444"/>
      <c r="K27" s="444">
        <v>0</v>
      </c>
      <c r="L27" s="444"/>
      <c r="M27" s="444">
        <v>0</v>
      </c>
      <c r="N27" s="439" t="s">
        <v>75</v>
      </c>
      <c r="O27" s="456"/>
    </row>
    <row r="28" spans="1:15" x14ac:dyDescent="0.2">
      <c r="A28" s="445" t="s">
        <v>358</v>
      </c>
      <c r="B28" s="444"/>
      <c r="C28" s="444">
        <v>46</v>
      </c>
      <c r="D28" s="444"/>
      <c r="E28" s="444">
        <v>28</v>
      </c>
      <c r="F28" s="444"/>
      <c r="G28" s="444">
        <v>28</v>
      </c>
      <c r="H28" s="444"/>
      <c r="I28" s="444">
        <v>0</v>
      </c>
      <c r="J28" s="444"/>
      <c r="K28" s="444">
        <v>0</v>
      </c>
      <c r="L28" s="444"/>
      <c r="M28" s="444">
        <v>0</v>
      </c>
      <c r="N28" s="439" t="s">
        <v>75</v>
      </c>
      <c r="O28" s="456"/>
    </row>
    <row r="29" spans="1:15" x14ac:dyDescent="0.2">
      <c r="A29" s="445" t="s">
        <v>357</v>
      </c>
      <c r="B29" s="444"/>
      <c r="C29" s="444">
        <v>100</v>
      </c>
      <c r="D29" s="444"/>
      <c r="E29" s="444">
        <v>18</v>
      </c>
      <c r="F29" s="444"/>
      <c r="G29" s="444">
        <v>18</v>
      </c>
      <c r="H29" s="444"/>
      <c r="I29" s="444">
        <v>0</v>
      </c>
      <c r="J29" s="444"/>
      <c r="K29" s="444">
        <v>0</v>
      </c>
      <c r="L29" s="444"/>
      <c r="M29" s="444">
        <v>0</v>
      </c>
      <c r="N29" s="439" t="s">
        <v>75</v>
      </c>
      <c r="O29" s="456"/>
    </row>
    <row r="30" spans="1:15" x14ac:dyDescent="0.2">
      <c r="A30" s="445" t="s">
        <v>356</v>
      </c>
      <c r="B30" s="444"/>
      <c r="C30" s="444">
        <v>0</v>
      </c>
      <c r="D30" s="444"/>
      <c r="E30" s="444">
        <v>0</v>
      </c>
      <c r="F30" s="444"/>
      <c r="G30" s="444">
        <v>0</v>
      </c>
      <c r="H30" s="444"/>
      <c r="I30" s="444">
        <v>0</v>
      </c>
      <c r="J30" s="444"/>
      <c r="K30" s="444">
        <v>0</v>
      </c>
      <c r="L30" s="444"/>
      <c r="M30" s="444">
        <v>0</v>
      </c>
      <c r="N30" s="439" t="s">
        <v>75</v>
      </c>
      <c r="O30" s="456"/>
    </row>
    <row r="31" spans="1:15" x14ac:dyDescent="0.2">
      <c r="A31" s="445" t="s">
        <v>355</v>
      </c>
      <c r="B31" s="444"/>
      <c r="C31" s="444">
        <v>3447</v>
      </c>
      <c r="D31" s="444"/>
      <c r="E31" s="444">
        <v>1978</v>
      </c>
      <c r="F31" s="444"/>
      <c r="G31" s="444">
        <v>1982</v>
      </c>
      <c r="H31" s="444"/>
      <c r="I31" s="444">
        <f>960+20000</f>
        <v>20960</v>
      </c>
      <c r="J31" s="444"/>
      <c r="K31" s="444">
        <v>-50000</v>
      </c>
      <c r="L31" s="444"/>
      <c r="M31" s="444">
        <v>-6336</v>
      </c>
      <c r="N31" s="439" t="s">
        <v>75</v>
      </c>
      <c r="O31" s="456"/>
    </row>
    <row r="32" spans="1:15" x14ac:dyDescent="0.2">
      <c r="A32" s="445" t="s">
        <v>354</v>
      </c>
      <c r="B32" s="444"/>
      <c r="C32" s="444">
        <v>3540</v>
      </c>
      <c r="D32" s="444"/>
      <c r="E32" s="444">
        <v>2174</v>
      </c>
      <c r="F32" s="444"/>
      <c r="G32" s="444">
        <v>2169</v>
      </c>
      <c r="H32" s="444"/>
      <c r="I32" s="444">
        <v>60</v>
      </c>
      <c r="J32" s="444"/>
      <c r="K32" s="444">
        <v>0</v>
      </c>
      <c r="L32" s="444"/>
      <c r="M32" s="444">
        <v>-12209</v>
      </c>
      <c r="N32" s="439" t="s">
        <v>75</v>
      </c>
      <c r="O32" s="456"/>
    </row>
    <row r="33" spans="1:15" x14ac:dyDescent="0.2">
      <c r="A33" s="443" t="s">
        <v>34</v>
      </c>
      <c r="B33" s="442"/>
      <c r="C33" s="442">
        <v>0</v>
      </c>
      <c r="D33" s="442"/>
      <c r="E33" s="442">
        <v>0</v>
      </c>
      <c r="F33" s="442"/>
      <c r="G33" s="442">
        <v>3892</v>
      </c>
      <c r="H33" s="442"/>
      <c r="I33" s="442">
        <v>480</v>
      </c>
      <c r="J33" s="442"/>
      <c r="K33" s="442">
        <v>0</v>
      </c>
      <c r="L33" s="442"/>
      <c r="M33" s="442">
        <v>0</v>
      </c>
      <c r="N33" s="439" t="s">
        <v>75</v>
      </c>
      <c r="O33" s="456"/>
    </row>
    <row r="34" spans="1:15" x14ac:dyDescent="0.2">
      <c r="A34" s="443" t="s">
        <v>369</v>
      </c>
      <c r="B34" s="442"/>
      <c r="C34" s="442">
        <v>6</v>
      </c>
      <c r="D34" s="442"/>
      <c r="E34" s="442">
        <v>3</v>
      </c>
      <c r="F34" s="442"/>
      <c r="G34" s="442">
        <v>3</v>
      </c>
      <c r="H34" s="442"/>
      <c r="I34" s="442">
        <v>0</v>
      </c>
      <c r="J34" s="442"/>
      <c r="K34" s="442">
        <v>0</v>
      </c>
      <c r="L34" s="442"/>
      <c r="M34" s="442">
        <v>0</v>
      </c>
      <c r="N34" s="439" t="s">
        <v>75</v>
      </c>
      <c r="O34" s="456"/>
    </row>
    <row r="35" spans="1:15" ht="15.75" x14ac:dyDescent="0.25">
      <c r="A35" s="441" t="s">
        <v>253</v>
      </c>
      <c r="B35" s="440">
        <f t="shared" ref="B35:M35" si="2">SUM(B25:B34)</f>
        <v>69</v>
      </c>
      <c r="C35" s="440">
        <f t="shared" si="2"/>
        <v>15196</v>
      </c>
      <c r="D35" s="440">
        <f t="shared" si="2"/>
        <v>46</v>
      </c>
      <c r="E35" s="440">
        <f t="shared" si="2"/>
        <v>9072</v>
      </c>
      <c r="F35" s="440">
        <f t="shared" si="2"/>
        <v>27</v>
      </c>
      <c r="G35" s="440">
        <f t="shared" si="2"/>
        <v>11015</v>
      </c>
      <c r="H35" s="440">
        <f t="shared" si="2"/>
        <v>60</v>
      </c>
      <c r="I35" s="440">
        <f t="shared" si="2"/>
        <v>35000</v>
      </c>
      <c r="J35" s="440">
        <f t="shared" si="2"/>
        <v>0</v>
      </c>
      <c r="K35" s="440">
        <f t="shared" si="2"/>
        <v>-50000</v>
      </c>
      <c r="L35" s="440">
        <f t="shared" si="2"/>
        <v>0</v>
      </c>
      <c r="M35" s="440">
        <f t="shared" si="2"/>
        <v>-18545</v>
      </c>
      <c r="N35" s="439" t="s">
        <v>75</v>
      </c>
      <c r="O35" s="438"/>
    </row>
    <row r="36" spans="1:15" ht="15.75" x14ac:dyDescent="0.25">
      <c r="A36" s="457"/>
      <c r="B36" s="461"/>
      <c r="C36" s="461"/>
      <c r="D36" s="461"/>
      <c r="E36" s="461"/>
      <c r="F36" s="461"/>
      <c r="G36" s="461"/>
      <c r="H36" s="461"/>
      <c r="I36" s="461"/>
      <c r="J36" s="461"/>
      <c r="K36" s="461"/>
      <c r="L36" s="461"/>
      <c r="M36" s="461"/>
      <c r="N36" s="439" t="s">
        <v>75</v>
      </c>
      <c r="O36" s="438"/>
    </row>
    <row r="37" spans="1:15" ht="15.75" x14ac:dyDescent="0.25">
      <c r="A37" s="457"/>
      <c r="B37" s="461"/>
      <c r="C37" s="461"/>
      <c r="D37" s="461"/>
      <c r="E37" s="461"/>
      <c r="F37" s="461"/>
      <c r="G37" s="461"/>
      <c r="H37" s="461"/>
      <c r="I37" s="461"/>
      <c r="J37" s="461"/>
      <c r="K37" s="461"/>
      <c r="L37" s="461"/>
      <c r="M37" s="461"/>
      <c r="N37" s="439" t="s">
        <v>75</v>
      </c>
      <c r="O37" s="438"/>
    </row>
    <row r="38" spans="1:15" ht="15" customHeight="1" x14ac:dyDescent="0.25">
      <c r="A38" s="457"/>
      <c r="B38" s="438"/>
      <c r="C38" s="438"/>
      <c r="D38" s="438"/>
      <c r="E38" s="438"/>
      <c r="F38" s="438"/>
      <c r="G38" s="438"/>
      <c r="H38" s="460"/>
      <c r="I38" s="460"/>
      <c r="J38" s="460"/>
      <c r="K38" s="460"/>
      <c r="L38" s="438"/>
      <c r="M38" s="438"/>
      <c r="N38" s="439" t="s">
        <v>75</v>
      </c>
      <c r="O38" s="438"/>
    </row>
    <row r="39" spans="1:15" ht="15" customHeight="1" x14ac:dyDescent="0.2">
      <c r="A39" s="471" t="s">
        <v>42</v>
      </c>
      <c r="B39" s="633" t="s">
        <v>203</v>
      </c>
      <c r="C39" s="638"/>
      <c r="D39" s="638"/>
      <c r="E39" s="638"/>
      <c r="F39" s="638"/>
      <c r="G39" s="638"/>
      <c r="H39" s="638"/>
      <c r="I39" s="638"/>
      <c r="J39" s="638"/>
      <c r="K39" s="634"/>
      <c r="L39" s="459"/>
      <c r="M39" s="459"/>
      <c r="N39" s="439" t="s">
        <v>75</v>
      </c>
      <c r="O39" s="475"/>
    </row>
    <row r="40" spans="1:15" ht="30" customHeight="1" x14ac:dyDescent="0.2">
      <c r="A40" s="472"/>
      <c r="B40" s="633" t="s">
        <v>374</v>
      </c>
      <c r="C40" s="634"/>
      <c r="D40" s="633" t="s">
        <v>373</v>
      </c>
      <c r="E40" s="634"/>
      <c r="F40" s="633" t="s">
        <v>372</v>
      </c>
      <c r="G40" s="634"/>
      <c r="H40" s="633" t="s">
        <v>371</v>
      </c>
      <c r="I40" s="634"/>
      <c r="J40" s="633" t="s">
        <v>370</v>
      </c>
      <c r="K40" s="634"/>
      <c r="L40" s="474" t="s">
        <v>48</v>
      </c>
      <c r="M40" s="475"/>
      <c r="N40" s="439" t="s">
        <v>75</v>
      </c>
      <c r="O40" s="475"/>
    </row>
    <row r="41" spans="1:15" ht="28.5" x14ac:dyDescent="0.2">
      <c r="A41" s="473"/>
      <c r="B41" s="455" t="s">
        <v>168</v>
      </c>
      <c r="C41" s="455" t="s">
        <v>11</v>
      </c>
      <c r="D41" s="455" t="s">
        <v>168</v>
      </c>
      <c r="E41" s="455" t="s">
        <v>11</v>
      </c>
      <c r="F41" s="455" t="s">
        <v>168</v>
      </c>
      <c r="G41" s="455" t="s">
        <v>11</v>
      </c>
      <c r="H41" s="455" t="s">
        <v>168</v>
      </c>
      <c r="I41" s="455" t="s">
        <v>11</v>
      </c>
      <c r="J41" s="455" t="s">
        <v>168</v>
      </c>
      <c r="K41" s="455" t="s">
        <v>11</v>
      </c>
      <c r="L41" s="475"/>
      <c r="M41" s="475"/>
      <c r="N41" s="439" t="s">
        <v>75</v>
      </c>
      <c r="O41" s="458"/>
    </row>
    <row r="42" spans="1:15" x14ac:dyDescent="0.2">
      <c r="A42" s="450" t="s">
        <v>274</v>
      </c>
      <c r="B42" s="449">
        <v>1</v>
      </c>
      <c r="C42" s="449">
        <v>160</v>
      </c>
      <c r="D42" s="449">
        <v>1</v>
      </c>
      <c r="E42" s="449">
        <v>160</v>
      </c>
      <c r="F42" s="449">
        <v>1</v>
      </c>
      <c r="G42" s="449">
        <v>160</v>
      </c>
      <c r="H42" s="449">
        <v>0</v>
      </c>
      <c r="I42" s="449">
        <v>0</v>
      </c>
      <c r="J42" s="449">
        <v>0</v>
      </c>
      <c r="K42" s="449">
        <v>0</v>
      </c>
      <c r="L42" s="475"/>
      <c r="M42" s="475"/>
      <c r="N42" s="439" t="s">
        <v>75</v>
      </c>
      <c r="O42" s="456"/>
    </row>
    <row r="43" spans="1:15" x14ac:dyDescent="0.2">
      <c r="A43" s="445" t="s">
        <v>271</v>
      </c>
      <c r="B43" s="444">
        <v>0</v>
      </c>
      <c r="C43" s="444">
        <v>0</v>
      </c>
      <c r="D43" s="444">
        <v>0</v>
      </c>
      <c r="E43" s="444">
        <v>0</v>
      </c>
      <c r="F43" s="444">
        <v>0</v>
      </c>
      <c r="G43" s="444">
        <v>0</v>
      </c>
      <c r="H43" s="444">
        <v>0</v>
      </c>
      <c r="I43" s="444">
        <v>0</v>
      </c>
      <c r="J43" s="444">
        <v>0</v>
      </c>
      <c r="K43" s="444">
        <v>0</v>
      </c>
      <c r="L43" s="458"/>
      <c r="M43" s="458"/>
      <c r="N43" s="439" t="s">
        <v>75</v>
      </c>
      <c r="O43" s="456"/>
    </row>
    <row r="44" spans="1:15" x14ac:dyDescent="0.2">
      <c r="A44" s="445" t="s">
        <v>270</v>
      </c>
      <c r="B44" s="444">
        <v>4</v>
      </c>
      <c r="C44" s="444">
        <v>491</v>
      </c>
      <c r="D44" s="444">
        <v>2</v>
      </c>
      <c r="E44" s="444">
        <v>221</v>
      </c>
      <c r="F44" s="444">
        <v>2</v>
      </c>
      <c r="G44" s="444">
        <v>221</v>
      </c>
      <c r="H44" s="444">
        <v>0</v>
      </c>
      <c r="I44" s="444">
        <v>0</v>
      </c>
      <c r="J44" s="444">
        <v>0</v>
      </c>
      <c r="K44" s="444">
        <v>0</v>
      </c>
      <c r="L44" s="456"/>
      <c r="M44" s="456"/>
      <c r="N44" s="439" t="s">
        <v>75</v>
      </c>
      <c r="O44" s="456"/>
    </row>
    <row r="45" spans="1:15" x14ac:dyDescent="0.2">
      <c r="A45" s="445" t="s">
        <v>269</v>
      </c>
      <c r="B45" s="444">
        <v>12</v>
      </c>
      <c r="C45" s="444">
        <v>1247</v>
      </c>
      <c r="D45" s="444">
        <v>8</v>
      </c>
      <c r="E45" s="444">
        <v>769</v>
      </c>
      <c r="F45" s="444">
        <v>8</v>
      </c>
      <c r="G45" s="444">
        <v>769</v>
      </c>
      <c r="H45" s="444">
        <v>0</v>
      </c>
      <c r="I45" s="444">
        <v>0</v>
      </c>
      <c r="J45" s="444">
        <v>0</v>
      </c>
      <c r="K45" s="444">
        <v>0</v>
      </c>
      <c r="L45" s="456"/>
      <c r="M45" s="456"/>
      <c r="N45" s="439" t="s">
        <v>75</v>
      </c>
      <c r="O45" s="456"/>
    </row>
    <row r="46" spans="1:15" x14ac:dyDescent="0.2">
      <c r="A46" s="445" t="s">
        <v>268</v>
      </c>
      <c r="B46" s="444">
        <v>11</v>
      </c>
      <c r="C46" s="444">
        <v>611</v>
      </c>
      <c r="D46" s="444">
        <v>4</v>
      </c>
      <c r="E46" s="444">
        <v>324</v>
      </c>
      <c r="F46" s="444">
        <v>5</v>
      </c>
      <c r="G46" s="444">
        <v>406</v>
      </c>
      <c r="H46" s="444">
        <v>0</v>
      </c>
      <c r="I46" s="444">
        <v>0</v>
      </c>
      <c r="J46" s="444">
        <v>0</v>
      </c>
      <c r="K46" s="444">
        <v>0</v>
      </c>
      <c r="L46" s="456"/>
      <c r="M46" s="456"/>
      <c r="N46" s="439" t="s">
        <v>75</v>
      </c>
      <c r="O46" s="456"/>
    </row>
    <row r="47" spans="1:15" x14ac:dyDescent="0.2">
      <c r="A47" s="445" t="s">
        <v>267</v>
      </c>
      <c r="B47" s="444">
        <v>48</v>
      </c>
      <c r="C47" s="444">
        <v>3847</v>
      </c>
      <c r="D47" s="444">
        <v>16</v>
      </c>
      <c r="E47" s="444">
        <v>1080</v>
      </c>
      <c r="F47" s="444">
        <v>18</v>
      </c>
      <c r="G47" s="444">
        <v>1211</v>
      </c>
      <c r="H47" s="444">
        <v>0</v>
      </c>
      <c r="I47" s="444">
        <v>0</v>
      </c>
      <c r="J47" s="444">
        <v>0</v>
      </c>
      <c r="K47" s="444">
        <v>0</v>
      </c>
      <c r="L47" s="456"/>
      <c r="M47" s="456"/>
      <c r="N47" s="439" t="s">
        <v>75</v>
      </c>
      <c r="O47" s="456"/>
    </row>
    <row r="48" spans="1:15" x14ac:dyDescent="0.2">
      <c r="A48" s="445" t="s">
        <v>266</v>
      </c>
      <c r="B48" s="444">
        <v>9</v>
      </c>
      <c r="C48" s="444">
        <v>614</v>
      </c>
      <c r="D48" s="444">
        <v>2</v>
      </c>
      <c r="E48" s="444">
        <v>126</v>
      </c>
      <c r="F48" s="444">
        <v>2</v>
      </c>
      <c r="G48" s="444">
        <v>126</v>
      </c>
      <c r="H48" s="444">
        <v>0</v>
      </c>
      <c r="I48" s="444">
        <v>0</v>
      </c>
      <c r="J48" s="444">
        <v>0</v>
      </c>
      <c r="K48" s="444">
        <v>0</v>
      </c>
      <c r="L48" s="456"/>
      <c r="M48" s="456"/>
      <c r="N48" s="439" t="s">
        <v>75</v>
      </c>
      <c r="O48" s="456"/>
    </row>
    <row r="49" spans="1:15" x14ac:dyDescent="0.2">
      <c r="A49" s="445" t="s">
        <v>265</v>
      </c>
      <c r="B49" s="444">
        <v>60</v>
      </c>
      <c r="C49" s="444">
        <v>3717</v>
      </c>
      <c r="D49" s="444">
        <v>19</v>
      </c>
      <c r="E49" s="444">
        <v>1091</v>
      </c>
      <c r="F49" s="444">
        <v>21</v>
      </c>
      <c r="G49" s="444">
        <v>1205</v>
      </c>
      <c r="H49" s="444">
        <v>0</v>
      </c>
      <c r="I49" s="444">
        <v>0</v>
      </c>
      <c r="J49" s="444">
        <v>0</v>
      </c>
      <c r="K49" s="444">
        <v>0</v>
      </c>
      <c r="L49" s="456"/>
      <c r="M49" s="456"/>
      <c r="N49" s="439" t="s">
        <v>75</v>
      </c>
      <c r="O49" s="456"/>
    </row>
    <row r="50" spans="1:15" x14ac:dyDescent="0.2">
      <c r="A50" s="445" t="s">
        <v>264</v>
      </c>
      <c r="B50" s="444">
        <v>450</v>
      </c>
      <c r="C50" s="444">
        <v>25942</v>
      </c>
      <c r="D50" s="444">
        <v>59</v>
      </c>
      <c r="E50" s="444">
        <v>3155</v>
      </c>
      <c r="F50" s="444">
        <v>100</v>
      </c>
      <c r="G50" s="444">
        <v>5347</v>
      </c>
      <c r="H50" s="444">
        <v>0</v>
      </c>
      <c r="I50" s="444">
        <v>0</v>
      </c>
      <c r="J50" s="444">
        <v>0</v>
      </c>
      <c r="K50" s="444">
        <v>0</v>
      </c>
      <c r="L50" s="456"/>
      <c r="M50" s="456"/>
      <c r="N50" s="439" t="s">
        <v>75</v>
      </c>
      <c r="O50" s="456"/>
    </row>
    <row r="51" spans="1:15" x14ac:dyDescent="0.2">
      <c r="A51" s="445" t="s">
        <v>263</v>
      </c>
      <c r="B51" s="444">
        <v>226</v>
      </c>
      <c r="C51" s="444">
        <v>12402</v>
      </c>
      <c r="D51" s="444">
        <v>102</v>
      </c>
      <c r="E51" s="444">
        <v>5194</v>
      </c>
      <c r="F51" s="444">
        <v>92</v>
      </c>
      <c r="G51" s="444">
        <v>4688</v>
      </c>
      <c r="H51" s="444">
        <v>0</v>
      </c>
      <c r="I51" s="444">
        <v>0</v>
      </c>
      <c r="J51" s="444">
        <v>0</v>
      </c>
      <c r="K51" s="444">
        <v>0</v>
      </c>
      <c r="L51" s="456"/>
      <c r="M51" s="456"/>
      <c r="N51" s="439" t="s">
        <v>75</v>
      </c>
      <c r="O51" s="456"/>
    </row>
    <row r="52" spans="1:15" x14ac:dyDescent="0.2">
      <c r="A52" s="445" t="s">
        <v>262</v>
      </c>
      <c r="B52" s="444">
        <v>3</v>
      </c>
      <c r="C52" s="444">
        <v>152</v>
      </c>
      <c r="D52" s="444">
        <v>1</v>
      </c>
      <c r="E52" s="444">
        <v>47</v>
      </c>
      <c r="F52" s="444">
        <v>3</v>
      </c>
      <c r="G52" s="444">
        <v>141</v>
      </c>
      <c r="H52" s="444">
        <v>0</v>
      </c>
      <c r="I52" s="444">
        <v>0</v>
      </c>
      <c r="J52" s="444">
        <v>0</v>
      </c>
      <c r="K52" s="444">
        <v>0</v>
      </c>
      <c r="L52" s="456"/>
      <c r="M52" s="456"/>
      <c r="N52" s="439" t="s">
        <v>75</v>
      </c>
      <c r="O52" s="456"/>
    </row>
    <row r="53" spans="1:15" x14ac:dyDescent="0.2">
      <c r="A53" s="454" t="s">
        <v>261</v>
      </c>
      <c r="B53" s="453">
        <v>2</v>
      </c>
      <c r="C53" s="453">
        <v>95</v>
      </c>
      <c r="D53" s="453">
        <v>0</v>
      </c>
      <c r="E53" s="453">
        <v>0</v>
      </c>
      <c r="F53" s="453">
        <v>1</v>
      </c>
      <c r="G53" s="453">
        <v>44</v>
      </c>
      <c r="H53" s="453">
        <v>0</v>
      </c>
      <c r="I53" s="453">
        <v>0</v>
      </c>
      <c r="J53" s="453">
        <v>0</v>
      </c>
      <c r="K53" s="453">
        <v>0</v>
      </c>
      <c r="L53" s="456"/>
      <c r="M53" s="456"/>
      <c r="N53" s="439" t="s">
        <v>75</v>
      </c>
      <c r="O53" s="456"/>
    </row>
    <row r="54" spans="1:15" x14ac:dyDescent="0.2">
      <c r="A54" s="452" t="s">
        <v>74</v>
      </c>
      <c r="B54" s="451">
        <v>60</v>
      </c>
      <c r="C54" s="451">
        <v>4856</v>
      </c>
      <c r="D54" s="451">
        <v>29</v>
      </c>
      <c r="E54" s="451">
        <v>2199</v>
      </c>
      <c r="F54" s="451">
        <v>30</v>
      </c>
      <c r="G54" s="451">
        <v>2269</v>
      </c>
      <c r="H54" s="451">
        <v>0</v>
      </c>
      <c r="I54" s="451">
        <v>0</v>
      </c>
      <c r="J54" s="451">
        <v>0</v>
      </c>
      <c r="K54" s="451">
        <v>0</v>
      </c>
      <c r="L54" s="456"/>
      <c r="M54" s="456"/>
      <c r="N54" s="439" t="s">
        <v>75</v>
      </c>
      <c r="O54" s="456"/>
    </row>
    <row r="55" spans="1:15" x14ac:dyDescent="0.2">
      <c r="A55" s="450" t="s">
        <v>364</v>
      </c>
      <c r="B55" s="449">
        <f t="shared" ref="B55:K55" si="3">SUM(B42:B54)</f>
        <v>886</v>
      </c>
      <c r="C55" s="449">
        <f t="shared" si="3"/>
        <v>54134</v>
      </c>
      <c r="D55" s="449">
        <f t="shared" si="3"/>
        <v>243</v>
      </c>
      <c r="E55" s="449">
        <f t="shared" si="3"/>
        <v>14366</v>
      </c>
      <c r="F55" s="449">
        <f t="shared" si="3"/>
        <v>283</v>
      </c>
      <c r="G55" s="449">
        <f t="shared" si="3"/>
        <v>16587</v>
      </c>
      <c r="H55" s="449">
        <f t="shared" si="3"/>
        <v>0</v>
      </c>
      <c r="I55" s="449">
        <f t="shared" si="3"/>
        <v>0</v>
      </c>
      <c r="J55" s="449">
        <f t="shared" si="3"/>
        <v>0</v>
      </c>
      <c r="K55" s="449">
        <f t="shared" si="3"/>
        <v>0</v>
      </c>
      <c r="L55" s="456"/>
      <c r="M55" s="456"/>
      <c r="N55" s="439" t="s">
        <v>75</v>
      </c>
      <c r="O55" s="456"/>
    </row>
    <row r="56" spans="1:15" x14ac:dyDescent="0.2">
      <c r="A56" s="448" t="s">
        <v>363</v>
      </c>
      <c r="B56" s="444">
        <v>-665</v>
      </c>
      <c r="C56" s="444">
        <v>-39521</v>
      </c>
      <c r="D56" s="444">
        <v>-143</v>
      </c>
      <c r="E56" s="444">
        <v>-8414</v>
      </c>
      <c r="F56" s="444">
        <v>-206</v>
      </c>
      <c r="G56" s="444">
        <v>-11956</v>
      </c>
      <c r="H56" s="444">
        <v>0</v>
      </c>
      <c r="I56" s="444">
        <v>0</v>
      </c>
      <c r="J56" s="444">
        <f>-J55*0.5</f>
        <v>0</v>
      </c>
      <c r="K56" s="444">
        <f>-K55*0.5</f>
        <v>0</v>
      </c>
      <c r="L56" s="456"/>
      <c r="M56" s="456"/>
      <c r="N56" s="439" t="s">
        <v>75</v>
      </c>
      <c r="O56" s="456"/>
    </row>
    <row r="57" spans="1:15" x14ac:dyDescent="0.2">
      <c r="A57" s="445" t="s">
        <v>362</v>
      </c>
      <c r="B57" s="444"/>
      <c r="C57" s="444">
        <v>2035</v>
      </c>
      <c r="D57" s="444"/>
      <c r="E57" s="444">
        <v>651</v>
      </c>
      <c r="F57" s="444"/>
      <c r="G57" s="444">
        <v>492</v>
      </c>
      <c r="H57" s="444"/>
      <c r="I57" s="444">
        <v>0</v>
      </c>
      <c r="J57" s="444"/>
      <c r="K57" s="444">
        <v>0</v>
      </c>
      <c r="L57" s="456"/>
      <c r="M57" s="456"/>
      <c r="N57" s="439" t="s">
        <v>75</v>
      </c>
      <c r="O57" s="456"/>
    </row>
    <row r="58" spans="1:15" x14ac:dyDescent="0.2">
      <c r="A58" s="447" t="s">
        <v>361</v>
      </c>
      <c r="B58" s="446">
        <f t="shared" ref="B58:K58" si="4">SUM(B55:B57)</f>
        <v>221</v>
      </c>
      <c r="C58" s="446">
        <f t="shared" si="4"/>
        <v>16648</v>
      </c>
      <c r="D58" s="446">
        <f t="shared" si="4"/>
        <v>100</v>
      </c>
      <c r="E58" s="446">
        <f t="shared" si="4"/>
        <v>6603</v>
      </c>
      <c r="F58" s="446">
        <f t="shared" si="4"/>
        <v>77</v>
      </c>
      <c r="G58" s="446">
        <f t="shared" si="4"/>
        <v>5123</v>
      </c>
      <c r="H58" s="446">
        <f t="shared" si="4"/>
        <v>0</v>
      </c>
      <c r="I58" s="446">
        <f t="shared" si="4"/>
        <v>0</v>
      </c>
      <c r="J58" s="446">
        <f t="shared" si="4"/>
        <v>0</v>
      </c>
      <c r="K58" s="446">
        <f t="shared" si="4"/>
        <v>0</v>
      </c>
      <c r="L58" s="456"/>
      <c r="M58" s="456"/>
      <c r="N58" s="439" t="s">
        <v>75</v>
      </c>
      <c r="O58" s="456"/>
    </row>
    <row r="59" spans="1:15" x14ac:dyDescent="0.2">
      <c r="A59" s="445" t="s">
        <v>33</v>
      </c>
      <c r="B59" s="444"/>
      <c r="C59" s="444">
        <v>6429</v>
      </c>
      <c r="D59" s="444"/>
      <c r="E59" s="444">
        <v>2612</v>
      </c>
      <c r="F59" s="444"/>
      <c r="G59" s="444">
        <v>2031</v>
      </c>
      <c r="H59" s="444"/>
      <c r="I59" s="444">
        <v>0</v>
      </c>
      <c r="J59" s="444"/>
      <c r="K59" s="444">
        <v>0</v>
      </c>
      <c r="L59" s="456"/>
      <c r="M59" s="456"/>
      <c r="N59" s="439" t="s">
        <v>75</v>
      </c>
      <c r="O59" s="456"/>
    </row>
    <row r="60" spans="1:15" x14ac:dyDescent="0.2">
      <c r="A60" s="445" t="s">
        <v>359</v>
      </c>
      <c r="B60" s="444"/>
      <c r="C60" s="444">
        <v>179</v>
      </c>
      <c r="D60" s="444"/>
      <c r="E60" s="444">
        <v>112</v>
      </c>
      <c r="F60" s="444"/>
      <c r="G60" s="444">
        <v>112</v>
      </c>
      <c r="H60" s="444"/>
      <c r="I60" s="444">
        <v>0</v>
      </c>
      <c r="J60" s="444"/>
      <c r="K60" s="444">
        <v>0</v>
      </c>
      <c r="L60" s="456"/>
      <c r="M60" s="456"/>
      <c r="N60" s="439" t="s">
        <v>75</v>
      </c>
      <c r="O60" s="456"/>
    </row>
    <row r="61" spans="1:15" x14ac:dyDescent="0.2">
      <c r="A61" s="445" t="s">
        <v>358</v>
      </c>
      <c r="B61" s="444"/>
      <c r="C61" s="444">
        <v>59</v>
      </c>
      <c r="D61" s="444"/>
      <c r="E61" s="444">
        <v>35</v>
      </c>
      <c r="F61" s="444"/>
      <c r="G61" s="444">
        <v>35</v>
      </c>
      <c r="H61" s="444"/>
      <c r="I61" s="444">
        <v>0</v>
      </c>
      <c r="J61" s="444"/>
      <c r="K61" s="444">
        <v>0</v>
      </c>
      <c r="L61" s="456"/>
      <c r="M61" s="456"/>
      <c r="N61" s="439" t="s">
        <v>75</v>
      </c>
      <c r="O61" s="456"/>
    </row>
    <row r="62" spans="1:15" x14ac:dyDescent="0.2">
      <c r="A62" s="445" t="s">
        <v>357</v>
      </c>
      <c r="B62" s="444"/>
      <c r="C62" s="444">
        <v>2598</v>
      </c>
      <c r="D62" s="444"/>
      <c r="E62" s="444">
        <v>1591</v>
      </c>
      <c r="F62" s="444"/>
      <c r="G62" s="444">
        <v>1591</v>
      </c>
      <c r="H62" s="444"/>
      <c r="I62" s="444">
        <v>0</v>
      </c>
      <c r="J62" s="444"/>
      <c r="K62" s="444">
        <v>-5000</v>
      </c>
      <c r="L62" s="456"/>
      <c r="M62" s="456"/>
      <c r="N62" s="439" t="s">
        <v>75</v>
      </c>
      <c r="O62" s="456"/>
    </row>
    <row r="63" spans="1:15" x14ac:dyDescent="0.2">
      <c r="A63" s="445" t="s">
        <v>356</v>
      </c>
      <c r="B63" s="444"/>
      <c r="C63" s="444">
        <v>9</v>
      </c>
      <c r="D63" s="444"/>
      <c r="E63" s="444">
        <v>6</v>
      </c>
      <c r="F63" s="444"/>
      <c r="G63" s="444">
        <v>6</v>
      </c>
      <c r="H63" s="444"/>
      <c r="I63" s="444">
        <v>0</v>
      </c>
      <c r="J63" s="444"/>
      <c r="K63" s="444">
        <v>0</v>
      </c>
      <c r="L63" s="456"/>
      <c r="M63" s="456"/>
      <c r="N63" s="439" t="s">
        <v>75</v>
      </c>
      <c r="O63" s="456"/>
    </row>
    <row r="64" spans="1:15" x14ac:dyDescent="0.2">
      <c r="A64" s="445" t="s">
        <v>355</v>
      </c>
      <c r="B64" s="444"/>
      <c r="C64" s="444">
        <v>1531</v>
      </c>
      <c r="D64" s="444"/>
      <c r="E64" s="444">
        <v>627</v>
      </c>
      <c r="F64" s="444"/>
      <c r="G64" s="444">
        <v>627</v>
      </c>
      <c r="H64" s="444"/>
      <c r="I64" s="444">
        <v>-4231</v>
      </c>
      <c r="J64" s="444"/>
      <c r="K64" s="444">
        <v>-5964</v>
      </c>
      <c r="L64" s="456"/>
      <c r="M64" s="456"/>
      <c r="N64" s="439" t="s">
        <v>75</v>
      </c>
      <c r="O64" s="456"/>
    </row>
    <row r="65" spans="1:15" x14ac:dyDescent="0.2">
      <c r="A65" s="445" t="s">
        <v>354</v>
      </c>
      <c r="B65" s="444"/>
      <c r="C65" s="444">
        <v>1051</v>
      </c>
      <c r="D65" s="444"/>
      <c r="E65" s="444">
        <v>583</v>
      </c>
      <c r="F65" s="444"/>
      <c r="G65" s="444">
        <v>583</v>
      </c>
      <c r="H65" s="444"/>
      <c r="I65" s="444">
        <v>0</v>
      </c>
      <c r="J65" s="444"/>
      <c r="K65" s="444">
        <v>-11491</v>
      </c>
      <c r="L65" s="456"/>
      <c r="M65" s="456"/>
      <c r="N65" s="439" t="s">
        <v>75</v>
      </c>
      <c r="O65" s="456"/>
    </row>
    <row r="66" spans="1:15" x14ac:dyDescent="0.2">
      <c r="A66" s="443" t="s">
        <v>34</v>
      </c>
      <c r="B66" s="442"/>
      <c r="C66" s="442">
        <v>0</v>
      </c>
      <c r="D66" s="442"/>
      <c r="E66" s="442">
        <v>3741</v>
      </c>
      <c r="F66" s="442"/>
      <c r="G66" s="442">
        <v>7298</v>
      </c>
      <c r="H66" s="442"/>
      <c r="I66" s="442">
        <v>0</v>
      </c>
      <c r="J66" s="442"/>
      <c r="K66" s="442">
        <v>0</v>
      </c>
      <c r="L66" s="456"/>
      <c r="M66" s="456"/>
      <c r="N66" s="439" t="s">
        <v>75</v>
      </c>
      <c r="O66" s="456"/>
    </row>
    <row r="67" spans="1:15" x14ac:dyDescent="0.2">
      <c r="A67" s="443" t="s">
        <v>369</v>
      </c>
      <c r="B67" s="442"/>
      <c r="C67" s="442">
        <v>0</v>
      </c>
      <c r="D67" s="442"/>
      <c r="E67" s="442">
        <v>0</v>
      </c>
      <c r="F67" s="442"/>
      <c r="G67" s="442">
        <v>0</v>
      </c>
      <c r="H67" s="442"/>
      <c r="I67" s="442">
        <v>0</v>
      </c>
      <c r="J67" s="442"/>
      <c r="K67" s="442">
        <v>0</v>
      </c>
      <c r="L67" s="456"/>
      <c r="M67" s="456"/>
      <c r="N67" s="439" t="s">
        <v>75</v>
      </c>
      <c r="O67" s="456"/>
    </row>
    <row r="68" spans="1:15" ht="15.75" x14ac:dyDescent="0.25">
      <c r="A68" s="441" t="s">
        <v>253</v>
      </c>
      <c r="B68" s="440">
        <f t="shared" ref="B68:K68" si="5">SUM(B58:B67)</f>
        <v>221</v>
      </c>
      <c r="C68" s="440">
        <f t="shared" si="5"/>
        <v>28504</v>
      </c>
      <c r="D68" s="440">
        <f t="shared" si="5"/>
        <v>100</v>
      </c>
      <c r="E68" s="440">
        <f t="shared" si="5"/>
        <v>15910</v>
      </c>
      <c r="F68" s="440">
        <f t="shared" si="5"/>
        <v>77</v>
      </c>
      <c r="G68" s="440">
        <f t="shared" si="5"/>
        <v>17406</v>
      </c>
      <c r="H68" s="440">
        <f t="shared" si="5"/>
        <v>0</v>
      </c>
      <c r="I68" s="440">
        <f t="shared" si="5"/>
        <v>-4231</v>
      </c>
      <c r="J68" s="440">
        <f t="shared" si="5"/>
        <v>0</v>
      </c>
      <c r="K68" s="440">
        <f t="shared" si="5"/>
        <v>-22455</v>
      </c>
      <c r="L68" s="456"/>
      <c r="M68" s="456"/>
      <c r="N68" s="439" t="s">
        <v>75</v>
      </c>
      <c r="O68" s="438"/>
    </row>
    <row r="69" spans="1:15" ht="15.75" x14ac:dyDescent="0.25">
      <c r="A69" s="457"/>
      <c r="B69" s="438"/>
      <c r="C69" s="438"/>
      <c r="D69" s="438"/>
      <c r="E69" s="438"/>
      <c r="F69" s="438"/>
      <c r="G69" s="438"/>
      <c r="H69" s="438"/>
      <c r="I69" s="438"/>
      <c r="J69" s="438"/>
      <c r="K69" s="438"/>
      <c r="L69" s="456"/>
      <c r="M69" s="456"/>
      <c r="N69" s="439" t="s">
        <v>75</v>
      </c>
      <c r="O69" s="438"/>
    </row>
    <row r="70" spans="1:15" ht="15.75" x14ac:dyDescent="0.25">
      <c r="A70" s="457"/>
      <c r="B70" s="438"/>
      <c r="C70" s="438"/>
      <c r="D70" s="438"/>
      <c r="E70" s="438"/>
      <c r="F70" s="438"/>
      <c r="G70" s="438"/>
      <c r="H70" s="438"/>
      <c r="I70" s="438"/>
      <c r="J70" s="438"/>
      <c r="K70" s="438"/>
      <c r="L70" s="438"/>
      <c r="M70" s="438"/>
      <c r="N70" s="439" t="s">
        <v>75</v>
      </c>
      <c r="O70" s="438"/>
    </row>
    <row r="71" spans="1:15" ht="15.75" x14ac:dyDescent="0.25">
      <c r="A71" s="457"/>
      <c r="B71" s="438"/>
      <c r="C71" s="438"/>
      <c r="D71" s="438"/>
      <c r="E71" s="438"/>
      <c r="F71" s="438"/>
      <c r="G71" s="438"/>
      <c r="H71" s="438"/>
      <c r="I71" s="438"/>
      <c r="J71" s="438"/>
      <c r="K71" s="438"/>
      <c r="L71" s="438"/>
      <c r="M71" s="438"/>
      <c r="N71" s="439" t="s">
        <v>75</v>
      </c>
      <c r="O71" s="438"/>
    </row>
    <row r="72" spans="1:15" x14ac:dyDescent="0.2">
      <c r="A72" s="456"/>
      <c r="B72" s="456"/>
      <c r="C72" s="456"/>
      <c r="D72" s="456"/>
      <c r="E72" s="456"/>
      <c r="F72" s="456"/>
      <c r="G72" s="456"/>
      <c r="H72" s="456"/>
      <c r="I72" s="456"/>
      <c r="J72" s="456"/>
      <c r="K72" s="456"/>
      <c r="L72" s="456"/>
      <c r="M72" s="456"/>
      <c r="N72" s="439" t="s">
        <v>75</v>
      </c>
      <c r="O72" s="456"/>
    </row>
    <row r="73" spans="1:15" ht="15" customHeight="1" x14ac:dyDescent="0.2">
      <c r="A73" s="471" t="s">
        <v>42</v>
      </c>
      <c r="B73" s="633" t="s">
        <v>71</v>
      </c>
      <c r="C73" s="638"/>
      <c r="D73" s="638"/>
      <c r="E73" s="634"/>
      <c r="F73" s="633" t="s">
        <v>368</v>
      </c>
      <c r="G73" s="638"/>
      <c r="H73" s="638"/>
      <c r="I73" s="634"/>
      <c r="J73" s="639" t="s">
        <v>21</v>
      </c>
      <c r="K73" s="640"/>
      <c r="L73" s="439" t="s">
        <v>75</v>
      </c>
      <c r="M73" s="475"/>
      <c r="N73" s="439" t="s">
        <v>75</v>
      </c>
      <c r="O73" s="466"/>
    </row>
    <row r="74" spans="1:15" ht="30" customHeight="1" x14ac:dyDescent="0.25">
      <c r="A74" s="472"/>
      <c r="B74" s="633" t="s">
        <v>367</v>
      </c>
      <c r="C74" s="634"/>
      <c r="D74" s="633" t="s">
        <v>366</v>
      </c>
      <c r="E74" s="634"/>
      <c r="F74" s="633" t="s">
        <v>366</v>
      </c>
      <c r="G74" s="634"/>
      <c r="H74" s="633" t="s">
        <v>365</v>
      </c>
      <c r="I74" s="634"/>
      <c r="J74" s="641"/>
      <c r="K74" s="642"/>
      <c r="L74" s="439" t="s">
        <v>75</v>
      </c>
      <c r="M74" s="438"/>
      <c r="N74" s="439" t="s">
        <v>75</v>
      </c>
      <c r="O74" s="438"/>
    </row>
    <row r="75" spans="1:15" ht="28.5" x14ac:dyDescent="0.25">
      <c r="A75" s="473"/>
      <c r="B75" s="455" t="s">
        <v>168</v>
      </c>
      <c r="C75" s="455" t="s">
        <v>11</v>
      </c>
      <c r="D75" s="455" t="s">
        <v>168</v>
      </c>
      <c r="E75" s="455" t="s">
        <v>11</v>
      </c>
      <c r="F75" s="455" t="s">
        <v>168</v>
      </c>
      <c r="G75" s="455" t="s">
        <v>11</v>
      </c>
      <c r="H75" s="455" t="s">
        <v>168</v>
      </c>
      <c r="I75" s="455" t="s">
        <v>11</v>
      </c>
      <c r="J75" s="455" t="s">
        <v>168</v>
      </c>
      <c r="K75" s="455" t="s">
        <v>11</v>
      </c>
      <c r="L75" s="439" t="s">
        <v>75</v>
      </c>
      <c r="M75" s="438"/>
      <c r="N75" s="439" t="s">
        <v>75</v>
      </c>
      <c r="O75" s="438"/>
    </row>
    <row r="76" spans="1:15" ht="15.75" x14ac:dyDescent="0.25">
      <c r="A76" s="450" t="s">
        <v>274</v>
      </c>
      <c r="B76" s="449">
        <v>0</v>
      </c>
      <c r="C76" s="449">
        <v>0</v>
      </c>
      <c r="D76" s="449">
        <v>0</v>
      </c>
      <c r="E76" s="449">
        <v>0</v>
      </c>
      <c r="F76" s="449">
        <v>0</v>
      </c>
      <c r="G76" s="449">
        <v>0</v>
      </c>
      <c r="H76" s="449">
        <v>0</v>
      </c>
      <c r="I76" s="449">
        <v>0</v>
      </c>
      <c r="J76" s="449">
        <f t="shared" ref="J76:J88" si="6">+B9+D9+F9+H9+J9+L9+B42+D42+F42+H42+J42+B76+D76+F76+H76</f>
        <v>3</v>
      </c>
      <c r="K76" s="449">
        <f t="shared" ref="K76:K88" si="7">+C9+E9+G9+I9+K9+M9+C42+E42+G42+I42+K42+C76+E76+G76+I76</f>
        <v>480</v>
      </c>
      <c r="L76" s="439" t="s">
        <v>75</v>
      </c>
      <c r="M76" s="438"/>
      <c r="N76" s="439" t="s">
        <v>75</v>
      </c>
      <c r="O76" s="438"/>
    </row>
    <row r="77" spans="1:15" ht="15.75" x14ac:dyDescent="0.25">
      <c r="A77" s="445" t="s">
        <v>271</v>
      </c>
      <c r="B77" s="444">
        <v>0</v>
      </c>
      <c r="C77" s="444">
        <v>0</v>
      </c>
      <c r="D77" s="444">
        <v>0</v>
      </c>
      <c r="E77" s="444">
        <v>0</v>
      </c>
      <c r="F77" s="444">
        <v>0</v>
      </c>
      <c r="G77" s="444">
        <v>0</v>
      </c>
      <c r="H77" s="444">
        <v>0</v>
      </c>
      <c r="I77" s="444">
        <v>0</v>
      </c>
      <c r="J77" s="444">
        <f t="shared" si="6"/>
        <v>8</v>
      </c>
      <c r="K77" s="444">
        <f t="shared" si="7"/>
        <v>1111</v>
      </c>
      <c r="L77" s="439" t="s">
        <v>75</v>
      </c>
      <c r="M77" s="438"/>
      <c r="N77" s="439" t="s">
        <v>75</v>
      </c>
      <c r="O77" s="438"/>
    </row>
    <row r="78" spans="1:15" ht="15.75" x14ac:dyDescent="0.25">
      <c r="A78" s="445" t="s">
        <v>270</v>
      </c>
      <c r="B78" s="444">
        <v>1</v>
      </c>
      <c r="C78" s="444">
        <v>123</v>
      </c>
      <c r="D78" s="444">
        <v>0</v>
      </c>
      <c r="E78" s="444">
        <v>0</v>
      </c>
      <c r="F78" s="444">
        <v>0</v>
      </c>
      <c r="G78" s="444">
        <v>0</v>
      </c>
      <c r="H78" s="444">
        <v>0</v>
      </c>
      <c r="I78" s="444">
        <v>0</v>
      </c>
      <c r="J78" s="444">
        <f t="shared" si="6"/>
        <v>9</v>
      </c>
      <c r="K78" s="444">
        <f t="shared" si="7"/>
        <v>1056</v>
      </c>
      <c r="L78" s="439" t="s">
        <v>75</v>
      </c>
      <c r="M78" s="438"/>
      <c r="N78" s="439" t="s">
        <v>75</v>
      </c>
      <c r="O78" s="438"/>
    </row>
    <row r="79" spans="1:15" ht="15.75" x14ac:dyDescent="0.25">
      <c r="A79" s="445" t="s">
        <v>269</v>
      </c>
      <c r="B79" s="444">
        <v>0</v>
      </c>
      <c r="C79" s="444">
        <v>0</v>
      </c>
      <c r="D79" s="444">
        <v>0</v>
      </c>
      <c r="E79" s="444">
        <v>0</v>
      </c>
      <c r="F79" s="444">
        <v>0</v>
      </c>
      <c r="G79" s="444">
        <v>0</v>
      </c>
      <c r="H79" s="444">
        <v>0</v>
      </c>
      <c r="I79" s="444">
        <v>0</v>
      </c>
      <c r="J79" s="444">
        <f t="shared" si="6"/>
        <v>77</v>
      </c>
      <c r="K79" s="444">
        <f t="shared" si="7"/>
        <v>7677</v>
      </c>
      <c r="L79" s="439" t="s">
        <v>75</v>
      </c>
      <c r="M79" s="438"/>
      <c r="N79" s="439" t="s">
        <v>75</v>
      </c>
      <c r="O79" s="438"/>
    </row>
    <row r="80" spans="1:15" ht="15.75" x14ac:dyDescent="0.25">
      <c r="A80" s="445" t="s">
        <v>268</v>
      </c>
      <c r="B80" s="444">
        <v>1</v>
      </c>
      <c r="C80" s="444">
        <v>87</v>
      </c>
      <c r="D80" s="444">
        <v>0</v>
      </c>
      <c r="E80" s="444">
        <v>0</v>
      </c>
      <c r="F80" s="444">
        <v>0</v>
      </c>
      <c r="G80" s="444">
        <v>0</v>
      </c>
      <c r="H80" s="444">
        <v>0</v>
      </c>
      <c r="I80" s="444">
        <v>0</v>
      </c>
      <c r="J80" s="444">
        <f t="shared" si="6"/>
        <v>178</v>
      </c>
      <c r="K80" s="444">
        <f t="shared" si="7"/>
        <v>13689</v>
      </c>
      <c r="L80" s="439" t="s">
        <v>75</v>
      </c>
      <c r="M80" s="438"/>
      <c r="N80" s="439" t="s">
        <v>75</v>
      </c>
      <c r="O80" s="438"/>
    </row>
    <row r="81" spans="1:15" ht="15.75" x14ac:dyDescent="0.25">
      <c r="A81" s="445" t="s">
        <v>267</v>
      </c>
      <c r="B81" s="444">
        <v>2</v>
      </c>
      <c r="C81" s="444">
        <v>148</v>
      </c>
      <c r="D81" s="444">
        <v>0</v>
      </c>
      <c r="E81" s="444">
        <v>0</v>
      </c>
      <c r="F81" s="444">
        <v>0</v>
      </c>
      <c r="G81" s="444">
        <v>0</v>
      </c>
      <c r="H81" s="444">
        <v>0</v>
      </c>
      <c r="I81" s="444">
        <v>0</v>
      </c>
      <c r="J81" s="444">
        <f t="shared" si="6"/>
        <v>243</v>
      </c>
      <c r="K81" s="444">
        <f t="shared" si="7"/>
        <v>17426</v>
      </c>
      <c r="L81" s="439" t="s">
        <v>75</v>
      </c>
      <c r="M81" s="438"/>
      <c r="N81" s="439" t="s">
        <v>75</v>
      </c>
      <c r="O81" s="438"/>
    </row>
    <row r="82" spans="1:15" ht="15.75" x14ac:dyDescent="0.25">
      <c r="A82" s="445" t="s">
        <v>266</v>
      </c>
      <c r="B82" s="444">
        <v>0</v>
      </c>
      <c r="C82" s="444">
        <v>0</v>
      </c>
      <c r="D82" s="444">
        <v>0</v>
      </c>
      <c r="E82" s="444">
        <v>0</v>
      </c>
      <c r="F82" s="444">
        <v>0</v>
      </c>
      <c r="G82" s="444">
        <v>0</v>
      </c>
      <c r="H82" s="444">
        <v>0</v>
      </c>
      <c r="I82" s="444">
        <v>0</v>
      </c>
      <c r="J82" s="444">
        <f t="shared" si="6"/>
        <v>15</v>
      </c>
      <c r="K82" s="444">
        <f t="shared" si="7"/>
        <v>997</v>
      </c>
      <c r="L82" s="439" t="s">
        <v>75</v>
      </c>
      <c r="M82" s="438"/>
      <c r="N82" s="439" t="s">
        <v>75</v>
      </c>
      <c r="O82" s="438"/>
    </row>
    <row r="83" spans="1:15" ht="15.75" x14ac:dyDescent="0.25">
      <c r="A83" s="445" t="s">
        <v>265</v>
      </c>
      <c r="B83" s="444">
        <v>0</v>
      </c>
      <c r="C83" s="444">
        <v>0</v>
      </c>
      <c r="D83" s="444">
        <v>0</v>
      </c>
      <c r="E83" s="444">
        <v>0</v>
      </c>
      <c r="F83" s="444">
        <v>0</v>
      </c>
      <c r="G83" s="444">
        <v>0</v>
      </c>
      <c r="H83" s="444">
        <v>0</v>
      </c>
      <c r="I83" s="444">
        <v>0</v>
      </c>
      <c r="J83" s="444">
        <f t="shared" si="6"/>
        <v>209</v>
      </c>
      <c r="K83" s="444">
        <f t="shared" si="7"/>
        <v>12529</v>
      </c>
      <c r="L83" s="439" t="s">
        <v>75</v>
      </c>
      <c r="M83" s="438"/>
      <c r="N83" s="439" t="s">
        <v>75</v>
      </c>
      <c r="O83" s="438"/>
    </row>
    <row r="84" spans="1:15" ht="15.75" x14ac:dyDescent="0.25">
      <c r="A84" s="445" t="s">
        <v>264</v>
      </c>
      <c r="B84" s="444">
        <v>0</v>
      </c>
      <c r="C84" s="444">
        <v>0</v>
      </c>
      <c r="D84" s="444">
        <v>0</v>
      </c>
      <c r="E84" s="444">
        <v>0</v>
      </c>
      <c r="F84" s="444">
        <v>0</v>
      </c>
      <c r="G84" s="444">
        <v>0</v>
      </c>
      <c r="H84" s="444">
        <v>0</v>
      </c>
      <c r="I84" s="444">
        <v>0</v>
      </c>
      <c r="J84" s="444">
        <f t="shared" si="6"/>
        <v>618</v>
      </c>
      <c r="K84" s="444">
        <f t="shared" si="7"/>
        <v>34941</v>
      </c>
      <c r="L84" s="439" t="s">
        <v>75</v>
      </c>
      <c r="M84" s="438"/>
      <c r="N84" s="439" t="s">
        <v>75</v>
      </c>
      <c r="O84" s="438"/>
    </row>
    <row r="85" spans="1:15" ht="15.75" x14ac:dyDescent="0.25">
      <c r="A85" s="445" t="s">
        <v>263</v>
      </c>
      <c r="B85" s="444">
        <v>0</v>
      </c>
      <c r="C85" s="444">
        <v>0</v>
      </c>
      <c r="D85" s="444">
        <v>0</v>
      </c>
      <c r="E85" s="444">
        <v>0</v>
      </c>
      <c r="F85" s="444">
        <v>0</v>
      </c>
      <c r="G85" s="444">
        <v>0</v>
      </c>
      <c r="H85" s="444">
        <v>0</v>
      </c>
      <c r="I85" s="444">
        <v>0</v>
      </c>
      <c r="J85" s="444">
        <f t="shared" si="6"/>
        <v>466</v>
      </c>
      <c r="K85" s="444">
        <f t="shared" si="7"/>
        <v>24719</v>
      </c>
      <c r="L85" s="439" t="s">
        <v>75</v>
      </c>
      <c r="M85" s="438"/>
      <c r="N85" s="439" t="s">
        <v>75</v>
      </c>
      <c r="O85" s="438"/>
    </row>
    <row r="86" spans="1:15" ht="15.75" x14ac:dyDescent="0.25">
      <c r="A86" s="445" t="s">
        <v>262</v>
      </c>
      <c r="B86" s="444">
        <v>0</v>
      </c>
      <c r="C86" s="444">
        <v>0</v>
      </c>
      <c r="D86" s="444">
        <v>0</v>
      </c>
      <c r="E86" s="444">
        <v>0</v>
      </c>
      <c r="F86" s="444">
        <v>0</v>
      </c>
      <c r="G86" s="444">
        <v>0</v>
      </c>
      <c r="H86" s="444">
        <v>0</v>
      </c>
      <c r="I86" s="444">
        <v>0</v>
      </c>
      <c r="J86" s="444">
        <f t="shared" si="6"/>
        <v>66</v>
      </c>
      <c r="K86" s="444">
        <f t="shared" si="7"/>
        <v>3212</v>
      </c>
      <c r="L86" s="439" t="s">
        <v>75</v>
      </c>
      <c r="M86" s="438"/>
      <c r="N86" s="439" t="s">
        <v>75</v>
      </c>
      <c r="O86" s="438"/>
    </row>
    <row r="87" spans="1:15" ht="15.75" x14ac:dyDescent="0.25">
      <c r="A87" s="454" t="s">
        <v>261</v>
      </c>
      <c r="B87" s="453">
        <v>0</v>
      </c>
      <c r="C87" s="453">
        <v>0</v>
      </c>
      <c r="D87" s="453">
        <v>0</v>
      </c>
      <c r="E87" s="453">
        <v>0</v>
      </c>
      <c r="F87" s="453">
        <v>0</v>
      </c>
      <c r="G87" s="453">
        <v>0</v>
      </c>
      <c r="H87" s="453">
        <v>0</v>
      </c>
      <c r="I87" s="453">
        <v>0</v>
      </c>
      <c r="J87" s="453">
        <f t="shared" si="6"/>
        <v>4</v>
      </c>
      <c r="K87" s="453">
        <f t="shared" si="7"/>
        <v>183</v>
      </c>
      <c r="L87" s="439" t="s">
        <v>75</v>
      </c>
      <c r="M87" s="438"/>
      <c r="N87" s="439" t="s">
        <v>75</v>
      </c>
      <c r="O87" s="438"/>
    </row>
    <row r="88" spans="1:15" ht="15.75" x14ac:dyDescent="0.25">
      <c r="A88" s="452" t="s">
        <v>74</v>
      </c>
      <c r="B88" s="442">
        <v>0</v>
      </c>
      <c r="C88" s="451">
        <v>0</v>
      </c>
      <c r="D88" s="451">
        <v>0</v>
      </c>
      <c r="E88" s="451">
        <v>0</v>
      </c>
      <c r="F88" s="451">
        <v>0</v>
      </c>
      <c r="G88" s="451">
        <v>0</v>
      </c>
      <c r="H88" s="442">
        <v>0</v>
      </c>
      <c r="I88" s="451">
        <v>0</v>
      </c>
      <c r="J88" s="442">
        <f t="shared" si="6"/>
        <v>191</v>
      </c>
      <c r="K88" s="451">
        <f t="shared" si="7"/>
        <v>14832</v>
      </c>
      <c r="L88" s="439"/>
      <c r="M88" s="438"/>
      <c r="N88" s="439" t="s">
        <v>75</v>
      </c>
      <c r="O88" s="438"/>
    </row>
    <row r="89" spans="1:15" ht="15.75" x14ac:dyDescent="0.25">
      <c r="A89" s="450" t="s">
        <v>364</v>
      </c>
      <c r="B89" s="449">
        <f t="shared" ref="B89:K89" si="8">SUM(B76:B88)</f>
        <v>4</v>
      </c>
      <c r="C89" s="449">
        <f t="shared" si="8"/>
        <v>358</v>
      </c>
      <c r="D89" s="449">
        <f t="shared" si="8"/>
        <v>0</v>
      </c>
      <c r="E89" s="449">
        <f t="shared" si="8"/>
        <v>0</v>
      </c>
      <c r="F89" s="449">
        <f t="shared" si="8"/>
        <v>0</v>
      </c>
      <c r="G89" s="449">
        <f t="shared" si="8"/>
        <v>0</v>
      </c>
      <c r="H89" s="449">
        <f t="shared" si="8"/>
        <v>0</v>
      </c>
      <c r="I89" s="449">
        <f t="shared" si="8"/>
        <v>0</v>
      </c>
      <c r="J89" s="449">
        <f t="shared" si="8"/>
        <v>2087</v>
      </c>
      <c r="K89" s="449">
        <f t="shared" si="8"/>
        <v>132852</v>
      </c>
      <c r="L89" s="439" t="s">
        <v>75</v>
      </c>
      <c r="M89" s="438"/>
      <c r="N89" s="439" t="s">
        <v>75</v>
      </c>
      <c r="O89" s="438"/>
    </row>
    <row r="90" spans="1:15" ht="15.75" x14ac:dyDescent="0.25">
      <c r="A90" s="448" t="s">
        <v>363</v>
      </c>
      <c r="B90" s="444">
        <f>-B89*0.5</f>
        <v>-2</v>
      </c>
      <c r="C90" s="444">
        <v>-178</v>
      </c>
      <c r="D90" s="444">
        <f>-D89*0.5</f>
        <v>0</v>
      </c>
      <c r="E90" s="444">
        <f>-E89*0.5</f>
        <v>0</v>
      </c>
      <c r="F90" s="444">
        <f>-F89*0.5</f>
        <v>0</v>
      </c>
      <c r="G90" s="444"/>
      <c r="H90" s="444">
        <f>-H89*0.5</f>
        <v>0</v>
      </c>
      <c r="I90" s="444">
        <f>-I89*0.5</f>
        <v>0</v>
      </c>
      <c r="J90" s="444">
        <f>+B23+D23+F23+H23+J23+L23+B56+D56+F56+H56+J56+B90+D90+F90+H90</f>
        <v>-1485</v>
      </c>
      <c r="K90" s="444">
        <f>+C23+E23+G23+I23+K23+M23+C56+E56+G56+I56+K56+C90+E90+G90+I90</f>
        <v>-88307</v>
      </c>
      <c r="L90" s="439" t="s">
        <v>75</v>
      </c>
      <c r="M90" s="438"/>
      <c r="N90" s="439" t="s">
        <v>75</v>
      </c>
      <c r="O90" s="438"/>
    </row>
    <row r="91" spans="1:15" ht="15.75" x14ac:dyDescent="0.25">
      <c r="A91" s="445" t="s">
        <v>362</v>
      </c>
      <c r="B91" s="444"/>
      <c r="C91" s="444">
        <v>0</v>
      </c>
      <c r="D91" s="444"/>
      <c r="E91" s="444">
        <v>0</v>
      </c>
      <c r="F91" s="444"/>
      <c r="G91" s="444">
        <v>0</v>
      </c>
      <c r="H91" s="444"/>
      <c r="I91" s="444">
        <v>0</v>
      </c>
      <c r="J91" s="444"/>
      <c r="K91" s="444">
        <f t="shared" ref="K91:K101" si="9">+C24+E24+G24+I24+K24+M24+C57+E57+G57+I57+K57+C91+E91+G91+I91</f>
        <v>4073</v>
      </c>
      <c r="L91" s="439" t="s">
        <v>75</v>
      </c>
      <c r="M91" s="438"/>
      <c r="N91" s="439" t="s">
        <v>75</v>
      </c>
      <c r="O91" s="438"/>
    </row>
    <row r="92" spans="1:15" ht="15.75" x14ac:dyDescent="0.25">
      <c r="A92" s="447" t="s">
        <v>361</v>
      </c>
      <c r="B92" s="446">
        <f t="shared" ref="B92:I92" si="10">SUM(B89:B91)</f>
        <v>2</v>
      </c>
      <c r="C92" s="446">
        <f t="shared" si="10"/>
        <v>180</v>
      </c>
      <c r="D92" s="446">
        <f t="shared" si="10"/>
        <v>0</v>
      </c>
      <c r="E92" s="446">
        <f t="shared" si="10"/>
        <v>0</v>
      </c>
      <c r="F92" s="446">
        <f t="shared" si="10"/>
        <v>0</v>
      </c>
      <c r="G92" s="446">
        <f t="shared" si="10"/>
        <v>0</v>
      </c>
      <c r="H92" s="446">
        <f t="shared" si="10"/>
        <v>0</v>
      </c>
      <c r="I92" s="446">
        <f t="shared" si="10"/>
        <v>0</v>
      </c>
      <c r="J92" s="446">
        <f>+B25+D25+F25+H25+J25+L25+B58+D58+F58+H58+J58+B92+D92+F92+H92</f>
        <v>602</v>
      </c>
      <c r="K92" s="446">
        <f t="shared" si="9"/>
        <v>48618</v>
      </c>
      <c r="L92" s="439" t="s">
        <v>75</v>
      </c>
      <c r="M92" s="438"/>
      <c r="N92" s="439" t="s">
        <v>75</v>
      </c>
      <c r="O92" s="438"/>
    </row>
    <row r="93" spans="1:15" ht="15.75" x14ac:dyDescent="0.25">
      <c r="A93" s="445" t="s">
        <v>360</v>
      </c>
      <c r="B93" s="444"/>
      <c r="C93" s="444">
        <v>83</v>
      </c>
      <c r="D93" s="444"/>
      <c r="E93" s="444">
        <v>0</v>
      </c>
      <c r="F93" s="444"/>
      <c r="G93" s="444">
        <v>0</v>
      </c>
      <c r="H93" s="444"/>
      <c r="I93" s="444">
        <v>0</v>
      </c>
      <c r="J93" s="444"/>
      <c r="K93" s="444">
        <f t="shared" si="9"/>
        <v>20314</v>
      </c>
      <c r="L93" s="439" t="s">
        <v>75</v>
      </c>
      <c r="M93" s="438"/>
      <c r="N93" s="439" t="s">
        <v>75</v>
      </c>
      <c r="O93" s="438"/>
    </row>
    <row r="94" spans="1:15" ht="15.75" x14ac:dyDescent="0.25">
      <c r="A94" s="445" t="s">
        <v>359</v>
      </c>
      <c r="B94" s="444"/>
      <c r="C94" s="444">
        <v>0</v>
      </c>
      <c r="D94" s="444"/>
      <c r="E94" s="444">
        <v>0</v>
      </c>
      <c r="F94" s="444"/>
      <c r="G94" s="444">
        <v>0</v>
      </c>
      <c r="H94" s="444"/>
      <c r="I94" s="444">
        <v>0</v>
      </c>
      <c r="J94" s="444"/>
      <c r="K94" s="444">
        <f t="shared" si="9"/>
        <v>531</v>
      </c>
      <c r="L94" s="439" t="s">
        <v>75</v>
      </c>
      <c r="M94" s="438"/>
      <c r="N94" s="439" t="s">
        <v>75</v>
      </c>
      <c r="O94" s="438"/>
    </row>
    <row r="95" spans="1:15" ht="15.75" x14ac:dyDescent="0.25">
      <c r="A95" s="445" t="s">
        <v>358</v>
      </c>
      <c r="B95" s="444"/>
      <c r="C95" s="444">
        <v>0</v>
      </c>
      <c r="D95" s="444"/>
      <c r="E95" s="444">
        <v>0</v>
      </c>
      <c r="F95" s="444"/>
      <c r="G95" s="444">
        <v>0</v>
      </c>
      <c r="H95" s="444"/>
      <c r="I95" s="444">
        <v>0</v>
      </c>
      <c r="J95" s="444"/>
      <c r="K95" s="444">
        <f t="shared" si="9"/>
        <v>231</v>
      </c>
      <c r="L95" s="439" t="s">
        <v>75</v>
      </c>
      <c r="M95" s="438"/>
      <c r="N95" s="439" t="s">
        <v>75</v>
      </c>
      <c r="O95" s="438"/>
    </row>
    <row r="96" spans="1:15" ht="15.75" x14ac:dyDescent="0.25">
      <c r="A96" s="445" t="s">
        <v>357</v>
      </c>
      <c r="B96" s="444"/>
      <c r="C96" s="444">
        <v>0</v>
      </c>
      <c r="D96" s="444"/>
      <c r="E96" s="444">
        <v>0</v>
      </c>
      <c r="F96" s="444"/>
      <c r="G96" s="444">
        <v>0</v>
      </c>
      <c r="H96" s="444"/>
      <c r="I96" s="444">
        <v>0</v>
      </c>
      <c r="J96" s="444"/>
      <c r="K96" s="444">
        <f t="shared" si="9"/>
        <v>916</v>
      </c>
      <c r="L96" s="439" t="s">
        <v>75</v>
      </c>
      <c r="M96" s="438"/>
      <c r="N96" s="439" t="s">
        <v>75</v>
      </c>
      <c r="O96" s="438"/>
    </row>
    <row r="97" spans="1:15" ht="15.75" x14ac:dyDescent="0.25">
      <c r="A97" s="445" t="s">
        <v>356</v>
      </c>
      <c r="B97" s="444"/>
      <c r="C97" s="444">
        <v>0</v>
      </c>
      <c r="D97" s="444"/>
      <c r="E97" s="444">
        <v>0</v>
      </c>
      <c r="F97" s="444"/>
      <c r="G97" s="444">
        <v>0</v>
      </c>
      <c r="H97" s="444"/>
      <c r="I97" s="444">
        <v>0</v>
      </c>
      <c r="J97" s="444"/>
      <c r="K97" s="444">
        <f t="shared" si="9"/>
        <v>21</v>
      </c>
      <c r="L97" s="439" t="s">
        <v>75</v>
      </c>
      <c r="M97" s="438"/>
      <c r="N97" s="439" t="s">
        <v>75</v>
      </c>
      <c r="O97" s="438"/>
    </row>
    <row r="98" spans="1:15" ht="15.75" x14ac:dyDescent="0.25">
      <c r="A98" s="445" t="s">
        <v>355</v>
      </c>
      <c r="B98" s="444"/>
      <c r="C98" s="444">
        <v>25969</v>
      </c>
      <c r="D98" s="444"/>
      <c r="E98" s="444">
        <v>6000</v>
      </c>
      <c r="F98" s="444"/>
      <c r="G98" s="444">
        <v>2000</v>
      </c>
      <c r="H98" s="444"/>
      <c r="I98" s="444">
        <v>-5500</v>
      </c>
      <c r="J98" s="444"/>
      <c r="K98" s="444">
        <f t="shared" si="9"/>
        <v>-6910</v>
      </c>
      <c r="L98" s="439" t="s">
        <v>75</v>
      </c>
      <c r="M98" s="438"/>
      <c r="N98" s="439" t="s">
        <v>75</v>
      </c>
      <c r="O98" s="438"/>
    </row>
    <row r="99" spans="1:15" ht="15.75" x14ac:dyDescent="0.25">
      <c r="A99" s="445" t="s">
        <v>354</v>
      </c>
      <c r="B99" s="444"/>
      <c r="C99" s="444">
        <v>0</v>
      </c>
      <c r="D99" s="444"/>
      <c r="E99" s="444">
        <v>0</v>
      </c>
      <c r="F99" s="444"/>
      <c r="G99" s="444">
        <v>0</v>
      </c>
      <c r="H99" s="444"/>
      <c r="I99" s="444">
        <v>0</v>
      </c>
      <c r="J99" s="444"/>
      <c r="K99" s="444">
        <f t="shared" si="9"/>
        <v>-13540</v>
      </c>
      <c r="L99" s="439" t="s">
        <v>75</v>
      </c>
      <c r="M99" s="438"/>
      <c r="N99" s="439" t="s">
        <v>75</v>
      </c>
      <c r="O99" s="438"/>
    </row>
    <row r="100" spans="1:15" ht="15.75" x14ac:dyDescent="0.25">
      <c r="A100" s="443" t="s">
        <v>34</v>
      </c>
      <c r="B100" s="442"/>
      <c r="C100" s="442">
        <v>0</v>
      </c>
      <c r="D100" s="442"/>
      <c r="E100" s="442">
        <v>0</v>
      </c>
      <c r="F100" s="442"/>
      <c r="G100" s="442">
        <v>0</v>
      </c>
      <c r="H100" s="442"/>
      <c r="I100" s="442">
        <v>0</v>
      </c>
      <c r="J100" s="442"/>
      <c r="K100" s="442">
        <f t="shared" si="9"/>
        <v>15411</v>
      </c>
      <c r="L100" s="439" t="s">
        <v>75</v>
      </c>
      <c r="M100" s="438"/>
      <c r="N100" s="439" t="s">
        <v>75</v>
      </c>
      <c r="O100" s="438"/>
    </row>
    <row r="101" spans="1:15" ht="15.75" x14ac:dyDescent="0.25">
      <c r="A101" s="443" t="s">
        <v>369</v>
      </c>
      <c r="B101" s="442"/>
      <c r="C101" s="442">
        <v>0</v>
      </c>
      <c r="D101" s="442"/>
      <c r="E101" s="442">
        <v>0</v>
      </c>
      <c r="F101" s="442"/>
      <c r="G101" s="442">
        <v>0</v>
      </c>
      <c r="H101" s="442"/>
      <c r="I101" s="442">
        <v>0</v>
      </c>
      <c r="J101" s="442"/>
      <c r="K101" s="442">
        <f t="shared" si="9"/>
        <v>12</v>
      </c>
      <c r="L101" s="439"/>
      <c r="M101" s="438"/>
      <c r="N101" s="439" t="s">
        <v>75</v>
      </c>
      <c r="O101" s="438"/>
    </row>
    <row r="102" spans="1:15" ht="15.75" x14ac:dyDescent="0.25">
      <c r="A102" s="441" t="s">
        <v>253</v>
      </c>
      <c r="B102" s="440">
        <f t="shared" ref="B102:J102" si="11">SUM(B92:B100)</f>
        <v>2</v>
      </c>
      <c r="C102" s="440">
        <f t="shared" si="11"/>
        <v>26232</v>
      </c>
      <c r="D102" s="440">
        <f t="shared" si="11"/>
        <v>0</v>
      </c>
      <c r="E102" s="440">
        <f t="shared" si="11"/>
        <v>6000</v>
      </c>
      <c r="F102" s="440">
        <f t="shared" si="11"/>
        <v>0</v>
      </c>
      <c r="G102" s="440">
        <f t="shared" si="11"/>
        <v>2000</v>
      </c>
      <c r="H102" s="440">
        <f t="shared" si="11"/>
        <v>0</v>
      </c>
      <c r="I102" s="440">
        <f t="shared" si="11"/>
        <v>-5500</v>
      </c>
      <c r="J102" s="440">
        <f t="shared" si="11"/>
        <v>602</v>
      </c>
      <c r="K102" s="440">
        <f>SUM(K92:K101)</f>
        <v>65604</v>
      </c>
      <c r="L102" s="439" t="s">
        <v>75</v>
      </c>
      <c r="M102" s="438"/>
      <c r="N102" s="439" t="s">
        <v>76</v>
      </c>
      <c r="O102" s="438"/>
    </row>
    <row r="103" spans="1:15" ht="15.75" x14ac:dyDescent="0.25">
      <c r="L103" s="439"/>
      <c r="M103" s="438"/>
      <c r="N103" s="439"/>
      <c r="O103" s="438"/>
    </row>
    <row r="104" spans="1:15" ht="15.75" x14ac:dyDescent="0.25">
      <c r="L104" s="437"/>
      <c r="M104" s="438"/>
      <c r="O104" s="438"/>
    </row>
    <row r="105" spans="1:15" ht="15.75" x14ac:dyDescent="0.25">
      <c r="L105" s="437"/>
      <c r="M105" s="438"/>
      <c r="O105" s="438"/>
    </row>
    <row r="106" spans="1:15" ht="15.75" x14ac:dyDescent="0.25">
      <c r="M106" s="438"/>
      <c r="O106" s="438"/>
    </row>
    <row r="107" spans="1:15" ht="15.75" x14ac:dyDescent="0.25">
      <c r="M107" s="438"/>
      <c r="O107" s="438"/>
    </row>
    <row r="108" spans="1:15" ht="15.75" x14ac:dyDescent="0.25">
      <c r="M108" s="438"/>
      <c r="O108" s="438"/>
    </row>
    <row r="109" spans="1:15" ht="15.75" x14ac:dyDescent="0.25">
      <c r="M109" s="438"/>
      <c r="O109" s="438"/>
    </row>
  </sheetData>
  <mergeCells count="24">
    <mergeCell ref="B39:K39"/>
    <mergeCell ref="D40:E40"/>
    <mergeCell ref="F40:G40"/>
    <mergeCell ref="H40:I40"/>
    <mergeCell ref="J40:K40"/>
    <mergeCell ref="H74:I74"/>
    <mergeCell ref="B73:E73"/>
    <mergeCell ref="B40:C40"/>
    <mergeCell ref="F73:I73"/>
    <mergeCell ref="J73:K74"/>
    <mergeCell ref="B74:C74"/>
    <mergeCell ref="D74:E74"/>
    <mergeCell ref="F74:G74"/>
    <mergeCell ref="A1:M1"/>
    <mergeCell ref="A2:M2"/>
    <mergeCell ref="A3:M3"/>
    <mergeCell ref="A4:M4"/>
    <mergeCell ref="B7:C7"/>
    <mergeCell ref="D7:E7"/>
    <mergeCell ref="B6:M6"/>
    <mergeCell ref="L7:M7"/>
    <mergeCell ref="F7:G7"/>
    <mergeCell ref="H7:I7"/>
    <mergeCell ref="J7:K7"/>
  </mergeCells>
  <printOptions horizontalCentered="1"/>
  <pageMargins left="0.7" right="0.7" top="0.52" bottom="0.39" header="0.3" footer="0.23"/>
  <pageSetup scale="66" fitToHeight="2" orientation="landscape" r:id="rId1"/>
  <headerFooter>
    <oddHeader xml:space="preserve">&amp;L&amp;"Arial,Bold"&amp;12J. Financial Analysis of Program Changes
</oddHeader>
    <oddFooter>&amp;C&amp;"Arial,Regular"Exhibit J - Financial Analysis of Program Changes</oddFooter>
  </headerFooter>
  <rowBreaks count="2" manualBreakCount="2">
    <brk id="36" max="12" man="1"/>
    <brk id="69"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80" zoomScaleNormal="100" zoomScaleSheetLayoutView="80" workbookViewId="0">
      <selection activeCell="O8" sqref="O8"/>
    </sheetView>
  </sheetViews>
  <sheetFormatPr defaultRowHeight="12" x14ac:dyDescent="0.2"/>
  <cols>
    <col min="1" max="1" width="8.88671875" style="261" customWidth="1"/>
    <col min="2" max="2" width="10.5546875" style="261" customWidth="1"/>
    <col min="3" max="3" width="2.88671875" style="261" customWidth="1"/>
    <col min="4" max="4" width="8.33203125" style="261" bestFit="1" customWidth="1"/>
    <col min="5" max="5" width="6.44140625" style="261" customWidth="1"/>
    <col min="6" max="6" width="9.88671875" style="261" customWidth="1"/>
    <col min="7" max="7" width="6.44140625" style="261" customWidth="1"/>
    <col min="8" max="8" width="9.88671875" style="261" customWidth="1"/>
    <col min="9" max="9" width="6.44140625" style="261" customWidth="1"/>
    <col min="10" max="10" width="9.88671875" style="261" customWidth="1"/>
    <col min="11" max="11" width="6.44140625" style="261" customWidth="1"/>
    <col min="12" max="12" width="9.88671875" style="261" customWidth="1"/>
    <col min="13" max="13" width="10.88671875" style="262" bestFit="1" customWidth="1"/>
    <col min="14" max="15" width="6.44140625" style="261" customWidth="1"/>
    <col min="16" max="16" width="9.88671875" style="261" customWidth="1"/>
    <col min="17" max="16384" width="8.88671875" style="261"/>
  </cols>
  <sheetData>
    <row r="1" spans="1:16" x14ac:dyDescent="0.2">
      <c r="A1" s="645" t="s">
        <v>54</v>
      </c>
      <c r="B1" s="645"/>
      <c r="C1" s="645"/>
      <c r="D1" s="645"/>
      <c r="E1" s="645"/>
      <c r="F1" s="645"/>
      <c r="G1" s="645"/>
      <c r="H1" s="645"/>
      <c r="I1" s="645"/>
      <c r="J1" s="645"/>
      <c r="K1" s="645"/>
      <c r="L1" s="645"/>
      <c r="M1" s="263" t="s">
        <v>75</v>
      </c>
      <c r="N1" s="264"/>
      <c r="O1" s="264"/>
      <c r="P1" s="264"/>
    </row>
    <row r="2" spans="1:16" x14ac:dyDescent="0.2">
      <c r="A2" s="646" t="s">
        <v>17</v>
      </c>
      <c r="B2" s="646"/>
      <c r="C2" s="646"/>
      <c r="D2" s="646"/>
      <c r="E2" s="646"/>
      <c r="F2" s="646"/>
      <c r="G2" s="646"/>
      <c r="H2" s="646"/>
      <c r="I2" s="646"/>
      <c r="J2" s="646"/>
      <c r="K2" s="646"/>
      <c r="L2" s="646"/>
      <c r="M2" s="263" t="s">
        <v>75</v>
      </c>
      <c r="N2" s="265"/>
      <c r="O2" s="265"/>
      <c r="P2" s="265"/>
    </row>
    <row r="3" spans="1:16" x14ac:dyDescent="0.2">
      <c r="A3" s="646" t="s">
        <v>18</v>
      </c>
      <c r="B3" s="646"/>
      <c r="C3" s="646"/>
      <c r="D3" s="646"/>
      <c r="E3" s="646"/>
      <c r="F3" s="646"/>
      <c r="G3" s="646"/>
      <c r="H3" s="646"/>
      <c r="I3" s="646"/>
      <c r="J3" s="646"/>
      <c r="K3" s="646"/>
      <c r="L3" s="646"/>
      <c r="M3" s="263" t="s">
        <v>75</v>
      </c>
      <c r="N3" s="265"/>
      <c r="O3" s="265"/>
      <c r="P3" s="265"/>
    </row>
    <row r="4" spans="1:16" x14ac:dyDescent="0.2">
      <c r="A4" s="646" t="s">
        <v>41</v>
      </c>
      <c r="B4" s="646"/>
      <c r="C4" s="646"/>
      <c r="D4" s="646"/>
      <c r="E4" s="646"/>
      <c r="F4" s="646"/>
      <c r="G4" s="646"/>
      <c r="H4" s="646"/>
      <c r="I4" s="646"/>
      <c r="J4" s="646"/>
      <c r="K4" s="646"/>
      <c r="L4" s="646"/>
      <c r="M4" s="263" t="s">
        <v>75</v>
      </c>
      <c r="N4" s="265"/>
      <c r="O4" s="265"/>
      <c r="P4" s="265"/>
    </row>
    <row r="5" spans="1:16" x14ac:dyDescent="0.2">
      <c r="A5" s="646"/>
      <c r="B5" s="646"/>
      <c r="C5" s="646"/>
      <c r="D5" s="646"/>
      <c r="E5" s="646"/>
      <c r="F5" s="646"/>
      <c r="G5" s="646"/>
      <c r="H5" s="646"/>
      <c r="I5" s="646"/>
      <c r="J5" s="646"/>
      <c r="K5" s="646"/>
      <c r="L5" s="646"/>
      <c r="M5" s="263" t="s">
        <v>75</v>
      </c>
      <c r="N5" s="265"/>
      <c r="O5" s="265"/>
      <c r="P5" s="265"/>
    </row>
    <row r="6" spans="1:16" ht="12.75" thickBot="1" x14ac:dyDescent="0.25">
      <c r="A6" s="646"/>
      <c r="B6" s="646"/>
      <c r="C6" s="646"/>
      <c r="D6" s="646"/>
      <c r="E6" s="646"/>
      <c r="F6" s="646"/>
      <c r="G6" s="646"/>
      <c r="H6" s="646"/>
      <c r="I6" s="646"/>
      <c r="J6" s="646"/>
      <c r="K6" s="646"/>
      <c r="L6" s="646"/>
      <c r="M6" s="263" t="s">
        <v>75</v>
      </c>
      <c r="N6" s="265"/>
      <c r="O6" s="265"/>
      <c r="P6" s="265"/>
    </row>
    <row r="7" spans="1:16" ht="30.75" customHeight="1" x14ac:dyDescent="0.2">
      <c r="A7" s="649" t="s">
        <v>15</v>
      </c>
      <c r="B7" s="650"/>
      <c r="C7" s="650"/>
      <c r="D7" s="651"/>
      <c r="E7" s="643" t="s">
        <v>272</v>
      </c>
      <c r="F7" s="643"/>
      <c r="G7" s="643" t="s">
        <v>170</v>
      </c>
      <c r="H7" s="643"/>
      <c r="I7" s="643" t="s">
        <v>112</v>
      </c>
      <c r="J7" s="643"/>
      <c r="K7" s="643" t="s">
        <v>98</v>
      </c>
      <c r="L7" s="644"/>
      <c r="M7" s="263" t="s">
        <v>75</v>
      </c>
    </row>
    <row r="8" spans="1:16" ht="24" x14ac:dyDescent="0.2">
      <c r="A8" s="652"/>
      <c r="B8" s="653"/>
      <c r="C8" s="653"/>
      <c r="D8" s="654"/>
      <c r="E8" s="266" t="s">
        <v>168</v>
      </c>
      <c r="F8" s="266" t="s">
        <v>11</v>
      </c>
      <c r="G8" s="266" t="s">
        <v>168</v>
      </c>
      <c r="H8" s="266" t="s">
        <v>11</v>
      </c>
      <c r="I8" s="266" t="s">
        <v>168</v>
      </c>
      <c r="J8" s="266" t="s">
        <v>11</v>
      </c>
      <c r="K8" s="266" t="s">
        <v>168</v>
      </c>
      <c r="L8" s="267" t="s">
        <v>11</v>
      </c>
      <c r="M8" s="263" t="s">
        <v>75</v>
      </c>
    </row>
    <row r="9" spans="1:16" x14ac:dyDescent="0.2">
      <c r="A9" s="270" t="s">
        <v>274</v>
      </c>
      <c r="B9" s="271">
        <v>119554</v>
      </c>
      <c r="C9" s="272" t="s">
        <v>259</v>
      </c>
      <c r="D9" s="273">
        <v>179700</v>
      </c>
      <c r="E9" s="274">
        <v>91</v>
      </c>
      <c r="F9" s="274">
        <v>13614</v>
      </c>
      <c r="G9" s="274">
        <v>91</v>
      </c>
      <c r="H9" s="274">
        <v>13614</v>
      </c>
      <c r="I9" s="274">
        <f>+G9+K9</f>
        <v>94</v>
      </c>
      <c r="J9" s="274">
        <f>+H9+L9</f>
        <v>14298</v>
      </c>
      <c r="K9" s="274">
        <v>3</v>
      </c>
      <c r="L9" s="275">
        <f>480+204</f>
        <v>684</v>
      </c>
      <c r="M9" s="263" t="s">
        <v>75</v>
      </c>
    </row>
    <row r="10" spans="1:16" x14ac:dyDescent="0.2">
      <c r="A10" s="276" t="s">
        <v>271</v>
      </c>
      <c r="B10" s="277">
        <v>123758</v>
      </c>
      <c r="C10" s="278" t="s">
        <v>259</v>
      </c>
      <c r="D10" s="279">
        <v>155500</v>
      </c>
      <c r="E10" s="280">
        <v>481</v>
      </c>
      <c r="F10" s="280">
        <f>481*139.6</f>
        <v>67147.599999999991</v>
      </c>
      <c r="G10" s="280">
        <v>481</v>
      </c>
      <c r="H10" s="280">
        <v>67148</v>
      </c>
      <c r="I10" s="280">
        <f t="shared" ref="I10:I22" si="0">+G10+K10</f>
        <v>489</v>
      </c>
      <c r="J10" s="280">
        <f t="shared" ref="J10:J22" si="1">+H10+L10</f>
        <v>69266</v>
      </c>
      <c r="K10" s="280">
        <v>8</v>
      </c>
      <c r="L10" s="281">
        <f>1111+1007</f>
        <v>2118</v>
      </c>
      <c r="M10" s="263" t="s">
        <v>75</v>
      </c>
    </row>
    <row r="11" spans="1:16" x14ac:dyDescent="0.2">
      <c r="A11" s="276" t="s">
        <v>270</v>
      </c>
      <c r="B11" s="277">
        <v>105211</v>
      </c>
      <c r="C11" s="278" t="s">
        <v>259</v>
      </c>
      <c r="D11" s="279">
        <v>136771</v>
      </c>
      <c r="E11" s="280">
        <v>621</v>
      </c>
      <c r="F11" s="280">
        <f>621*120.9</f>
        <v>75078.900000000009</v>
      </c>
      <c r="G11" s="280">
        <v>621</v>
      </c>
      <c r="H11" s="280">
        <v>75079</v>
      </c>
      <c r="I11" s="280">
        <f t="shared" si="0"/>
        <v>630</v>
      </c>
      <c r="J11" s="280">
        <f t="shared" si="1"/>
        <v>77261</v>
      </c>
      <c r="K11" s="280">
        <v>9</v>
      </c>
      <c r="L11" s="281">
        <f>1056+1126</f>
        <v>2182</v>
      </c>
      <c r="M11" s="263" t="s">
        <v>75</v>
      </c>
    </row>
    <row r="12" spans="1:16" x14ac:dyDescent="0.2">
      <c r="A12" s="276" t="s">
        <v>269</v>
      </c>
      <c r="B12" s="277">
        <v>89033</v>
      </c>
      <c r="C12" s="278" t="s">
        <v>259</v>
      </c>
      <c r="D12" s="279">
        <v>115742</v>
      </c>
      <c r="E12" s="280">
        <v>1552</v>
      </c>
      <c r="F12" s="280">
        <f>1552*102.4</f>
        <v>158924.80000000002</v>
      </c>
      <c r="G12" s="280">
        <v>1552</v>
      </c>
      <c r="H12" s="280">
        <v>158925</v>
      </c>
      <c r="I12" s="280">
        <f t="shared" si="0"/>
        <v>1629</v>
      </c>
      <c r="J12" s="280">
        <f t="shared" si="1"/>
        <v>168986</v>
      </c>
      <c r="K12" s="280">
        <v>77</v>
      </c>
      <c r="L12" s="281">
        <f>7677+2384</f>
        <v>10061</v>
      </c>
      <c r="M12" s="263" t="s">
        <v>75</v>
      </c>
    </row>
    <row r="13" spans="1:16" x14ac:dyDescent="0.2">
      <c r="A13" s="276" t="s">
        <v>268</v>
      </c>
      <c r="B13" s="277">
        <v>74872</v>
      </c>
      <c r="C13" s="278" t="s">
        <v>259</v>
      </c>
      <c r="D13" s="279">
        <v>97333</v>
      </c>
      <c r="E13" s="280">
        <v>2402</v>
      </c>
      <c r="F13" s="280">
        <f>2402*86.1</f>
        <v>206812.19999999998</v>
      </c>
      <c r="G13" s="280">
        <v>2402</v>
      </c>
      <c r="H13" s="280">
        <v>206812</v>
      </c>
      <c r="I13" s="280">
        <f t="shared" si="0"/>
        <v>2580</v>
      </c>
      <c r="J13" s="280">
        <f t="shared" si="1"/>
        <v>223603</v>
      </c>
      <c r="K13" s="280">
        <v>178</v>
      </c>
      <c r="L13" s="281">
        <f>13689+3102</f>
        <v>16791</v>
      </c>
      <c r="M13" s="263" t="s">
        <v>75</v>
      </c>
    </row>
    <row r="14" spans="1:16" x14ac:dyDescent="0.2">
      <c r="A14" s="276" t="s">
        <v>267</v>
      </c>
      <c r="B14" s="277">
        <v>62467</v>
      </c>
      <c r="C14" s="278" t="s">
        <v>259</v>
      </c>
      <c r="D14" s="279">
        <v>81204</v>
      </c>
      <c r="E14" s="280">
        <v>6137</v>
      </c>
      <c r="F14" s="280">
        <f>6137*71.8</f>
        <v>440636.6</v>
      </c>
      <c r="G14" s="280">
        <v>6137</v>
      </c>
      <c r="H14" s="280">
        <v>440637</v>
      </c>
      <c r="I14" s="280">
        <f t="shared" si="0"/>
        <v>6380</v>
      </c>
      <c r="J14" s="280">
        <f t="shared" si="1"/>
        <v>464673</v>
      </c>
      <c r="K14" s="280">
        <v>243</v>
      </c>
      <c r="L14" s="281">
        <f>17426+6610</f>
        <v>24036</v>
      </c>
      <c r="M14" s="263" t="s">
        <v>75</v>
      </c>
    </row>
    <row r="15" spans="1:16" x14ac:dyDescent="0.2">
      <c r="A15" s="276" t="s">
        <v>266</v>
      </c>
      <c r="B15" s="277">
        <v>58752</v>
      </c>
      <c r="C15" s="278" t="s">
        <v>259</v>
      </c>
      <c r="D15" s="279">
        <v>75813</v>
      </c>
      <c r="E15" s="280">
        <v>847</v>
      </c>
      <c r="F15" s="280">
        <f>847*67.2</f>
        <v>56918.400000000001</v>
      </c>
      <c r="G15" s="280">
        <v>847</v>
      </c>
      <c r="H15" s="280">
        <v>56918</v>
      </c>
      <c r="I15" s="280">
        <f t="shared" si="0"/>
        <v>862</v>
      </c>
      <c r="J15" s="280">
        <f t="shared" si="1"/>
        <v>58769</v>
      </c>
      <c r="K15" s="280">
        <v>15</v>
      </c>
      <c r="L15" s="281">
        <f>997+854</f>
        <v>1851</v>
      </c>
      <c r="M15" s="263" t="s">
        <v>75</v>
      </c>
    </row>
    <row r="16" spans="1:16" x14ac:dyDescent="0.2">
      <c r="A16" s="276" t="s">
        <v>265</v>
      </c>
      <c r="B16" s="277">
        <v>53350</v>
      </c>
      <c r="C16" s="278" t="s">
        <v>259</v>
      </c>
      <c r="D16" s="279">
        <v>68834</v>
      </c>
      <c r="E16" s="280">
        <f>4085-30</f>
        <v>4055</v>
      </c>
      <c r="F16" s="280">
        <f>4055*61.1</f>
        <v>247760.5</v>
      </c>
      <c r="G16" s="280">
        <v>4055</v>
      </c>
      <c r="H16" s="280">
        <v>247761</v>
      </c>
      <c r="I16" s="280">
        <f t="shared" si="0"/>
        <v>4264</v>
      </c>
      <c r="J16" s="280">
        <f t="shared" si="1"/>
        <v>264006</v>
      </c>
      <c r="K16" s="280">
        <v>209</v>
      </c>
      <c r="L16" s="281">
        <f>12529+3716</f>
        <v>16245</v>
      </c>
      <c r="M16" s="263" t="s">
        <v>75</v>
      </c>
    </row>
    <row r="17" spans="1:13" x14ac:dyDescent="0.2">
      <c r="A17" s="276" t="s">
        <v>264</v>
      </c>
      <c r="B17" s="277">
        <v>49861</v>
      </c>
      <c r="C17" s="278" t="s">
        <v>259</v>
      </c>
      <c r="D17" s="279">
        <v>63880</v>
      </c>
      <c r="E17" s="280">
        <f>7469-20</f>
        <v>7449</v>
      </c>
      <c r="F17" s="280">
        <f>7449*56.8</f>
        <v>423103.19999999995</v>
      </c>
      <c r="G17" s="280">
        <v>7449</v>
      </c>
      <c r="H17" s="280">
        <v>423103</v>
      </c>
      <c r="I17" s="280">
        <f t="shared" si="0"/>
        <v>8067</v>
      </c>
      <c r="J17" s="280">
        <f t="shared" si="1"/>
        <v>464391</v>
      </c>
      <c r="K17" s="280">
        <v>618</v>
      </c>
      <c r="L17" s="281">
        <f>34941+6347</f>
        <v>41288</v>
      </c>
      <c r="M17" s="263" t="s">
        <v>75</v>
      </c>
    </row>
    <row r="18" spans="1:13" x14ac:dyDescent="0.2">
      <c r="A18" s="276" t="s">
        <v>263</v>
      </c>
      <c r="B18" s="277">
        <v>47838</v>
      </c>
      <c r="C18" s="278" t="s">
        <v>259</v>
      </c>
      <c r="D18" s="279">
        <v>60505</v>
      </c>
      <c r="E18" s="280">
        <v>11707</v>
      </c>
      <c r="F18" s="280">
        <f>11707*54.2</f>
        <v>634519.4</v>
      </c>
      <c r="G18" s="280">
        <v>11707</v>
      </c>
      <c r="H18" s="280">
        <v>634519</v>
      </c>
      <c r="I18" s="280">
        <f t="shared" si="0"/>
        <v>12173</v>
      </c>
      <c r="J18" s="280">
        <f t="shared" si="1"/>
        <v>668756</v>
      </c>
      <c r="K18" s="280">
        <v>466</v>
      </c>
      <c r="L18" s="281">
        <f>24719+9518</f>
        <v>34237</v>
      </c>
      <c r="M18" s="263" t="s">
        <v>75</v>
      </c>
    </row>
    <row r="19" spans="1:13" x14ac:dyDescent="0.2">
      <c r="A19" s="276" t="s">
        <v>262</v>
      </c>
      <c r="B19" s="277">
        <v>44312</v>
      </c>
      <c r="C19" s="278" t="s">
        <v>259</v>
      </c>
      <c r="D19" s="279">
        <v>55704</v>
      </c>
      <c r="E19" s="280">
        <v>1185</v>
      </c>
      <c r="F19" s="280">
        <f>1185*50</f>
        <v>59250</v>
      </c>
      <c r="G19" s="280">
        <v>1185</v>
      </c>
      <c r="H19" s="280">
        <v>59250</v>
      </c>
      <c r="I19" s="280">
        <f t="shared" si="0"/>
        <v>1251</v>
      </c>
      <c r="J19" s="280">
        <f t="shared" si="1"/>
        <v>63351</v>
      </c>
      <c r="K19" s="280">
        <v>66</v>
      </c>
      <c r="L19" s="281">
        <f>3212+889</f>
        <v>4101</v>
      </c>
      <c r="M19" s="263" t="s">
        <v>75</v>
      </c>
    </row>
    <row r="20" spans="1:13" x14ac:dyDescent="0.2">
      <c r="A20" s="276" t="s">
        <v>261</v>
      </c>
      <c r="B20" s="277">
        <v>42022</v>
      </c>
      <c r="C20" s="278" t="s">
        <v>259</v>
      </c>
      <c r="D20" s="279">
        <v>52241</v>
      </c>
      <c r="E20" s="280">
        <v>172</v>
      </c>
      <c r="F20" s="280">
        <f>172*47.1</f>
        <v>8101.2</v>
      </c>
      <c r="G20" s="280">
        <v>172</v>
      </c>
      <c r="H20" s="280">
        <v>8101</v>
      </c>
      <c r="I20" s="280">
        <f t="shared" si="0"/>
        <v>176</v>
      </c>
      <c r="J20" s="280">
        <f t="shared" si="1"/>
        <v>8406</v>
      </c>
      <c r="K20" s="280">
        <v>4</v>
      </c>
      <c r="L20" s="281">
        <f>183+122</f>
        <v>305</v>
      </c>
      <c r="M20" s="263" t="s">
        <v>75</v>
      </c>
    </row>
    <row r="21" spans="1:13" x14ac:dyDescent="0.2">
      <c r="A21" s="276" t="s">
        <v>260</v>
      </c>
      <c r="B21" s="277">
        <v>36546</v>
      </c>
      <c r="C21" s="278" t="s">
        <v>259</v>
      </c>
      <c r="D21" s="279">
        <v>45679</v>
      </c>
      <c r="E21" s="280">
        <v>79</v>
      </c>
      <c r="F21" s="280">
        <f>79*41.1</f>
        <v>3246.9</v>
      </c>
      <c r="G21" s="280">
        <v>79</v>
      </c>
      <c r="H21" s="280">
        <v>3247</v>
      </c>
      <c r="I21" s="280">
        <f t="shared" si="0"/>
        <v>79</v>
      </c>
      <c r="J21" s="280">
        <f t="shared" si="1"/>
        <v>3296</v>
      </c>
      <c r="K21" s="280">
        <v>0</v>
      </c>
      <c r="L21" s="281">
        <v>49</v>
      </c>
      <c r="M21" s="263" t="s">
        <v>75</v>
      </c>
    </row>
    <row r="22" spans="1:13" x14ac:dyDescent="0.2">
      <c r="A22" s="288" t="s">
        <v>273</v>
      </c>
      <c r="B22" s="289" t="s">
        <v>48</v>
      </c>
      <c r="C22" s="290" t="s">
        <v>259</v>
      </c>
      <c r="D22" s="291" t="s">
        <v>48</v>
      </c>
      <c r="E22" s="292">
        <v>4257</v>
      </c>
      <c r="F22" s="292">
        <f>4257*72</f>
        <v>306504</v>
      </c>
      <c r="G22" s="292">
        <v>4257</v>
      </c>
      <c r="H22" s="292">
        <v>306504</v>
      </c>
      <c r="I22" s="292">
        <f t="shared" si="0"/>
        <v>4448</v>
      </c>
      <c r="J22" s="292">
        <f t="shared" si="1"/>
        <v>325934</v>
      </c>
      <c r="K22" s="292">
        <v>191</v>
      </c>
      <c r="L22" s="293">
        <f>14832+4598</f>
        <v>19430</v>
      </c>
      <c r="M22" s="263" t="s">
        <v>75</v>
      </c>
    </row>
    <row r="23" spans="1:13" x14ac:dyDescent="0.2">
      <c r="A23" s="655" t="s">
        <v>258</v>
      </c>
      <c r="B23" s="656"/>
      <c r="C23" s="656"/>
      <c r="D23" s="657"/>
      <c r="E23" s="268">
        <f t="shared" ref="E23:L23" si="2">SUM(E9:E22)</f>
        <v>41035</v>
      </c>
      <c r="F23" s="268">
        <f t="shared" si="2"/>
        <v>2701617.7</v>
      </c>
      <c r="G23" s="268">
        <f t="shared" si="2"/>
        <v>41035</v>
      </c>
      <c r="H23" s="268">
        <f t="shared" si="2"/>
        <v>2701618</v>
      </c>
      <c r="I23" s="268">
        <f t="shared" si="2"/>
        <v>43122</v>
      </c>
      <c r="J23" s="268">
        <f t="shared" si="2"/>
        <v>2874996</v>
      </c>
      <c r="K23" s="268">
        <f t="shared" si="2"/>
        <v>2087</v>
      </c>
      <c r="L23" s="269">
        <f t="shared" si="2"/>
        <v>173378</v>
      </c>
      <c r="M23" s="263" t="s">
        <v>75</v>
      </c>
    </row>
    <row r="24" spans="1:13" x14ac:dyDescent="0.2">
      <c r="A24" s="658" t="s">
        <v>55</v>
      </c>
      <c r="B24" s="659"/>
      <c r="C24" s="659"/>
      <c r="D24" s="659"/>
      <c r="E24" s="274"/>
      <c r="F24" s="286">
        <v>149602</v>
      </c>
      <c r="G24" s="274"/>
      <c r="H24" s="286">
        <v>149602</v>
      </c>
      <c r="I24" s="274"/>
      <c r="J24" s="286">
        <v>151846</v>
      </c>
      <c r="K24" s="274"/>
      <c r="L24" s="287"/>
      <c r="M24" s="263" t="s">
        <v>75</v>
      </c>
    </row>
    <row r="25" spans="1:13" x14ac:dyDescent="0.2">
      <c r="A25" s="660" t="s">
        <v>56</v>
      </c>
      <c r="B25" s="661"/>
      <c r="C25" s="661"/>
      <c r="D25" s="661"/>
      <c r="E25" s="280"/>
      <c r="F25" s="282">
        <v>64868</v>
      </c>
      <c r="G25" s="280"/>
      <c r="H25" s="282">
        <v>64868</v>
      </c>
      <c r="I25" s="280"/>
      <c r="J25" s="282">
        <v>65841</v>
      </c>
      <c r="K25" s="280"/>
      <c r="L25" s="283"/>
      <c r="M25" s="263" t="s">
        <v>75</v>
      </c>
    </row>
    <row r="26" spans="1:13" ht="12.75" thickBot="1" x14ac:dyDescent="0.25">
      <c r="A26" s="647" t="s">
        <v>57</v>
      </c>
      <c r="B26" s="648"/>
      <c r="C26" s="648"/>
      <c r="D26" s="648"/>
      <c r="E26" s="284"/>
      <c r="F26" s="476">
        <v>8.9</v>
      </c>
      <c r="G26" s="284"/>
      <c r="H26" s="476">
        <v>8.9</v>
      </c>
      <c r="I26" s="284"/>
      <c r="J26" s="476">
        <v>8.9</v>
      </c>
      <c r="K26" s="284"/>
      <c r="L26" s="285"/>
      <c r="M26" s="263" t="s">
        <v>75</v>
      </c>
    </row>
    <row r="27" spans="1:13" x14ac:dyDescent="0.2">
      <c r="M27" s="263" t="s">
        <v>76</v>
      </c>
    </row>
    <row r="28" spans="1:13" x14ac:dyDescent="0.2">
      <c r="M28" s="263"/>
    </row>
    <row r="29" spans="1:13" x14ac:dyDescent="0.2">
      <c r="M29" s="263"/>
    </row>
    <row r="30" spans="1:13" x14ac:dyDescent="0.2">
      <c r="M30" s="263"/>
    </row>
  </sheetData>
  <mergeCells count="15">
    <mergeCell ref="A26:D26"/>
    <mergeCell ref="A7:D8"/>
    <mergeCell ref="A23:D23"/>
    <mergeCell ref="A24:D24"/>
    <mergeCell ref="A25:D25"/>
    <mergeCell ref="E7:F7"/>
    <mergeCell ref="G7:H7"/>
    <mergeCell ref="I7:J7"/>
    <mergeCell ref="K7:L7"/>
    <mergeCell ref="A1:L1"/>
    <mergeCell ref="A2:L2"/>
    <mergeCell ref="A3:L3"/>
    <mergeCell ref="A4:L4"/>
    <mergeCell ref="A5:L5"/>
    <mergeCell ref="A6:L6"/>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60"/>
  <sheetViews>
    <sheetView view="pageBreakPreview" topLeftCell="A35" zoomScale="75" zoomScaleNormal="100" zoomScaleSheetLayoutView="75" workbookViewId="0">
      <selection activeCell="A39" sqref="A39"/>
    </sheetView>
  </sheetViews>
  <sheetFormatPr defaultRowHeight="15.75" x14ac:dyDescent="0.25"/>
  <cols>
    <col min="1" max="1" width="34.88671875" style="1" customWidth="1"/>
    <col min="2" max="2" width="7.6640625" style="1" customWidth="1"/>
    <col min="3" max="3" width="13.88671875" style="1" customWidth="1"/>
    <col min="4" max="4" width="9" style="1" customWidth="1"/>
    <col min="5" max="5" width="13.44140625" style="1" customWidth="1"/>
    <col min="6" max="6" width="7.33203125" style="1" customWidth="1"/>
    <col min="7" max="7" width="13.77734375" style="1" customWidth="1"/>
    <col min="8" max="8" width="8.21875" style="1" customWidth="1"/>
    <col min="9" max="9" width="10" style="1" customWidth="1"/>
    <col min="10" max="10" width="1.5546875" style="1" customWidth="1"/>
    <col min="11" max="16384" width="8.88671875" style="1"/>
  </cols>
  <sheetData>
    <row r="1" spans="1:11" ht="18" x14ac:dyDescent="0.25">
      <c r="A1" s="670" t="s">
        <v>58</v>
      </c>
      <c r="B1" s="670"/>
      <c r="C1" s="670"/>
      <c r="D1" s="670"/>
      <c r="E1" s="670"/>
      <c r="F1" s="670"/>
      <c r="G1" s="670"/>
      <c r="H1" s="670"/>
      <c r="I1" s="670"/>
      <c r="J1" s="31" t="s">
        <v>75</v>
      </c>
      <c r="K1" s="30"/>
    </row>
    <row r="2" spans="1:11" x14ac:dyDescent="0.25">
      <c r="A2" s="671" t="s">
        <v>17</v>
      </c>
      <c r="B2" s="671"/>
      <c r="C2" s="671"/>
      <c r="D2" s="671"/>
      <c r="E2" s="671"/>
      <c r="F2" s="671"/>
      <c r="G2" s="671"/>
      <c r="H2" s="671"/>
      <c r="I2" s="671"/>
      <c r="J2" s="31" t="s">
        <v>75</v>
      </c>
      <c r="K2" s="30"/>
    </row>
    <row r="3" spans="1:11" x14ac:dyDescent="0.25">
      <c r="A3" s="672" t="s">
        <v>18</v>
      </c>
      <c r="B3" s="672"/>
      <c r="C3" s="672"/>
      <c r="D3" s="672"/>
      <c r="E3" s="672"/>
      <c r="F3" s="672"/>
      <c r="G3" s="672"/>
      <c r="H3" s="672"/>
      <c r="I3" s="672"/>
      <c r="J3" s="31" t="s">
        <v>75</v>
      </c>
      <c r="K3" s="30"/>
    </row>
    <row r="4" spans="1:11" x14ac:dyDescent="0.25">
      <c r="A4" s="672" t="s">
        <v>22</v>
      </c>
      <c r="B4" s="672"/>
      <c r="C4" s="672"/>
      <c r="D4" s="672"/>
      <c r="E4" s="672"/>
      <c r="F4" s="672"/>
      <c r="G4" s="672"/>
      <c r="H4" s="672"/>
      <c r="I4" s="672"/>
      <c r="J4" s="31" t="s">
        <v>75</v>
      </c>
      <c r="K4" s="30"/>
    </row>
    <row r="5" spans="1:11" ht="9.75" customHeight="1" x14ac:dyDescent="0.25">
      <c r="A5" s="2"/>
      <c r="B5" s="10"/>
      <c r="C5" s="10"/>
      <c r="D5" s="10"/>
      <c r="E5" s="10"/>
      <c r="F5" s="10"/>
      <c r="G5" s="10"/>
      <c r="H5" s="10"/>
      <c r="I5" s="10"/>
      <c r="J5" s="31" t="s">
        <v>75</v>
      </c>
      <c r="K5" s="30"/>
    </row>
    <row r="6" spans="1:11" ht="7.5" customHeight="1" x14ac:dyDescent="0.25">
      <c r="A6" s="16"/>
      <c r="B6" s="662" t="s">
        <v>242</v>
      </c>
      <c r="C6" s="663"/>
      <c r="D6" s="666" t="s">
        <v>285</v>
      </c>
      <c r="E6" s="667"/>
      <c r="F6" s="662" t="s">
        <v>112</v>
      </c>
      <c r="G6" s="663"/>
      <c r="H6" s="662" t="s">
        <v>98</v>
      </c>
      <c r="I6" s="663"/>
      <c r="J6" s="31" t="s">
        <v>75</v>
      </c>
      <c r="K6" s="30"/>
    </row>
    <row r="7" spans="1:11" x14ac:dyDescent="0.25">
      <c r="A7" s="15"/>
      <c r="B7" s="664"/>
      <c r="C7" s="665"/>
      <c r="D7" s="668"/>
      <c r="E7" s="669"/>
      <c r="F7" s="664"/>
      <c r="G7" s="665"/>
      <c r="H7" s="664"/>
      <c r="I7" s="665"/>
      <c r="J7" s="31" t="s">
        <v>75</v>
      </c>
      <c r="K7" s="30"/>
    </row>
    <row r="8" spans="1:11" x14ac:dyDescent="0.25">
      <c r="A8" s="75"/>
      <c r="B8" s="301" t="s">
        <v>246</v>
      </c>
      <c r="C8" s="296"/>
      <c r="D8" s="310" t="s">
        <v>246</v>
      </c>
      <c r="E8" s="299"/>
      <c r="F8" s="295" t="s">
        <v>246</v>
      </c>
      <c r="G8" s="294"/>
      <c r="H8" s="301" t="s">
        <v>246</v>
      </c>
      <c r="I8" s="300"/>
      <c r="J8" s="31" t="s">
        <v>75</v>
      </c>
      <c r="K8" s="30"/>
    </row>
    <row r="9" spans="1:11" x14ac:dyDescent="0.25">
      <c r="A9" s="19" t="s">
        <v>16</v>
      </c>
      <c r="B9" s="302" t="s">
        <v>10</v>
      </c>
      <c r="C9" s="298" t="s">
        <v>11</v>
      </c>
      <c r="D9" s="302" t="s">
        <v>10</v>
      </c>
      <c r="E9" s="298" t="s">
        <v>11</v>
      </c>
      <c r="F9" s="302" t="s">
        <v>10</v>
      </c>
      <c r="G9" s="298" t="s">
        <v>11</v>
      </c>
      <c r="H9" s="302" t="s">
        <v>10</v>
      </c>
      <c r="I9" s="298" t="s">
        <v>11</v>
      </c>
      <c r="J9" s="31" t="s">
        <v>75</v>
      </c>
      <c r="K9" s="30"/>
    </row>
    <row r="10" spans="1:11" x14ac:dyDescent="0.25">
      <c r="A10" s="15" t="s">
        <v>36</v>
      </c>
      <c r="B10" s="303">
        <v>35126</v>
      </c>
      <c r="C10" s="54">
        <f>2317445-66814</f>
        <v>2250631</v>
      </c>
      <c r="D10" s="303">
        <v>35805</v>
      </c>
      <c r="E10" s="54">
        <f>2295108+31727</f>
        <v>2326835</v>
      </c>
      <c r="F10" s="303">
        <v>36690</v>
      </c>
      <c r="G10" s="55">
        <f>2470148-G38</f>
        <v>2400148</v>
      </c>
      <c r="H10" s="303">
        <f t="shared" ref="H10:I13" si="0">+F10-D10</f>
        <v>885</v>
      </c>
      <c r="I10" s="55">
        <f t="shared" si="0"/>
        <v>73313</v>
      </c>
      <c r="J10" s="31" t="s">
        <v>75</v>
      </c>
      <c r="K10" s="30"/>
    </row>
    <row r="11" spans="1:11" x14ac:dyDescent="0.25">
      <c r="A11" s="15" t="s">
        <v>37</v>
      </c>
      <c r="B11" s="304">
        <v>181</v>
      </c>
      <c r="C11" s="56">
        <v>5626</v>
      </c>
      <c r="D11" s="304">
        <v>183</v>
      </c>
      <c r="E11" s="56">
        <v>5660</v>
      </c>
      <c r="F11" s="304">
        <v>183</v>
      </c>
      <c r="G11" s="57">
        <v>5626</v>
      </c>
      <c r="H11" s="304">
        <f t="shared" si="0"/>
        <v>0</v>
      </c>
      <c r="I11" s="57">
        <f t="shared" si="0"/>
        <v>-34</v>
      </c>
      <c r="J11" s="31" t="s">
        <v>75</v>
      </c>
      <c r="K11" s="30"/>
    </row>
    <row r="12" spans="1:11" x14ac:dyDescent="0.25">
      <c r="A12" s="15" t="s">
        <v>35</v>
      </c>
      <c r="B12" s="305">
        <v>0</v>
      </c>
      <c r="C12" s="58">
        <v>216419</v>
      </c>
      <c r="D12" s="305">
        <v>0</v>
      </c>
      <c r="E12" s="59">
        <v>220400</v>
      </c>
      <c r="F12" s="305">
        <v>0</v>
      </c>
      <c r="G12" s="57">
        <v>222756</v>
      </c>
      <c r="H12" s="304">
        <f t="shared" si="0"/>
        <v>0</v>
      </c>
      <c r="I12" s="57">
        <f t="shared" si="0"/>
        <v>2356</v>
      </c>
      <c r="J12" s="31" t="s">
        <v>75</v>
      </c>
      <c r="K12" s="30"/>
    </row>
    <row r="13" spans="1:11" hidden="1" x14ac:dyDescent="0.25">
      <c r="A13" s="18" t="s">
        <v>38</v>
      </c>
      <c r="B13" s="306">
        <v>0</v>
      </c>
      <c r="C13" s="53">
        <v>0</v>
      </c>
      <c r="D13" s="306">
        <v>0</v>
      </c>
      <c r="E13" s="53">
        <v>0</v>
      </c>
      <c r="F13" s="306">
        <v>0</v>
      </c>
      <c r="G13" s="60">
        <v>0</v>
      </c>
      <c r="H13" s="308">
        <f t="shared" si="0"/>
        <v>0</v>
      </c>
      <c r="I13" s="60">
        <f t="shared" si="0"/>
        <v>0</v>
      </c>
      <c r="J13" s="31" t="s">
        <v>75</v>
      </c>
      <c r="K13" s="30"/>
    </row>
    <row r="14" spans="1:11" x14ac:dyDescent="0.25">
      <c r="A14" s="26" t="s">
        <v>39</v>
      </c>
      <c r="B14" s="307">
        <f t="shared" ref="B14:I14" si="1">SUM(B10:B13)</f>
        <v>35307</v>
      </c>
      <c r="C14" s="61">
        <f t="shared" si="1"/>
        <v>2472676</v>
      </c>
      <c r="D14" s="307">
        <f t="shared" si="1"/>
        <v>35988</v>
      </c>
      <c r="E14" s="62">
        <f t="shared" si="1"/>
        <v>2552895</v>
      </c>
      <c r="F14" s="307">
        <f t="shared" si="1"/>
        <v>36873</v>
      </c>
      <c r="G14" s="61">
        <f t="shared" si="1"/>
        <v>2628530</v>
      </c>
      <c r="H14" s="307">
        <f t="shared" si="1"/>
        <v>885</v>
      </c>
      <c r="I14" s="61">
        <f t="shared" si="1"/>
        <v>75635</v>
      </c>
      <c r="J14" s="31" t="s">
        <v>75</v>
      </c>
      <c r="K14" s="30"/>
    </row>
    <row r="15" spans="1:11" x14ac:dyDescent="0.25">
      <c r="A15" s="15" t="s">
        <v>59</v>
      </c>
      <c r="B15" s="304" t="s">
        <v>48</v>
      </c>
      <c r="C15" s="56" t="s">
        <v>48</v>
      </c>
      <c r="D15" s="304"/>
      <c r="E15" s="56" t="s">
        <v>48</v>
      </c>
      <c r="F15" s="304"/>
      <c r="G15" s="57" t="s">
        <v>48</v>
      </c>
      <c r="H15" s="304"/>
      <c r="I15" s="57"/>
      <c r="J15" s="31" t="s">
        <v>75</v>
      </c>
      <c r="K15" s="30"/>
    </row>
    <row r="16" spans="1:11" x14ac:dyDescent="0.25">
      <c r="A16" s="15" t="s">
        <v>60</v>
      </c>
      <c r="B16" s="304"/>
      <c r="C16" s="56">
        <f>1261254-28907</f>
        <v>1232347</v>
      </c>
      <c r="D16" s="304" t="s">
        <v>48</v>
      </c>
      <c r="E16" s="57">
        <v>1258350</v>
      </c>
      <c r="F16" s="304" t="s">
        <v>48</v>
      </c>
      <c r="G16" s="86">
        <f>1348878-G41</f>
        <v>1317878</v>
      </c>
      <c r="H16" s="304"/>
      <c r="I16" s="57">
        <f>+G16-E16</f>
        <v>59528</v>
      </c>
      <c r="J16" s="31" t="s">
        <v>75</v>
      </c>
      <c r="K16" s="30"/>
    </row>
    <row r="17" spans="1:11" x14ac:dyDescent="0.25">
      <c r="A17" s="15" t="s">
        <v>61</v>
      </c>
      <c r="B17" s="304"/>
      <c r="C17" s="56">
        <v>2112</v>
      </c>
      <c r="D17" s="304"/>
      <c r="E17" s="57">
        <v>2125</v>
      </c>
      <c r="F17" s="304"/>
      <c r="G17" s="87">
        <v>2112</v>
      </c>
      <c r="H17" s="304"/>
      <c r="I17" s="57">
        <f t="shared" ref="I17:I28" si="2">+G17-E17</f>
        <v>-13</v>
      </c>
      <c r="J17" s="31" t="s">
        <v>75</v>
      </c>
      <c r="K17" s="30"/>
    </row>
    <row r="18" spans="1:11" x14ac:dyDescent="0.25">
      <c r="A18" s="15" t="s">
        <v>62</v>
      </c>
      <c r="B18" s="304"/>
      <c r="C18" s="56">
        <v>34194</v>
      </c>
      <c r="D18" s="304" t="s">
        <v>48</v>
      </c>
      <c r="E18" s="57">
        <v>34600</v>
      </c>
      <c r="F18" s="304" t="s">
        <v>48</v>
      </c>
      <c r="G18" s="87">
        <v>34859</v>
      </c>
      <c r="H18" s="304"/>
      <c r="I18" s="57">
        <f t="shared" si="2"/>
        <v>259</v>
      </c>
      <c r="J18" s="31" t="s">
        <v>75</v>
      </c>
      <c r="K18" s="30"/>
    </row>
    <row r="19" spans="1:11" x14ac:dyDescent="0.25">
      <c r="A19" s="15" t="s">
        <v>63</v>
      </c>
      <c r="B19" s="304"/>
      <c r="C19" s="56">
        <v>9356</v>
      </c>
      <c r="D19" s="304" t="s">
        <v>48</v>
      </c>
      <c r="E19" s="57">
        <v>9150</v>
      </c>
      <c r="F19" s="304" t="s">
        <v>48</v>
      </c>
      <c r="G19" s="87">
        <v>9864</v>
      </c>
      <c r="H19" s="304"/>
      <c r="I19" s="57">
        <f t="shared" si="2"/>
        <v>714</v>
      </c>
      <c r="J19" s="31" t="s">
        <v>75</v>
      </c>
      <c r="K19" s="30"/>
    </row>
    <row r="20" spans="1:11" x14ac:dyDescent="0.25">
      <c r="A20" s="15" t="s">
        <v>64</v>
      </c>
      <c r="B20" s="304"/>
      <c r="C20" s="56">
        <v>23462</v>
      </c>
      <c r="D20" s="304"/>
      <c r="E20" s="57">
        <v>23462</v>
      </c>
      <c r="F20" s="304"/>
      <c r="G20" s="87">
        <v>24925</v>
      </c>
      <c r="H20" s="304"/>
      <c r="I20" s="57">
        <f t="shared" si="2"/>
        <v>1463</v>
      </c>
      <c r="J20" s="31" t="s">
        <v>75</v>
      </c>
      <c r="K20" s="30"/>
    </row>
    <row r="21" spans="1:11" x14ac:dyDescent="0.25">
      <c r="A21" s="75" t="s">
        <v>111</v>
      </c>
      <c r="B21" s="304"/>
      <c r="C21" s="56">
        <v>2268</v>
      </c>
      <c r="D21" s="304"/>
      <c r="E21" s="57">
        <v>2282</v>
      </c>
      <c r="F21" s="304" t="s">
        <v>48</v>
      </c>
      <c r="G21" s="87">
        <v>2268</v>
      </c>
      <c r="H21" s="304"/>
      <c r="I21" s="57">
        <f t="shared" si="2"/>
        <v>-14</v>
      </c>
      <c r="J21" s="31" t="s">
        <v>75</v>
      </c>
      <c r="K21" s="30"/>
    </row>
    <row r="22" spans="1:11" x14ac:dyDescent="0.25">
      <c r="A22" s="15" t="s">
        <v>67</v>
      </c>
      <c r="B22" s="304"/>
      <c r="C22" s="56">
        <f>280398+26020</f>
        <v>306418</v>
      </c>
      <c r="D22" s="304"/>
      <c r="E22" s="57">
        <v>313200</v>
      </c>
      <c r="F22" s="304"/>
      <c r="G22" s="87">
        <v>337695</v>
      </c>
      <c r="H22" s="304"/>
      <c r="I22" s="57">
        <f t="shared" si="2"/>
        <v>24495</v>
      </c>
      <c r="J22" s="31" t="s">
        <v>75</v>
      </c>
      <c r="K22" s="30"/>
    </row>
    <row r="23" spans="1:11" x14ac:dyDescent="0.25">
      <c r="A23" s="15" t="s">
        <v>65</v>
      </c>
      <c r="B23" s="304"/>
      <c r="C23" s="56">
        <v>1242</v>
      </c>
      <c r="D23" s="304"/>
      <c r="E23" s="57">
        <v>1250</v>
      </c>
      <c r="F23" s="304"/>
      <c r="G23" s="87">
        <v>1274</v>
      </c>
      <c r="H23" s="304"/>
      <c r="I23" s="57">
        <f t="shared" si="2"/>
        <v>24</v>
      </c>
      <c r="J23" s="31" t="s">
        <v>75</v>
      </c>
      <c r="K23" s="30"/>
    </row>
    <row r="24" spans="1:11" x14ac:dyDescent="0.25">
      <c r="A24" s="15" t="s">
        <v>66</v>
      </c>
      <c r="B24" s="304" t="s">
        <v>48</v>
      </c>
      <c r="C24" s="56">
        <v>1574966</v>
      </c>
      <c r="D24" s="304" t="s">
        <v>48</v>
      </c>
      <c r="E24" s="57">
        <f>1607100-576</f>
        <v>1606524</v>
      </c>
      <c r="F24" s="304" t="s">
        <v>48</v>
      </c>
      <c r="G24" s="87">
        <v>1676260</v>
      </c>
      <c r="H24" s="304" t="s">
        <v>48</v>
      </c>
      <c r="I24" s="57">
        <f t="shared" si="2"/>
        <v>69736</v>
      </c>
      <c r="J24" s="31" t="s">
        <v>75</v>
      </c>
      <c r="K24" s="30"/>
    </row>
    <row r="25" spans="1:11" x14ac:dyDescent="0.25">
      <c r="A25" s="15" t="s">
        <v>68</v>
      </c>
      <c r="B25" s="304" t="s">
        <v>48</v>
      </c>
      <c r="C25" s="56">
        <v>592700</v>
      </c>
      <c r="D25" s="304"/>
      <c r="E25" s="57">
        <f>605300-700</f>
        <v>604600</v>
      </c>
      <c r="F25" s="304"/>
      <c r="G25" s="87">
        <v>618552</v>
      </c>
      <c r="H25" s="304" t="s">
        <v>48</v>
      </c>
      <c r="I25" s="57">
        <f t="shared" si="2"/>
        <v>13952</v>
      </c>
      <c r="J25" s="31" t="s">
        <v>75</v>
      </c>
      <c r="K25" s="30"/>
    </row>
    <row r="26" spans="1:11" x14ac:dyDescent="0.25">
      <c r="A26" s="15" t="s">
        <v>69</v>
      </c>
      <c r="B26" s="304"/>
      <c r="C26" s="56">
        <v>105827</v>
      </c>
      <c r="D26" s="304"/>
      <c r="E26" s="57">
        <f>101000-400</f>
        <v>100600</v>
      </c>
      <c r="F26" s="304"/>
      <c r="G26" s="87">
        <v>61410</v>
      </c>
      <c r="H26" s="304"/>
      <c r="I26" s="57">
        <f t="shared" si="2"/>
        <v>-39190</v>
      </c>
      <c r="J26" s="31" t="s">
        <v>75</v>
      </c>
      <c r="K26" s="30"/>
    </row>
    <row r="27" spans="1:11" x14ac:dyDescent="0.25">
      <c r="A27" s="15" t="s">
        <v>70</v>
      </c>
      <c r="B27" s="304"/>
      <c r="C27" s="56">
        <f>6768+70</f>
        <v>6838</v>
      </c>
      <c r="D27" s="304"/>
      <c r="E27" s="57">
        <v>7200</v>
      </c>
      <c r="F27" s="304"/>
      <c r="G27" s="87">
        <v>6817</v>
      </c>
      <c r="H27" s="304" t="s">
        <v>48</v>
      </c>
      <c r="I27" s="57">
        <f t="shared" si="2"/>
        <v>-383</v>
      </c>
      <c r="J27" s="31" t="s">
        <v>75</v>
      </c>
      <c r="K27" s="30"/>
    </row>
    <row r="28" spans="1:11" x14ac:dyDescent="0.25">
      <c r="A28" s="19" t="s">
        <v>0</v>
      </c>
      <c r="B28" s="308"/>
      <c r="C28" s="53">
        <f>7706+33</f>
        <v>7739</v>
      </c>
      <c r="D28" s="308"/>
      <c r="E28" s="60">
        <v>7864</v>
      </c>
      <c r="F28" s="308"/>
      <c r="G28" s="87">
        <v>7706</v>
      </c>
      <c r="H28" s="308"/>
      <c r="I28" s="60">
        <f t="shared" si="2"/>
        <v>-158</v>
      </c>
      <c r="J28" s="31" t="s">
        <v>75</v>
      </c>
      <c r="K28" s="30"/>
    </row>
    <row r="29" spans="1:11" x14ac:dyDescent="0.25">
      <c r="A29" s="13" t="s">
        <v>282</v>
      </c>
      <c r="B29" s="309"/>
      <c r="C29" s="63">
        <f>SUM(C14:C28)</f>
        <v>6372145</v>
      </c>
      <c r="D29" s="309"/>
      <c r="E29" s="63">
        <f>SUM(E14:E28)</f>
        <v>6524102</v>
      </c>
      <c r="F29" s="309"/>
      <c r="G29" s="64">
        <f>SUM(G14:G28)</f>
        <v>6730150</v>
      </c>
      <c r="H29" s="309"/>
      <c r="I29" s="64">
        <f>SUM(I14:I28)</f>
        <v>206048</v>
      </c>
      <c r="J29" s="31" t="s">
        <v>75</v>
      </c>
      <c r="K29" s="30"/>
    </row>
    <row r="30" spans="1:11" x14ac:dyDescent="0.25">
      <c r="A30" s="27" t="s">
        <v>2</v>
      </c>
      <c r="B30" s="10"/>
      <c r="C30" s="10"/>
      <c r="D30" s="10"/>
      <c r="E30" s="10"/>
      <c r="F30" s="10"/>
      <c r="G30" s="10"/>
      <c r="H30" s="10"/>
      <c r="I30" s="10"/>
      <c r="J30" s="31" t="s">
        <v>75</v>
      </c>
      <c r="K30" s="30"/>
    </row>
    <row r="31" spans="1:11" ht="31.5" customHeight="1" x14ac:dyDescent="0.25">
      <c r="A31" s="74" t="s">
        <v>48</v>
      </c>
      <c r="B31" s="23"/>
      <c r="C31" s="21"/>
      <c r="D31" s="21"/>
      <c r="E31" s="21"/>
      <c r="F31" s="21"/>
      <c r="G31" s="21"/>
      <c r="H31" s="21"/>
      <c r="I31" s="21"/>
      <c r="J31" s="31" t="s">
        <v>75</v>
      </c>
      <c r="K31" s="30"/>
    </row>
    <row r="32" spans="1:11" ht="10.5" customHeight="1" x14ac:dyDescent="0.25">
      <c r="B32" s="21"/>
      <c r="C32" s="21"/>
      <c r="D32" s="21"/>
      <c r="E32" s="21"/>
      <c r="F32" s="21"/>
      <c r="G32" s="21"/>
      <c r="H32" s="21"/>
      <c r="I32" s="21"/>
      <c r="J32" s="31" t="s">
        <v>75</v>
      </c>
      <c r="K32" s="30"/>
    </row>
    <row r="33" spans="1:11" ht="6.75" customHeight="1" x14ac:dyDescent="0.25">
      <c r="A33" s="33"/>
      <c r="B33" s="662" t="str">
        <f>+B6</f>
        <v>2012 Actual</v>
      </c>
      <c r="C33" s="663"/>
      <c r="D33" s="666" t="str">
        <f>+D6</f>
        <v>2013 Availability*</v>
      </c>
      <c r="E33" s="667"/>
      <c r="F33" s="662" t="str">
        <f>+F6</f>
        <v>2014 Request</v>
      </c>
      <c r="G33" s="663"/>
      <c r="H33" s="662" t="str">
        <f>+H6</f>
        <v>Increase/Decrease</v>
      </c>
      <c r="I33" s="663"/>
      <c r="J33" s="31" t="s">
        <v>75</v>
      </c>
      <c r="K33" s="30"/>
    </row>
    <row r="34" spans="1:11" x14ac:dyDescent="0.25">
      <c r="A34" s="7"/>
      <c r="B34" s="664"/>
      <c r="C34" s="665"/>
      <c r="D34" s="668"/>
      <c r="E34" s="669"/>
      <c r="F34" s="664"/>
      <c r="G34" s="665"/>
      <c r="H34" s="664"/>
      <c r="I34" s="665"/>
      <c r="J34" s="31" t="s">
        <v>75</v>
      </c>
      <c r="K34" s="30"/>
    </row>
    <row r="35" spans="1:11" x14ac:dyDescent="0.25">
      <c r="A35" s="7"/>
      <c r="B35" s="301" t="s">
        <v>246</v>
      </c>
      <c r="C35" s="315"/>
      <c r="D35" s="310" t="s">
        <v>246</v>
      </c>
      <c r="E35" s="299"/>
      <c r="F35" s="301" t="s">
        <v>246</v>
      </c>
      <c r="G35" s="300"/>
      <c r="H35" s="345" t="s">
        <v>246</v>
      </c>
      <c r="I35" s="52"/>
      <c r="J35" s="31" t="s">
        <v>75</v>
      </c>
      <c r="K35" s="30"/>
    </row>
    <row r="36" spans="1:11" x14ac:dyDescent="0.25">
      <c r="A36" s="18" t="s">
        <v>16</v>
      </c>
      <c r="B36" s="302" t="s">
        <v>10</v>
      </c>
      <c r="C36" s="302" t="s">
        <v>11</v>
      </c>
      <c r="D36" s="302" t="s">
        <v>10</v>
      </c>
      <c r="E36" s="302" t="s">
        <v>11</v>
      </c>
      <c r="F36" s="302" t="s">
        <v>10</v>
      </c>
      <c r="G36" s="302" t="s">
        <v>11</v>
      </c>
      <c r="H36" s="302" t="s">
        <v>10</v>
      </c>
      <c r="I36" s="298" t="s">
        <v>11</v>
      </c>
      <c r="J36" s="31" t="s">
        <v>75</v>
      </c>
      <c r="K36" s="30"/>
    </row>
    <row r="37" spans="1:11" x14ac:dyDescent="0.25">
      <c r="A37" s="28" t="s">
        <v>284</v>
      </c>
      <c r="B37" s="311"/>
      <c r="C37" s="17"/>
      <c r="D37" s="311"/>
      <c r="E37" s="17"/>
      <c r="F37" s="311"/>
      <c r="G37" s="17"/>
      <c r="H37" s="311"/>
      <c r="I37" s="17"/>
      <c r="J37" s="31" t="s">
        <v>75</v>
      </c>
      <c r="K37" s="30"/>
    </row>
    <row r="38" spans="1:11" x14ac:dyDescent="0.25">
      <c r="A38" s="7" t="s">
        <v>3</v>
      </c>
      <c r="B38" s="306">
        <v>0</v>
      </c>
      <c r="C38" s="65">
        <v>66814</v>
      </c>
      <c r="D38" s="306">
        <v>0</v>
      </c>
      <c r="E38" s="60">
        <v>69000</v>
      </c>
      <c r="F38" s="306">
        <v>0</v>
      </c>
      <c r="G38" s="60">
        <v>70000</v>
      </c>
      <c r="H38" s="306">
        <v>0</v>
      </c>
      <c r="I38" s="60">
        <f>+G38-E38</f>
        <v>1000</v>
      </c>
      <c r="J38" s="31" t="s">
        <v>75</v>
      </c>
      <c r="K38" s="30"/>
    </row>
    <row r="39" spans="1:11" x14ac:dyDescent="0.25">
      <c r="A39" s="7" t="s">
        <v>4</v>
      </c>
      <c r="B39" s="305">
        <v>0</v>
      </c>
      <c r="C39" s="66">
        <f>+C38</f>
        <v>66814</v>
      </c>
      <c r="D39" s="305">
        <v>0</v>
      </c>
      <c r="E39" s="57">
        <f>+E38</f>
        <v>69000</v>
      </c>
      <c r="F39" s="305">
        <v>0</v>
      </c>
      <c r="G39" s="57">
        <f>+G38</f>
        <v>70000</v>
      </c>
      <c r="H39" s="305">
        <v>0</v>
      </c>
      <c r="I39" s="57">
        <f>+I38</f>
        <v>1000</v>
      </c>
      <c r="J39" s="31" t="s">
        <v>75</v>
      </c>
      <c r="K39" s="30"/>
    </row>
    <row r="40" spans="1:11" x14ac:dyDescent="0.25">
      <c r="A40" s="7" t="s">
        <v>47</v>
      </c>
      <c r="B40" s="304"/>
      <c r="C40" s="66" t="s">
        <v>48</v>
      </c>
      <c r="D40" s="304"/>
      <c r="E40" s="57" t="s">
        <v>48</v>
      </c>
      <c r="F40" s="304"/>
      <c r="G40" s="57" t="s">
        <v>48</v>
      </c>
      <c r="H40" s="304"/>
      <c r="I40" s="57"/>
      <c r="J40" s="31" t="s">
        <v>75</v>
      </c>
      <c r="K40" s="30"/>
    </row>
    <row r="41" spans="1:11" x14ac:dyDescent="0.25">
      <c r="A41" s="7" t="s">
        <v>1</v>
      </c>
      <c r="B41" s="304"/>
      <c r="C41" s="66">
        <v>28907</v>
      </c>
      <c r="D41" s="304"/>
      <c r="E41" s="57">
        <v>30000</v>
      </c>
      <c r="F41" s="304"/>
      <c r="G41" s="57">
        <v>31000</v>
      </c>
      <c r="H41" s="304"/>
      <c r="I41" s="57">
        <f>+G41-E41</f>
        <v>1000</v>
      </c>
      <c r="J41" s="31" t="s">
        <v>75</v>
      </c>
      <c r="K41" s="30"/>
    </row>
    <row r="42" spans="1:11" x14ac:dyDescent="0.25">
      <c r="A42" s="7" t="s">
        <v>62</v>
      </c>
      <c r="B42" s="304"/>
      <c r="C42" s="57">
        <v>93</v>
      </c>
      <c r="D42" s="304"/>
      <c r="E42" s="67">
        <v>0</v>
      </c>
      <c r="F42" s="304"/>
      <c r="G42" s="67">
        <v>0</v>
      </c>
      <c r="H42" s="304"/>
      <c r="I42" s="67">
        <f>+G42-E42</f>
        <v>0</v>
      </c>
      <c r="J42" s="31" t="s">
        <v>75</v>
      </c>
      <c r="K42" s="30"/>
    </row>
    <row r="43" spans="1:11" x14ac:dyDescent="0.25">
      <c r="A43" s="7" t="s">
        <v>63</v>
      </c>
      <c r="B43" s="304"/>
      <c r="C43" s="57">
        <v>326</v>
      </c>
      <c r="D43" s="304"/>
      <c r="E43" s="67">
        <v>0</v>
      </c>
      <c r="F43" s="304"/>
      <c r="G43" s="67">
        <v>0</v>
      </c>
      <c r="H43" s="304"/>
      <c r="I43" s="67">
        <f>+G43-E43</f>
        <v>0</v>
      </c>
      <c r="J43" s="31" t="s">
        <v>75</v>
      </c>
      <c r="K43" s="30"/>
    </row>
    <row r="44" spans="1:11" x14ac:dyDescent="0.25">
      <c r="A44" s="7" t="s">
        <v>66</v>
      </c>
      <c r="B44" s="304"/>
      <c r="C44" s="57">
        <v>139</v>
      </c>
      <c r="D44" s="304"/>
      <c r="E44" s="67">
        <v>0</v>
      </c>
      <c r="F44" s="304"/>
      <c r="G44" s="67">
        <v>0</v>
      </c>
      <c r="H44" s="304"/>
      <c r="I44" s="67">
        <f>+G44-E44</f>
        <v>0</v>
      </c>
      <c r="J44" s="31" t="s">
        <v>75</v>
      </c>
      <c r="K44" s="30"/>
    </row>
    <row r="45" spans="1:11" x14ac:dyDescent="0.25">
      <c r="A45" s="7" t="s">
        <v>68</v>
      </c>
      <c r="B45" s="308"/>
      <c r="C45" s="60">
        <v>0</v>
      </c>
      <c r="D45" s="308"/>
      <c r="E45" s="68">
        <v>0</v>
      </c>
      <c r="F45" s="308"/>
      <c r="G45" s="68">
        <v>0</v>
      </c>
      <c r="H45" s="308"/>
      <c r="I45" s="68">
        <f>+G45-E45</f>
        <v>0</v>
      </c>
      <c r="J45" s="31" t="s">
        <v>75</v>
      </c>
      <c r="K45" s="30"/>
    </row>
    <row r="46" spans="1:11" x14ac:dyDescent="0.25">
      <c r="A46" s="7" t="s">
        <v>79</v>
      </c>
      <c r="B46" s="306">
        <v>0</v>
      </c>
      <c r="C46" s="60">
        <f>SUM(C39:C45)</f>
        <v>96279</v>
      </c>
      <c r="D46" s="306">
        <v>0</v>
      </c>
      <c r="E46" s="60">
        <f>SUM(E39:E45)</f>
        <v>99000</v>
      </c>
      <c r="F46" s="306">
        <v>0</v>
      </c>
      <c r="G46" s="60">
        <f>SUM(G39:G45)</f>
        <v>101000</v>
      </c>
      <c r="H46" s="306">
        <v>0</v>
      </c>
      <c r="I46" s="60">
        <f>SUM(I39:I45)</f>
        <v>2000</v>
      </c>
      <c r="J46" s="31" t="s">
        <v>75</v>
      </c>
      <c r="K46" s="30"/>
    </row>
    <row r="47" spans="1:11" x14ac:dyDescent="0.25">
      <c r="A47" s="14" t="s">
        <v>5</v>
      </c>
      <c r="B47" s="312">
        <f>+B14</f>
        <v>35307</v>
      </c>
      <c r="C47" s="69">
        <f>+C29+C46</f>
        <v>6468424</v>
      </c>
      <c r="D47" s="312">
        <f>+D14</f>
        <v>35988</v>
      </c>
      <c r="E47" s="61">
        <f>+E29+E46</f>
        <v>6623102</v>
      </c>
      <c r="F47" s="312">
        <f>+F14</f>
        <v>36873</v>
      </c>
      <c r="G47" s="61">
        <f>+G29+G46</f>
        <v>6831150</v>
      </c>
      <c r="H47" s="312">
        <f>+H14</f>
        <v>885</v>
      </c>
      <c r="I47" s="69">
        <f>+I29+I46</f>
        <v>208048</v>
      </c>
      <c r="J47" s="31" t="s">
        <v>75</v>
      </c>
      <c r="K47" s="30"/>
    </row>
    <row r="48" spans="1:11" x14ac:dyDescent="0.25">
      <c r="A48" s="7" t="s">
        <v>88</v>
      </c>
      <c r="B48" s="313"/>
      <c r="C48" s="70">
        <v>-427</v>
      </c>
      <c r="D48" s="313"/>
      <c r="E48" s="71">
        <v>-1727</v>
      </c>
      <c r="F48" s="313"/>
      <c r="G48" s="67">
        <v>0</v>
      </c>
      <c r="H48" s="313"/>
      <c r="I48" s="70">
        <f t="shared" ref="I48:I51" si="3">+G48-E48</f>
        <v>1727</v>
      </c>
      <c r="J48" s="31" t="s">
        <v>75</v>
      </c>
      <c r="K48" s="30"/>
    </row>
    <row r="49" spans="1:11" x14ac:dyDescent="0.25">
      <c r="A49" s="7" t="s">
        <v>387</v>
      </c>
      <c r="B49" s="313"/>
      <c r="C49" s="221">
        <v>-22300</v>
      </c>
      <c r="D49" s="313"/>
      <c r="E49" s="221">
        <v>-30000</v>
      </c>
      <c r="F49" s="313"/>
      <c r="G49" s="222">
        <v>0</v>
      </c>
      <c r="H49" s="313"/>
      <c r="I49" s="221">
        <f t="shared" si="3"/>
        <v>30000</v>
      </c>
      <c r="J49" s="31" t="s">
        <v>75</v>
      </c>
      <c r="K49" s="30"/>
    </row>
    <row r="50" spans="1:11" x14ac:dyDescent="0.25">
      <c r="A50" s="7" t="s">
        <v>255</v>
      </c>
      <c r="B50" s="313"/>
      <c r="C50" s="71">
        <v>1727</v>
      </c>
      <c r="D50" s="313"/>
      <c r="E50" s="71">
        <v>0</v>
      </c>
      <c r="F50" s="313"/>
      <c r="G50" s="67">
        <v>0</v>
      </c>
      <c r="H50" s="313"/>
      <c r="I50" s="71">
        <f t="shared" si="3"/>
        <v>0</v>
      </c>
      <c r="J50" s="31" t="s">
        <v>75</v>
      </c>
      <c r="K50" s="30"/>
    </row>
    <row r="51" spans="1:11" x14ac:dyDescent="0.25">
      <c r="A51" s="7" t="s">
        <v>254</v>
      </c>
      <c r="B51" s="313"/>
      <c r="C51" s="69">
        <v>103857</v>
      </c>
      <c r="D51" s="313"/>
      <c r="E51" s="71">
        <v>0</v>
      </c>
      <c r="F51" s="313"/>
      <c r="G51" s="67">
        <v>0</v>
      </c>
      <c r="H51" s="313"/>
      <c r="I51" s="71">
        <f t="shared" si="3"/>
        <v>0</v>
      </c>
      <c r="J51" s="31" t="s">
        <v>75</v>
      </c>
      <c r="K51" s="30"/>
    </row>
    <row r="52" spans="1:11" ht="21" customHeight="1" x14ac:dyDescent="0.25">
      <c r="A52" s="14" t="s">
        <v>283</v>
      </c>
      <c r="B52" s="309"/>
      <c r="C52" s="69">
        <f>SUM(C47:C51)</f>
        <v>6551281</v>
      </c>
      <c r="D52" s="309"/>
      <c r="E52" s="61">
        <f>SUM(E47:E51)</f>
        <v>6591375</v>
      </c>
      <c r="F52" s="309"/>
      <c r="G52" s="61">
        <f>+G47</f>
        <v>6831150</v>
      </c>
      <c r="H52" s="309"/>
      <c r="I52" s="70">
        <f>SUM(I47:I51)</f>
        <v>239775</v>
      </c>
      <c r="J52" s="31" t="s">
        <v>75</v>
      </c>
      <c r="K52" s="30"/>
    </row>
    <row r="53" spans="1:11" x14ac:dyDescent="0.25">
      <c r="A53" s="20" t="s">
        <v>40</v>
      </c>
      <c r="B53" s="314">
        <v>0</v>
      </c>
      <c r="C53" s="63" t="s">
        <v>48</v>
      </c>
      <c r="D53" s="309">
        <v>0</v>
      </c>
      <c r="E53" s="63" t="s">
        <v>48</v>
      </c>
      <c r="F53" s="309">
        <v>0</v>
      </c>
      <c r="G53" s="64" t="s">
        <v>48</v>
      </c>
      <c r="H53" s="309">
        <v>0</v>
      </c>
      <c r="I53" s="64" t="s">
        <v>48</v>
      </c>
      <c r="J53" s="31" t="s">
        <v>75</v>
      </c>
      <c r="K53" s="30"/>
    </row>
    <row r="54" spans="1:11" x14ac:dyDescent="0.25">
      <c r="A54" s="2" t="s">
        <v>277</v>
      </c>
      <c r="B54" s="2"/>
      <c r="C54" s="2"/>
      <c r="D54" s="2"/>
      <c r="E54" s="2"/>
      <c r="F54" s="2"/>
      <c r="G54" s="2"/>
      <c r="H54" s="2"/>
      <c r="I54" s="2"/>
      <c r="J54" s="31" t="s">
        <v>76</v>
      </c>
      <c r="K54" s="30"/>
    </row>
    <row r="55" spans="1:11" x14ac:dyDescent="0.25">
      <c r="C55" s="1" t="s">
        <v>48</v>
      </c>
    </row>
    <row r="58" spans="1:11" x14ac:dyDescent="0.25">
      <c r="C58" s="34" t="s">
        <v>48</v>
      </c>
    </row>
    <row r="60" spans="1:11" x14ac:dyDescent="0.25">
      <c r="C60" s="38" t="s">
        <v>48</v>
      </c>
    </row>
  </sheetData>
  <mergeCells count="12">
    <mergeCell ref="B33:C34"/>
    <mergeCell ref="D33:E34"/>
    <mergeCell ref="F33:G34"/>
    <mergeCell ref="H33:I34"/>
    <mergeCell ref="A1:I1"/>
    <mergeCell ref="A2:I2"/>
    <mergeCell ref="A3:I3"/>
    <mergeCell ref="A4:I4"/>
    <mergeCell ref="B6:C7"/>
    <mergeCell ref="D6:E7"/>
    <mergeCell ref="F6:G7"/>
    <mergeCell ref="H6:I7"/>
  </mergeCells>
  <phoneticPr fontId="0" type="noConversion"/>
  <pageMargins left="0.75" right="0.75" top="1" bottom="0.65" header="0.5" footer="0.3"/>
  <pageSetup scale="84" fitToHeight="2" orientation="landscape" r:id="rId1"/>
  <headerFooter scaleWithDoc="0" alignWithMargins="0">
    <oddHeader xml:space="preserve">&amp;L&amp;"Arial,Bold"L: Summary of Requirements by Object Class
</oddHeader>
    <oddFooter>&amp;C&amp;"Times New Roman,Regular"Exhibit L:  Summary of Requirements by Object Class</oddFooter>
  </headerFooter>
  <rowBreaks count="1" manualBreakCount="1">
    <brk id="30"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26"/>
  <sheetViews>
    <sheetView view="pageBreakPreview" topLeftCell="B4" zoomScaleNormal="100" zoomScaleSheetLayoutView="100" workbookViewId="0">
      <selection activeCell="M29" sqref="M29"/>
    </sheetView>
  </sheetViews>
  <sheetFormatPr defaultRowHeight="12" x14ac:dyDescent="0.2"/>
  <cols>
    <col min="1" max="1" width="22.44140625" style="227" customWidth="1"/>
    <col min="2" max="2" width="7.5546875" style="227" customWidth="1"/>
    <col min="3" max="3" width="7.21875" style="227" customWidth="1"/>
    <col min="4" max="4" width="10.88671875" style="227" customWidth="1"/>
    <col min="5" max="5" width="6.88671875" style="227" customWidth="1"/>
    <col min="6" max="6" width="7.109375" style="227" customWidth="1"/>
    <col min="7" max="7" width="9.77734375" style="227" customWidth="1"/>
    <col min="8" max="8" width="8" style="227" customWidth="1"/>
    <col min="9" max="9" width="7.77734375" style="227" customWidth="1"/>
    <col min="10" max="10" width="10.5546875" style="227" customWidth="1"/>
    <col min="11" max="11" width="0.77734375" style="227" customWidth="1"/>
    <col min="12" max="16384" width="8.88671875" style="227"/>
  </cols>
  <sheetData>
    <row r="1" spans="1:11" ht="38.25" customHeight="1" x14ac:dyDescent="0.2">
      <c r="A1" s="230" t="s">
        <v>48</v>
      </c>
      <c r="C1" s="231"/>
      <c r="D1" s="231"/>
      <c r="E1" s="231"/>
      <c r="K1" s="228" t="s">
        <v>75</v>
      </c>
    </row>
    <row r="2" spans="1:11" ht="15.75" x14ac:dyDescent="0.25">
      <c r="A2" s="674" t="s">
        <v>117</v>
      </c>
      <c r="B2" s="674"/>
      <c r="C2" s="674"/>
      <c r="D2" s="674"/>
      <c r="E2" s="674"/>
      <c r="F2" s="674"/>
      <c r="G2" s="674"/>
      <c r="H2" s="674"/>
      <c r="I2" s="674"/>
      <c r="J2" s="674"/>
      <c r="K2" s="228" t="s">
        <v>75</v>
      </c>
    </row>
    <row r="3" spans="1:11" x14ac:dyDescent="0.2">
      <c r="A3" s="675" t="s">
        <v>17</v>
      </c>
      <c r="B3" s="675"/>
      <c r="C3" s="675"/>
      <c r="D3" s="675"/>
      <c r="E3" s="675"/>
      <c r="F3" s="675"/>
      <c r="G3" s="675"/>
      <c r="H3" s="675"/>
      <c r="I3" s="675"/>
      <c r="J3" s="675"/>
      <c r="K3" s="228" t="s">
        <v>75</v>
      </c>
    </row>
    <row r="4" spans="1:11" x14ac:dyDescent="0.2">
      <c r="A4" s="675" t="s">
        <v>18</v>
      </c>
      <c r="B4" s="675"/>
      <c r="C4" s="675"/>
      <c r="D4" s="675"/>
      <c r="E4" s="675"/>
      <c r="F4" s="675"/>
      <c r="G4" s="675"/>
      <c r="H4" s="675"/>
      <c r="I4" s="675"/>
      <c r="J4" s="675"/>
      <c r="K4" s="228" t="s">
        <v>75</v>
      </c>
    </row>
    <row r="5" spans="1:11" ht="6.75" customHeight="1" thickBot="1" x14ac:dyDescent="0.25">
      <c r="A5" s="229"/>
      <c r="B5" s="229"/>
      <c r="C5" s="229"/>
      <c r="D5" s="229"/>
      <c r="E5" s="229"/>
      <c r="F5" s="229"/>
      <c r="G5" s="229"/>
      <c r="H5" s="229"/>
      <c r="I5" s="229"/>
      <c r="J5" s="229"/>
      <c r="K5" s="228" t="s">
        <v>75</v>
      </c>
    </row>
    <row r="6" spans="1:11" x14ac:dyDescent="0.2">
      <c r="A6" s="232"/>
      <c r="B6" s="676" t="s">
        <v>118</v>
      </c>
      <c r="C6" s="677"/>
      <c r="D6" s="678"/>
      <c r="E6" s="676" t="s">
        <v>257</v>
      </c>
      <c r="F6" s="677"/>
      <c r="G6" s="678"/>
      <c r="H6" s="682" t="s">
        <v>161</v>
      </c>
      <c r="I6" s="683"/>
      <c r="J6" s="684"/>
      <c r="K6" s="228" t="s">
        <v>75</v>
      </c>
    </row>
    <row r="7" spans="1:11" x14ac:dyDescent="0.2">
      <c r="A7" s="233"/>
      <c r="B7" s="679"/>
      <c r="C7" s="680"/>
      <c r="D7" s="681"/>
      <c r="E7" s="679"/>
      <c r="F7" s="680"/>
      <c r="G7" s="681"/>
      <c r="H7" s="685"/>
      <c r="I7" s="686"/>
      <c r="J7" s="687"/>
      <c r="K7" s="228" t="s">
        <v>75</v>
      </c>
    </row>
    <row r="8" spans="1:11" ht="12.75" thickBot="1" x14ac:dyDescent="0.25">
      <c r="A8" s="234" t="s">
        <v>44</v>
      </c>
      <c r="B8" s="235" t="s">
        <v>14</v>
      </c>
      <c r="C8" s="236" t="s">
        <v>93</v>
      </c>
      <c r="D8" s="237" t="s">
        <v>45</v>
      </c>
      <c r="E8" s="235" t="s">
        <v>14</v>
      </c>
      <c r="F8" s="238" t="s">
        <v>10</v>
      </c>
      <c r="G8" s="239" t="s">
        <v>45</v>
      </c>
      <c r="H8" s="235" t="s">
        <v>14</v>
      </c>
      <c r="I8" s="236" t="s">
        <v>10</v>
      </c>
      <c r="J8" s="237" t="s">
        <v>46</v>
      </c>
      <c r="K8" s="228" t="s">
        <v>75</v>
      </c>
    </row>
    <row r="9" spans="1:11" x14ac:dyDescent="0.2">
      <c r="A9" s="233"/>
      <c r="B9" s="240" t="s">
        <v>48</v>
      </c>
      <c r="C9" s="241" t="s">
        <v>48</v>
      </c>
      <c r="D9" s="242"/>
      <c r="E9" s="240"/>
      <c r="F9" s="243" t="s">
        <v>48</v>
      </c>
      <c r="G9" s="244"/>
      <c r="H9" s="240" t="s">
        <v>48</v>
      </c>
      <c r="I9" s="241"/>
      <c r="J9" s="242"/>
      <c r="K9" s="228" t="s">
        <v>75</v>
      </c>
    </row>
    <row r="10" spans="1:11" x14ac:dyDescent="0.2">
      <c r="A10" s="233" t="s">
        <v>18</v>
      </c>
      <c r="B10" s="240">
        <v>41035</v>
      </c>
      <c r="C10" s="241">
        <v>36947</v>
      </c>
      <c r="D10" s="245">
        <v>6551281</v>
      </c>
      <c r="E10" s="240">
        <v>41035</v>
      </c>
      <c r="F10" s="243">
        <v>35988</v>
      </c>
      <c r="G10" s="246">
        <v>6591375</v>
      </c>
      <c r="H10" s="240">
        <v>43122</v>
      </c>
      <c r="I10" s="241">
        <v>36873</v>
      </c>
      <c r="J10" s="245">
        <v>6831150</v>
      </c>
      <c r="K10" s="228" t="s">
        <v>75</v>
      </c>
    </row>
    <row r="11" spans="1:11" x14ac:dyDescent="0.2">
      <c r="A11" s="233"/>
      <c r="B11" s="240"/>
      <c r="C11" s="241"/>
      <c r="D11" s="247"/>
      <c r="E11" s="240"/>
      <c r="F11" s="243"/>
      <c r="G11" s="244"/>
      <c r="H11" s="240"/>
      <c r="I11" s="241"/>
      <c r="J11" s="242"/>
      <c r="K11" s="228" t="s">
        <v>75</v>
      </c>
    </row>
    <row r="12" spans="1:11" x14ac:dyDescent="0.2">
      <c r="A12" s="233" t="s">
        <v>81</v>
      </c>
      <c r="B12" s="240">
        <v>275</v>
      </c>
      <c r="C12" s="241">
        <v>256</v>
      </c>
      <c r="D12" s="242">
        <v>90000</v>
      </c>
      <c r="E12" s="240">
        <v>275</v>
      </c>
      <c r="F12" s="243">
        <v>124</v>
      </c>
      <c r="G12" s="244">
        <v>90551</v>
      </c>
      <c r="H12" s="240">
        <v>239</v>
      </c>
      <c r="I12" s="241">
        <v>126</v>
      </c>
      <c r="J12" s="242">
        <v>105244</v>
      </c>
      <c r="K12" s="228" t="s">
        <v>75</v>
      </c>
    </row>
    <row r="13" spans="1:11" x14ac:dyDescent="0.2">
      <c r="A13" s="233" t="s">
        <v>249</v>
      </c>
      <c r="B13" s="240"/>
      <c r="C13" s="241"/>
      <c r="D13" s="242"/>
      <c r="E13" s="240"/>
      <c r="F13" s="248"/>
      <c r="G13" s="244">
        <v>10000</v>
      </c>
      <c r="H13" s="240"/>
      <c r="I13" s="241"/>
      <c r="J13" s="242"/>
      <c r="K13" s="228" t="s">
        <v>75</v>
      </c>
    </row>
    <row r="14" spans="1:11" x14ac:dyDescent="0.2">
      <c r="A14" s="233" t="s">
        <v>95</v>
      </c>
      <c r="B14" s="249" t="s">
        <v>48</v>
      </c>
      <c r="C14" s="250"/>
      <c r="D14" s="251">
        <v>-45000</v>
      </c>
      <c r="E14" s="249" t="s">
        <v>48</v>
      </c>
      <c r="F14" s="252"/>
      <c r="G14" s="253">
        <v>-45000</v>
      </c>
      <c r="H14" s="249" t="s">
        <v>48</v>
      </c>
      <c r="I14" s="250"/>
      <c r="J14" s="253">
        <v>-30000</v>
      </c>
      <c r="K14" s="228" t="s">
        <v>75</v>
      </c>
    </row>
    <row r="15" spans="1:11" x14ac:dyDescent="0.2">
      <c r="A15" s="233" t="s">
        <v>82</v>
      </c>
      <c r="B15" s="240"/>
      <c r="C15" s="241"/>
      <c r="D15" s="244">
        <f>SUM(D12:D14)</f>
        <v>45000</v>
      </c>
      <c r="E15" s="240"/>
      <c r="F15" s="243"/>
      <c r="G15" s="244">
        <f>SUM(G12:G14)</f>
        <v>55551</v>
      </c>
      <c r="H15" s="240"/>
      <c r="I15" s="241"/>
      <c r="J15" s="242">
        <f>SUM(J12:J14)</f>
        <v>75244</v>
      </c>
      <c r="K15" s="228" t="s">
        <v>75</v>
      </c>
    </row>
    <row r="16" spans="1:11" x14ac:dyDescent="0.2">
      <c r="A16" s="233"/>
      <c r="B16" s="240"/>
      <c r="C16" s="241"/>
      <c r="D16" s="242"/>
      <c r="E16" s="240"/>
      <c r="F16" s="243"/>
      <c r="G16" s="244"/>
      <c r="H16" s="240"/>
      <c r="I16" s="241"/>
      <c r="J16" s="242"/>
      <c r="K16" s="228" t="s">
        <v>75</v>
      </c>
    </row>
    <row r="17" spans="1:11" x14ac:dyDescent="0.2">
      <c r="A17" s="233" t="s">
        <v>23</v>
      </c>
      <c r="B17" s="240">
        <v>1950</v>
      </c>
      <c r="C17" s="241">
        <v>1806</v>
      </c>
      <c r="D17" s="242">
        <v>0</v>
      </c>
      <c r="E17" s="240">
        <v>1950</v>
      </c>
      <c r="F17" s="243">
        <v>1147</v>
      </c>
      <c r="G17" s="244">
        <v>0</v>
      </c>
      <c r="H17" s="240">
        <v>1950</v>
      </c>
      <c r="I17" s="241">
        <v>1147</v>
      </c>
      <c r="J17" s="242">
        <v>0</v>
      </c>
      <c r="K17" s="228" t="s">
        <v>75</v>
      </c>
    </row>
    <row r="18" spans="1:11" x14ac:dyDescent="0.2">
      <c r="A18" s="233"/>
      <c r="B18" s="240"/>
      <c r="C18" s="241"/>
      <c r="D18" s="242"/>
      <c r="E18" s="240"/>
      <c r="F18" s="243"/>
      <c r="G18" s="244"/>
      <c r="H18" s="240"/>
      <c r="I18" s="241"/>
      <c r="J18" s="242" t="s">
        <v>48</v>
      </c>
      <c r="K18" s="228" t="s">
        <v>75</v>
      </c>
    </row>
    <row r="19" spans="1:11" x14ac:dyDescent="0.2">
      <c r="A19" s="233" t="s">
        <v>50</v>
      </c>
      <c r="B19" s="240">
        <v>727</v>
      </c>
      <c r="C19" s="241">
        <v>724</v>
      </c>
      <c r="D19" s="242">
        <v>0</v>
      </c>
      <c r="E19" s="240">
        <v>727</v>
      </c>
      <c r="F19" s="243">
        <v>675</v>
      </c>
      <c r="G19" s="244">
        <v>0</v>
      </c>
      <c r="H19" s="240">
        <v>791</v>
      </c>
      <c r="I19" s="241">
        <v>729</v>
      </c>
      <c r="J19" s="242">
        <v>0</v>
      </c>
      <c r="K19" s="228" t="s">
        <v>75</v>
      </c>
    </row>
    <row r="20" spans="1:11" ht="12.75" thickBot="1" x14ac:dyDescent="0.25">
      <c r="A20" s="234"/>
      <c r="B20" s="254"/>
      <c r="C20" s="255"/>
      <c r="D20" s="256"/>
      <c r="E20" s="254"/>
      <c r="F20" s="257"/>
      <c r="G20" s="258"/>
      <c r="H20" s="254"/>
      <c r="I20" s="255"/>
      <c r="J20" s="256"/>
      <c r="K20" s="228" t="s">
        <v>75</v>
      </c>
    </row>
    <row r="21" spans="1:11" ht="12.75" thickBot="1" x14ac:dyDescent="0.25">
      <c r="A21" s="234" t="s">
        <v>51</v>
      </c>
      <c r="B21" s="254">
        <f>+B10+B12+B17+B19</f>
        <v>43987</v>
      </c>
      <c r="C21" s="255">
        <f>+C10+C12+C17+C19</f>
        <v>39733</v>
      </c>
      <c r="D21" s="256">
        <f>+D10+D15</f>
        <v>6596281</v>
      </c>
      <c r="E21" s="254">
        <f>+E10+E12+E17+E19</f>
        <v>43987</v>
      </c>
      <c r="F21" s="257">
        <f>+F10+F12+F17+F19</f>
        <v>37934</v>
      </c>
      <c r="G21" s="259">
        <f>+G10+G15</f>
        <v>6646926</v>
      </c>
      <c r="H21" s="260">
        <f>+H10+H12+H17+H19</f>
        <v>46102</v>
      </c>
      <c r="I21" s="256">
        <f>+I10+I12+I17+I19</f>
        <v>38875</v>
      </c>
      <c r="J21" s="256">
        <f>+J10+J15+J17+J19</f>
        <v>6906394</v>
      </c>
      <c r="K21" s="228" t="s">
        <v>75</v>
      </c>
    </row>
    <row r="22" spans="1:11" ht="6.75" customHeight="1" x14ac:dyDescent="0.2">
      <c r="A22" s="229"/>
      <c r="B22" s="244"/>
      <c r="C22" s="244"/>
      <c r="D22" s="244"/>
      <c r="E22" s="244"/>
      <c r="F22" s="244"/>
      <c r="G22" s="244"/>
      <c r="H22" s="244"/>
      <c r="I22" s="244"/>
      <c r="J22" s="244"/>
      <c r="K22" s="228" t="s">
        <v>75</v>
      </c>
    </row>
    <row r="23" spans="1:11" x14ac:dyDescent="0.2">
      <c r="A23" s="227" t="s">
        <v>94</v>
      </c>
      <c r="H23" s="227" t="s">
        <v>48</v>
      </c>
      <c r="I23" s="227" t="s">
        <v>48</v>
      </c>
      <c r="J23" s="227" t="s">
        <v>48</v>
      </c>
      <c r="K23" s="228" t="s">
        <v>75</v>
      </c>
    </row>
    <row r="24" spans="1:11" ht="43.5" customHeight="1" x14ac:dyDescent="0.2">
      <c r="A24" s="673" t="s">
        <v>252</v>
      </c>
      <c r="B24" s="673"/>
      <c r="C24" s="673"/>
      <c r="D24" s="673"/>
      <c r="E24" s="673"/>
      <c r="F24" s="673"/>
      <c r="G24" s="673"/>
      <c r="H24" s="673"/>
      <c r="I24" s="673"/>
      <c r="J24" s="673"/>
      <c r="K24" s="228" t="s">
        <v>75</v>
      </c>
    </row>
    <row r="25" spans="1:11" x14ac:dyDescent="0.2">
      <c r="A25" s="227" t="s">
        <v>48</v>
      </c>
      <c r="K25" s="228" t="s">
        <v>76</v>
      </c>
    </row>
    <row r="26" spans="1:11" x14ac:dyDescent="0.2">
      <c r="A26" s="227" t="s">
        <v>48</v>
      </c>
      <c r="K26" s="228"/>
    </row>
  </sheetData>
  <mergeCells count="7">
    <mergeCell ref="A24:J24"/>
    <mergeCell ref="A2:J2"/>
    <mergeCell ref="A3:J3"/>
    <mergeCell ref="A4:J4"/>
    <mergeCell ref="B6:D7"/>
    <mergeCell ref="E6:G7"/>
    <mergeCell ref="H6:J7"/>
  </mergeCells>
  <phoneticPr fontId="0" type="noConversion"/>
  <printOptions horizontalCentered="1"/>
  <pageMargins left="0.73" right="0.52" top="1" bottom="1" header="0.5" footer="0.5"/>
  <pageSetup orientation="landscape" r:id="rId1"/>
  <headerFooter scaleWithDoc="0" alignWithMargins="0">
    <oddHeader>&amp;L&amp;"Arial,Bold"M: Summary by Appropriation</oddHeader>
    <oddFooter>&amp;C&amp;"Times New Roman,Regular"Exhibit M:  Summary by Appropriation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view="pageBreakPreview" topLeftCell="A49" zoomScale="70" zoomScaleNormal="100" zoomScaleSheetLayoutView="70" workbookViewId="0">
      <selection activeCell="L77" sqref="L77:M80"/>
    </sheetView>
  </sheetViews>
  <sheetFormatPr defaultRowHeight="15.75" x14ac:dyDescent="0.25"/>
  <cols>
    <col min="1" max="1" width="1.109375" style="1" customWidth="1"/>
    <col min="2" max="2" width="8.88671875" style="1"/>
    <col min="3" max="3" width="55.77734375" style="1" customWidth="1"/>
    <col min="4" max="4" width="7" style="1" customWidth="1"/>
    <col min="5" max="5" width="7.44140625" style="1" customWidth="1"/>
    <col min="6" max="6" width="11.109375" style="1" customWidth="1"/>
    <col min="7" max="7" width="2" style="1" customWidth="1"/>
    <col min="8" max="16384" width="8.88671875" style="1"/>
  </cols>
  <sheetData>
    <row r="1" spans="1:7" ht="18.75" x14ac:dyDescent="0.3">
      <c r="A1" s="73"/>
      <c r="B1" s="72" t="s">
        <v>48</v>
      </c>
      <c r="C1" s="73"/>
      <c r="D1" s="73"/>
      <c r="F1" s="22"/>
      <c r="G1" s="29" t="s">
        <v>75</v>
      </c>
    </row>
    <row r="2" spans="1:7" ht="18" x14ac:dyDescent="0.25">
      <c r="B2" s="670" t="s">
        <v>80</v>
      </c>
      <c r="C2" s="670"/>
      <c r="D2" s="670"/>
      <c r="E2" s="670"/>
      <c r="F2" s="670"/>
      <c r="G2" s="29" t="s">
        <v>75</v>
      </c>
    </row>
    <row r="3" spans="1:7" x14ac:dyDescent="0.25">
      <c r="B3" s="671" t="s">
        <v>160</v>
      </c>
      <c r="C3" s="671"/>
      <c r="D3" s="671"/>
      <c r="E3" s="671"/>
      <c r="F3" s="671"/>
      <c r="G3" s="29" t="s">
        <v>75</v>
      </c>
    </row>
    <row r="4" spans="1:7" x14ac:dyDescent="0.25">
      <c r="B4" s="688" t="s">
        <v>18</v>
      </c>
      <c r="C4" s="688"/>
      <c r="D4" s="688"/>
      <c r="E4" s="688"/>
      <c r="F4" s="688"/>
      <c r="G4" s="29" t="s">
        <v>75</v>
      </c>
    </row>
    <row r="5" spans="1:7" ht="16.5" thickBot="1" x14ac:dyDescent="0.3">
      <c r="B5" s="688" t="s">
        <v>41</v>
      </c>
      <c r="C5" s="688"/>
      <c r="D5" s="688"/>
      <c r="E5" s="688"/>
      <c r="F5" s="688"/>
      <c r="G5" s="29" t="s">
        <v>75</v>
      </c>
    </row>
    <row r="6" spans="1:7" x14ac:dyDescent="0.25">
      <c r="A6" s="9"/>
      <c r="B6" s="24"/>
      <c r="C6" s="6"/>
      <c r="D6" s="42"/>
      <c r="E6" s="5"/>
      <c r="F6" s="6" t="s">
        <v>48</v>
      </c>
      <c r="G6" s="29" t="s">
        <v>75</v>
      </c>
    </row>
    <row r="7" spans="1:7" ht="16.5" thickBot="1" x14ac:dyDescent="0.3">
      <c r="A7" s="9"/>
      <c r="C7" s="3"/>
      <c r="D7" s="39" t="s">
        <v>9</v>
      </c>
      <c r="E7" s="32" t="s">
        <v>8</v>
      </c>
      <c r="F7" s="40" t="s">
        <v>11</v>
      </c>
      <c r="G7" s="29" t="s">
        <v>75</v>
      </c>
    </row>
    <row r="8" spans="1:7" ht="16.5" thickBot="1" x14ac:dyDescent="0.3">
      <c r="B8" s="43" t="s">
        <v>165</v>
      </c>
      <c r="C8" s="36"/>
      <c r="D8" s="45">
        <v>41035</v>
      </c>
      <c r="E8" s="46">
        <v>36947</v>
      </c>
      <c r="F8" s="78">
        <v>6551281</v>
      </c>
      <c r="G8" s="29" t="s">
        <v>75</v>
      </c>
    </row>
    <row r="9" spans="1:7" x14ac:dyDescent="0.25">
      <c r="B9" s="25" t="s">
        <v>171</v>
      </c>
      <c r="C9" s="6"/>
      <c r="D9" s="12">
        <v>0</v>
      </c>
      <c r="E9" s="76">
        <v>0</v>
      </c>
      <c r="F9" s="8">
        <v>40094</v>
      </c>
      <c r="G9" s="29" t="s">
        <v>75</v>
      </c>
    </row>
    <row r="10" spans="1:7" ht="16.5" thickBot="1" x14ac:dyDescent="0.3">
      <c r="B10" s="25" t="s">
        <v>166</v>
      </c>
      <c r="C10" s="9"/>
      <c r="D10" s="12">
        <v>0</v>
      </c>
      <c r="E10" s="76">
        <v>-959</v>
      </c>
      <c r="F10" s="220">
        <v>0</v>
      </c>
      <c r="G10" s="29" t="s">
        <v>75</v>
      </c>
    </row>
    <row r="11" spans="1:7" x14ac:dyDescent="0.25">
      <c r="B11" s="25" t="s">
        <v>251</v>
      </c>
      <c r="C11" s="9"/>
      <c r="D11" s="89">
        <f>+D8+D9+D10</f>
        <v>41035</v>
      </c>
      <c r="E11" s="89">
        <f>+E8+E9+E10</f>
        <v>35988</v>
      </c>
      <c r="F11" s="219">
        <f>+F8+F9+F10</f>
        <v>6591375</v>
      </c>
      <c r="G11" s="29" t="s">
        <v>75</v>
      </c>
    </row>
    <row r="12" spans="1:7" x14ac:dyDescent="0.25">
      <c r="B12" s="25"/>
      <c r="C12" s="9"/>
      <c r="D12" s="41"/>
      <c r="E12" s="4"/>
      <c r="F12" s="9"/>
      <c r="G12" s="29" t="s">
        <v>75</v>
      </c>
    </row>
    <row r="13" spans="1:7" x14ac:dyDescent="0.25">
      <c r="B13" s="48" t="s">
        <v>173</v>
      </c>
      <c r="C13" s="9"/>
      <c r="D13" s="215"/>
      <c r="E13" s="4"/>
      <c r="F13" s="9"/>
      <c r="G13" s="29" t="s">
        <v>75</v>
      </c>
    </row>
    <row r="14" spans="1:7" x14ac:dyDescent="0.25">
      <c r="B14" s="25" t="s">
        <v>250</v>
      </c>
      <c r="C14" s="9"/>
      <c r="D14" s="215">
        <v>0</v>
      </c>
      <c r="E14" s="4">
        <v>0</v>
      </c>
      <c r="F14" s="8">
        <v>-40094</v>
      </c>
      <c r="G14" s="29" t="s">
        <v>75</v>
      </c>
    </row>
    <row r="15" spans="1:7" x14ac:dyDescent="0.25">
      <c r="B15" s="25"/>
      <c r="C15" s="9"/>
      <c r="D15" s="223"/>
      <c r="E15" s="4"/>
      <c r="F15" s="8"/>
      <c r="G15" s="29"/>
    </row>
    <row r="16" spans="1:7" x14ac:dyDescent="0.25">
      <c r="B16" s="48" t="s">
        <v>119</v>
      </c>
      <c r="C16" s="9"/>
      <c r="D16" s="215"/>
      <c r="E16" s="4"/>
      <c r="F16" s="9"/>
      <c r="G16" s="29" t="s">
        <v>75</v>
      </c>
    </row>
    <row r="17" spans="2:7" x14ac:dyDescent="0.25">
      <c r="B17" s="48" t="s">
        <v>140</v>
      </c>
      <c r="C17" s="9"/>
      <c r="D17" s="91"/>
      <c r="E17" s="4"/>
      <c r="F17" s="9"/>
      <c r="G17" s="29" t="s">
        <v>75</v>
      </c>
    </row>
    <row r="18" spans="2:7" x14ac:dyDescent="0.25">
      <c r="B18" s="25" t="s">
        <v>141</v>
      </c>
      <c r="C18" s="9"/>
      <c r="D18" s="91">
        <v>0</v>
      </c>
      <c r="E18" s="4">
        <v>0</v>
      </c>
      <c r="F18" s="8">
        <v>1615</v>
      </c>
      <c r="G18" s="29" t="s">
        <v>75</v>
      </c>
    </row>
    <row r="19" spans="2:7" x14ac:dyDescent="0.25">
      <c r="B19" s="25" t="s">
        <v>142</v>
      </c>
      <c r="C19" s="9"/>
      <c r="D19" s="91">
        <v>0</v>
      </c>
      <c r="E19" s="4">
        <v>0</v>
      </c>
      <c r="F19" s="9">
        <v>18</v>
      </c>
      <c r="G19" s="29" t="s">
        <v>75</v>
      </c>
    </row>
    <row r="20" spans="2:7" x14ac:dyDescent="0.25">
      <c r="B20" s="25" t="s">
        <v>143</v>
      </c>
      <c r="C20" s="9"/>
      <c r="D20" s="91">
        <v>0</v>
      </c>
      <c r="E20" s="4">
        <v>0</v>
      </c>
      <c r="F20" s="8">
        <v>-1394</v>
      </c>
      <c r="G20" s="29" t="s">
        <v>75</v>
      </c>
    </row>
    <row r="21" spans="2:7" x14ac:dyDescent="0.25">
      <c r="B21" s="25" t="s">
        <v>144</v>
      </c>
      <c r="C21" s="9"/>
      <c r="D21" s="92">
        <v>0</v>
      </c>
      <c r="E21" s="93">
        <v>0</v>
      </c>
      <c r="F21" s="94">
        <v>-60</v>
      </c>
      <c r="G21" s="29" t="s">
        <v>75</v>
      </c>
    </row>
    <row r="22" spans="2:7" x14ac:dyDescent="0.25">
      <c r="B22" s="25" t="s">
        <v>145</v>
      </c>
      <c r="C22" s="9"/>
      <c r="D22" s="91">
        <f>SUM(D18:D21)</f>
        <v>0</v>
      </c>
      <c r="E22" s="4">
        <f>SUM(E18:E21)</f>
        <v>0</v>
      </c>
      <c r="F22" s="9">
        <f>SUM(F18:F21)</f>
        <v>179</v>
      </c>
      <c r="G22" s="29" t="s">
        <v>75</v>
      </c>
    </row>
    <row r="23" spans="2:7" x14ac:dyDescent="0.25">
      <c r="B23" s="25" t="s">
        <v>48</v>
      </c>
      <c r="C23" s="9"/>
      <c r="D23" s="91"/>
      <c r="E23" s="4"/>
      <c r="F23" s="9"/>
      <c r="G23" s="29" t="s">
        <v>75</v>
      </c>
    </row>
    <row r="24" spans="2:7" x14ac:dyDescent="0.25">
      <c r="B24" s="48" t="s">
        <v>85</v>
      </c>
      <c r="C24" s="9"/>
      <c r="D24" s="51"/>
      <c r="E24" s="4"/>
      <c r="F24" s="35"/>
      <c r="G24" s="29" t="s">
        <v>75</v>
      </c>
    </row>
    <row r="25" spans="2:7" x14ac:dyDescent="0.25">
      <c r="B25" s="25" t="s">
        <v>275</v>
      </c>
      <c r="C25" s="9"/>
      <c r="D25" s="100">
        <v>0</v>
      </c>
      <c r="E25" s="4">
        <v>0</v>
      </c>
      <c r="F25" s="35">
        <v>23268</v>
      </c>
      <c r="G25" s="29" t="s">
        <v>75</v>
      </c>
    </row>
    <row r="26" spans="2:7" x14ac:dyDescent="0.25">
      <c r="B26" s="25" t="s">
        <v>276</v>
      </c>
      <c r="C26" s="9"/>
      <c r="D26" s="100">
        <v>0</v>
      </c>
      <c r="E26" s="4">
        <v>0</v>
      </c>
      <c r="F26" s="35">
        <v>4245</v>
      </c>
      <c r="G26" s="29" t="s">
        <v>75</v>
      </c>
    </row>
    <row r="27" spans="2:7" x14ac:dyDescent="0.25">
      <c r="B27" s="25" t="s">
        <v>122</v>
      </c>
      <c r="C27" s="9"/>
      <c r="D27" s="41">
        <v>0</v>
      </c>
      <c r="E27" s="4">
        <v>0</v>
      </c>
      <c r="F27" s="8">
        <v>8433</v>
      </c>
      <c r="G27" s="29" t="s">
        <v>75</v>
      </c>
    </row>
    <row r="28" spans="2:7" x14ac:dyDescent="0.25">
      <c r="B28" s="25" t="s">
        <v>87</v>
      </c>
      <c r="C28" s="9"/>
      <c r="D28" s="51">
        <v>0</v>
      </c>
      <c r="E28" s="4">
        <v>0</v>
      </c>
      <c r="F28" s="8">
        <v>3613</v>
      </c>
      <c r="G28" s="29" t="s">
        <v>75</v>
      </c>
    </row>
    <row r="29" spans="2:7" x14ac:dyDescent="0.25">
      <c r="B29" s="25" t="s">
        <v>123</v>
      </c>
      <c r="C29" s="9"/>
      <c r="D29" s="92">
        <v>0</v>
      </c>
      <c r="E29" s="93">
        <v>0</v>
      </c>
      <c r="F29" s="95">
        <v>14977</v>
      </c>
      <c r="G29" s="29" t="s">
        <v>75</v>
      </c>
    </row>
    <row r="30" spans="2:7" x14ac:dyDescent="0.25">
      <c r="B30" s="25" t="s">
        <v>146</v>
      </c>
      <c r="C30" s="9"/>
      <c r="D30" s="91">
        <f>SUM(D27:D29)</f>
        <v>0</v>
      </c>
      <c r="E30" s="4">
        <f>SUM(E27:E29)</f>
        <v>0</v>
      </c>
      <c r="F30" s="37">
        <f>SUM(F25:F29)</f>
        <v>54536</v>
      </c>
      <c r="G30" s="29" t="s">
        <v>75</v>
      </c>
    </row>
    <row r="31" spans="2:7" x14ac:dyDescent="0.25">
      <c r="B31" s="25" t="s">
        <v>48</v>
      </c>
      <c r="C31" s="9"/>
      <c r="D31" s="91"/>
      <c r="E31" s="4"/>
      <c r="F31" s="37"/>
      <c r="G31" s="29" t="s">
        <v>75</v>
      </c>
    </row>
    <row r="32" spans="2:7" x14ac:dyDescent="0.25">
      <c r="B32" s="48" t="s">
        <v>86</v>
      </c>
      <c r="C32" s="9"/>
      <c r="D32" s="51"/>
      <c r="E32" s="4"/>
      <c r="F32" s="8"/>
      <c r="G32" s="29" t="s">
        <v>75</v>
      </c>
    </row>
    <row r="33" spans="2:7" x14ac:dyDescent="0.25">
      <c r="B33" s="25" t="s">
        <v>137</v>
      </c>
      <c r="C33" s="9"/>
      <c r="D33" s="41">
        <v>0</v>
      </c>
      <c r="E33" s="4">
        <v>0</v>
      </c>
      <c r="F33" s="8">
        <v>37160</v>
      </c>
      <c r="G33" s="29" t="s">
        <v>75</v>
      </c>
    </row>
    <row r="34" spans="2:7" x14ac:dyDescent="0.25">
      <c r="B34" s="25" t="s">
        <v>150</v>
      </c>
      <c r="C34" s="9"/>
      <c r="D34" s="41">
        <v>0</v>
      </c>
      <c r="E34" s="4">
        <v>0</v>
      </c>
      <c r="F34" s="8">
        <v>41645</v>
      </c>
      <c r="G34" s="29" t="s">
        <v>75</v>
      </c>
    </row>
    <row r="35" spans="2:7" x14ac:dyDescent="0.25">
      <c r="B35" s="25" t="s">
        <v>138</v>
      </c>
      <c r="C35" s="9"/>
      <c r="D35" s="41">
        <v>0</v>
      </c>
      <c r="E35" s="4">
        <v>0</v>
      </c>
      <c r="F35" s="8">
        <v>16772</v>
      </c>
      <c r="G35" s="29" t="s">
        <v>75</v>
      </c>
    </row>
    <row r="36" spans="2:7" x14ac:dyDescent="0.25">
      <c r="B36" s="25" t="s">
        <v>139</v>
      </c>
      <c r="C36" s="9"/>
      <c r="D36" s="41">
        <v>0</v>
      </c>
      <c r="E36" s="4">
        <v>0</v>
      </c>
      <c r="F36" s="8">
        <v>22337</v>
      </c>
      <c r="G36" s="29" t="s">
        <v>75</v>
      </c>
    </row>
    <row r="37" spans="2:7" x14ac:dyDescent="0.25">
      <c r="B37" s="25" t="s">
        <v>147</v>
      </c>
      <c r="C37" s="9"/>
      <c r="D37" s="51">
        <v>0</v>
      </c>
      <c r="E37" s="4">
        <v>94</v>
      </c>
      <c r="F37" s="8">
        <v>12775</v>
      </c>
      <c r="G37" s="29" t="s">
        <v>75</v>
      </c>
    </row>
    <row r="38" spans="2:7" x14ac:dyDescent="0.25">
      <c r="B38" s="25" t="s">
        <v>148</v>
      </c>
      <c r="C38" s="9"/>
      <c r="D38" s="51">
        <v>0</v>
      </c>
      <c r="E38" s="4">
        <v>189</v>
      </c>
      <c r="F38" s="8">
        <v>31216</v>
      </c>
      <c r="G38" s="29" t="s">
        <v>75</v>
      </c>
    </row>
    <row r="39" spans="2:7" x14ac:dyDescent="0.25">
      <c r="B39" s="25" t="s">
        <v>149</v>
      </c>
      <c r="C39" s="9"/>
      <c r="D39" s="77">
        <v>0</v>
      </c>
      <c r="E39" s="4">
        <v>0</v>
      </c>
      <c r="F39" s="8">
        <v>-7135</v>
      </c>
      <c r="G39" s="29" t="s">
        <v>75</v>
      </c>
    </row>
    <row r="40" spans="2:7" x14ac:dyDescent="0.25">
      <c r="B40" s="25" t="s">
        <v>124</v>
      </c>
      <c r="C40" s="9"/>
      <c r="D40" s="92">
        <v>0</v>
      </c>
      <c r="E40" s="93">
        <v>0</v>
      </c>
      <c r="F40" s="96">
        <v>2031</v>
      </c>
      <c r="G40" s="29" t="s">
        <v>75</v>
      </c>
    </row>
    <row r="41" spans="2:7" x14ac:dyDescent="0.25">
      <c r="B41" s="25" t="s">
        <v>152</v>
      </c>
      <c r="C41" s="9"/>
      <c r="D41" s="91">
        <f>SUM(D33:D40)</f>
        <v>0</v>
      </c>
      <c r="E41" s="97">
        <f>SUM(E33:E40)</f>
        <v>283</v>
      </c>
      <c r="F41" s="8">
        <f>SUM(F33:F40)</f>
        <v>156801</v>
      </c>
      <c r="G41" s="29" t="s">
        <v>75</v>
      </c>
    </row>
    <row r="42" spans="2:7" x14ac:dyDescent="0.25">
      <c r="B42" s="25" t="s">
        <v>48</v>
      </c>
      <c r="C42" s="9"/>
      <c r="D42" s="79" t="s">
        <v>48</v>
      </c>
      <c r="E42" s="4" t="s">
        <v>48</v>
      </c>
      <c r="F42" s="8" t="s">
        <v>48</v>
      </c>
      <c r="G42" s="29" t="s">
        <v>75</v>
      </c>
    </row>
    <row r="43" spans="2:7" x14ac:dyDescent="0.25">
      <c r="B43" s="25" t="s">
        <v>163</v>
      </c>
      <c r="C43" s="9"/>
      <c r="D43" s="100"/>
      <c r="E43" s="4"/>
      <c r="F43" s="8"/>
      <c r="G43" s="29" t="s">
        <v>75</v>
      </c>
    </row>
    <row r="44" spans="2:7" x14ac:dyDescent="0.25">
      <c r="B44" s="25" t="s">
        <v>164</v>
      </c>
      <c r="C44" s="9"/>
      <c r="D44" s="100">
        <v>0</v>
      </c>
      <c r="E44" s="4">
        <v>0</v>
      </c>
      <c r="F44" s="8">
        <v>14</v>
      </c>
      <c r="G44" s="29" t="s">
        <v>75</v>
      </c>
    </row>
    <row r="45" spans="2:7" x14ac:dyDescent="0.25">
      <c r="B45" s="25" t="s">
        <v>48</v>
      </c>
      <c r="C45" s="9"/>
      <c r="D45" s="100"/>
      <c r="E45" s="4"/>
      <c r="F45" s="8"/>
      <c r="G45" s="29" t="s">
        <v>75</v>
      </c>
    </row>
    <row r="46" spans="2:7" x14ac:dyDescent="0.25">
      <c r="B46" s="48" t="s">
        <v>89</v>
      </c>
      <c r="C46" s="9"/>
      <c r="D46" s="41" t="s">
        <v>48</v>
      </c>
      <c r="E46" s="4" t="s">
        <v>48</v>
      </c>
      <c r="F46" s="37" t="s">
        <v>48</v>
      </c>
      <c r="G46" s="29" t="s">
        <v>75</v>
      </c>
    </row>
    <row r="47" spans="2:7" x14ac:dyDescent="0.25">
      <c r="B47" s="25" t="s">
        <v>134</v>
      </c>
      <c r="C47" s="9"/>
      <c r="D47" s="51">
        <v>0</v>
      </c>
      <c r="E47" s="4">
        <v>0</v>
      </c>
      <c r="F47" s="37">
        <v>1463</v>
      </c>
      <c r="G47" s="29" t="s">
        <v>75</v>
      </c>
    </row>
    <row r="48" spans="2:7" x14ac:dyDescent="0.25">
      <c r="B48" s="25" t="s">
        <v>133</v>
      </c>
      <c r="C48" s="9"/>
      <c r="D48" s="92">
        <v>0</v>
      </c>
      <c r="E48" s="93">
        <v>0</v>
      </c>
      <c r="F48" s="95">
        <v>1272</v>
      </c>
      <c r="G48" s="29" t="s">
        <v>75</v>
      </c>
    </row>
    <row r="49" spans="2:11" x14ac:dyDescent="0.25">
      <c r="B49" s="25" t="s">
        <v>151</v>
      </c>
      <c r="C49" s="9"/>
      <c r="D49" s="91">
        <f>SUM(D47:D48)</f>
        <v>0</v>
      </c>
      <c r="E49" s="4">
        <f>SUM(E47:E48)</f>
        <v>0</v>
      </c>
      <c r="F49" s="37">
        <f>SUM(F47:F48)</f>
        <v>2735</v>
      </c>
      <c r="G49" s="29" t="s">
        <v>75</v>
      </c>
    </row>
    <row r="50" spans="2:11" ht="16.5" thickBot="1" x14ac:dyDescent="0.3">
      <c r="B50" s="25" t="s">
        <v>48</v>
      </c>
      <c r="C50" s="9"/>
      <c r="D50" s="51"/>
      <c r="E50" s="4"/>
      <c r="F50" s="35"/>
      <c r="G50" s="29" t="s">
        <v>75</v>
      </c>
    </row>
    <row r="51" spans="2:11" ht="16.5" thickBot="1" x14ac:dyDescent="0.3">
      <c r="B51" s="43" t="s">
        <v>135</v>
      </c>
      <c r="C51" s="36"/>
      <c r="D51" s="44">
        <f>+D22+D30+D41+D49</f>
        <v>0</v>
      </c>
      <c r="E51" s="101">
        <f>+E22+E30+E41+E49+E10</f>
        <v>-676</v>
      </c>
      <c r="F51" s="11">
        <f>+F22+F30+F41+F44+F49</f>
        <v>214265</v>
      </c>
      <c r="G51" s="29" t="s">
        <v>75</v>
      </c>
    </row>
    <row r="52" spans="2:11" ht="16.5" thickBot="1" x14ac:dyDescent="0.3">
      <c r="B52" s="49" t="s">
        <v>120</v>
      </c>
      <c r="C52" s="36"/>
      <c r="D52" s="50">
        <f>+D51+D8</f>
        <v>41035</v>
      </c>
      <c r="E52" s="50">
        <f>+E51+E8</f>
        <v>36271</v>
      </c>
      <c r="F52" s="50">
        <f>+F51+F8</f>
        <v>6765546</v>
      </c>
      <c r="G52" s="29" t="s">
        <v>75</v>
      </c>
    </row>
    <row r="53" spans="2:11" x14ac:dyDescent="0.25">
      <c r="B53" s="224" t="s">
        <v>48</v>
      </c>
      <c r="C53" s="9"/>
      <c r="D53" s="41"/>
      <c r="E53" s="4"/>
      <c r="F53" s="9"/>
      <c r="G53" s="29" t="s">
        <v>75</v>
      </c>
      <c r="H53" s="1" t="s">
        <v>48</v>
      </c>
    </row>
    <row r="54" spans="2:11" x14ac:dyDescent="0.25">
      <c r="B54" s="25" t="s">
        <v>72</v>
      </c>
      <c r="C54" s="9"/>
      <c r="D54" s="41" t="s">
        <v>48</v>
      </c>
      <c r="E54" s="4" t="s">
        <v>48</v>
      </c>
      <c r="F54" s="76" t="s">
        <v>48</v>
      </c>
      <c r="G54" s="29" t="s">
        <v>75</v>
      </c>
    </row>
    <row r="55" spans="2:11" x14ac:dyDescent="0.25">
      <c r="B55" s="25" t="s">
        <v>73</v>
      </c>
      <c r="C55" s="9"/>
      <c r="D55" s="223"/>
      <c r="E55" s="4"/>
      <c r="F55" s="8"/>
      <c r="G55" s="29" t="s">
        <v>75</v>
      </c>
    </row>
    <row r="56" spans="2:11" x14ac:dyDescent="0.25">
      <c r="B56" s="25" t="s">
        <v>310</v>
      </c>
      <c r="C56" s="9"/>
      <c r="D56" s="12">
        <v>1158</v>
      </c>
      <c r="E56" s="4">
        <v>290</v>
      </c>
      <c r="F56" s="8">
        <v>43700</v>
      </c>
      <c r="G56" s="29" t="s">
        <v>75</v>
      </c>
    </row>
    <row r="57" spans="2:11" x14ac:dyDescent="0.25">
      <c r="B57" s="25" t="s">
        <v>154</v>
      </c>
      <c r="C57" s="9"/>
      <c r="D57" s="12">
        <v>389</v>
      </c>
      <c r="E57" s="4">
        <v>146</v>
      </c>
      <c r="F57" s="8">
        <v>24982</v>
      </c>
      <c r="G57" s="29" t="s">
        <v>75</v>
      </c>
    </row>
    <row r="58" spans="2:11" x14ac:dyDescent="0.25">
      <c r="B58" s="25" t="s">
        <v>155</v>
      </c>
      <c r="C58" s="9"/>
      <c r="D58" s="12">
        <v>416</v>
      </c>
      <c r="E58" s="4">
        <v>104</v>
      </c>
      <c r="F58" s="8">
        <v>28421</v>
      </c>
      <c r="G58" s="29" t="s">
        <v>75</v>
      </c>
    </row>
    <row r="59" spans="2:11" x14ac:dyDescent="0.25">
      <c r="B59" s="25" t="s">
        <v>162</v>
      </c>
      <c r="C59" s="9"/>
      <c r="D59" s="12">
        <v>4</v>
      </c>
      <c r="E59" s="4">
        <v>2</v>
      </c>
      <c r="F59" s="8">
        <v>26232</v>
      </c>
      <c r="G59" s="29" t="s">
        <v>75</v>
      </c>
    </row>
    <row r="60" spans="2:11" x14ac:dyDescent="0.25">
      <c r="B60" s="25" t="s">
        <v>153</v>
      </c>
      <c r="C60" s="9"/>
      <c r="D60" s="91">
        <v>120</v>
      </c>
      <c r="E60" s="4">
        <v>60</v>
      </c>
      <c r="F60" s="8">
        <v>15000</v>
      </c>
      <c r="G60" s="29" t="s">
        <v>75</v>
      </c>
    </row>
    <row r="61" spans="2:11" ht="16.5" thickBot="1" x14ac:dyDescent="0.3">
      <c r="B61" s="25" t="s">
        <v>156</v>
      </c>
      <c r="C61" s="9"/>
      <c r="D61" s="91">
        <v>0</v>
      </c>
      <c r="E61" s="4">
        <v>0</v>
      </c>
      <c r="F61" s="8">
        <v>28000</v>
      </c>
      <c r="G61" s="29" t="s">
        <v>75</v>
      </c>
    </row>
    <row r="62" spans="2:11" x14ac:dyDescent="0.25">
      <c r="B62" s="25" t="s">
        <v>121</v>
      </c>
      <c r="C62" s="9"/>
      <c r="D62" s="88">
        <f>SUM(D56:D61)</f>
        <v>2087</v>
      </c>
      <c r="E62" s="89">
        <f>SUM(E56:E61)</f>
        <v>602</v>
      </c>
      <c r="F62" s="89">
        <f>SUM(F56:F61)</f>
        <v>166335</v>
      </c>
      <c r="G62" s="29" t="s">
        <v>75</v>
      </c>
      <c r="K62" s="1" t="s">
        <v>48</v>
      </c>
    </row>
    <row r="63" spans="2:11" x14ac:dyDescent="0.25">
      <c r="B63" s="25" t="s">
        <v>48</v>
      </c>
      <c r="C63" s="9"/>
      <c r="D63" s="84"/>
      <c r="E63" s="76"/>
      <c r="F63" s="8"/>
      <c r="G63" s="29" t="s">
        <v>75</v>
      </c>
    </row>
    <row r="64" spans="2:11" x14ac:dyDescent="0.25">
      <c r="B64" s="25" t="s">
        <v>125</v>
      </c>
      <c r="C64" s="9"/>
      <c r="D64" s="85"/>
      <c r="E64" s="76"/>
      <c r="F64" s="76"/>
      <c r="G64" s="29" t="s">
        <v>75</v>
      </c>
    </row>
    <row r="65" spans="2:7" x14ac:dyDescent="0.25">
      <c r="B65" s="25" t="s">
        <v>158</v>
      </c>
      <c r="C65" s="9"/>
      <c r="D65" s="85">
        <v>0</v>
      </c>
      <c r="E65" s="76">
        <v>0</v>
      </c>
      <c r="F65" s="76">
        <v>-4231</v>
      </c>
      <c r="G65" s="29" t="s">
        <v>75</v>
      </c>
    </row>
    <row r="66" spans="2:7" x14ac:dyDescent="0.25">
      <c r="B66" s="25" t="s">
        <v>157</v>
      </c>
      <c r="C66" s="9"/>
      <c r="D66" s="98">
        <v>0</v>
      </c>
      <c r="E66" s="76">
        <v>0</v>
      </c>
      <c r="F66" s="76">
        <v>-5500</v>
      </c>
      <c r="G66" s="29" t="s">
        <v>75</v>
      </c>
    </row>
    <row r="67" spans="2:7" x14ac:dyDescent="0.25">
      <c r="B67" s="25" t="s">
        <v>431</v>
      </c>
      <c r="C67" s="9"/>
      <c r="D67" s="98">
        <v>0</v>
      </c>
      <c r="E67" s="76">
        <v>0</v>
      </c>
      <c r="F67" s="76">
        <v>-41000</v>
      </c>
      <c r="G67" s="29" t="s">
        <v>75</v>
      </c>
    </row>
    <row r="68" spans="2:7" ht="16.5" thickBot="1" x14ac:dyDescent="0.3">
      <c r="B68" s="25" t="s">
        <v>430</v>
      </c>
      <c r="C68" s="9"/>
      <c r="D68" s="85">
        <v>0</v>
      </c>
      <c r="E68" s="76">
        <v>0</v>
      </c>
      <c r="F68" s="47">
        <v>-50000</v>
      </c>
      <c r="G68" s="29" t="s">
        <v>75</v>
      </c>
    </row>
    <row r="69" spans="2:7" x14ac:dyDescent="0.25">
      <c r="B69" s="25" t="s">
        <v>126</v>
      </c>
      <c r="C69" s="9"/>
      <c r="D69" s="99">
        <f>SUM(D66:D68)</f>
        <v>0</v>
      </c>
      <c r="E69" s="89">
        <f>SUM(E66:E68)</f>
        <v>0</v>
      </c>
      <c r="F69" s="76">
        <f>SUM(F65:F68)</f>
        <v>-100731</v>
      </c>
      <c r="G69" s="29" t="s">
        <v>75</v>
      </c>
    </row>
    <row r="70" spans="2:7" x14ac:dyDescent="0.25">
      <c r="B70" s="25" t="s">
        <v>48</v>
      </c>
      <c r="C70" s="9"/>
      <c r="D70" s="85"/>
      <c r="E70" s="76"/>
      <c r="F70" s="76"/>
      <c r="G70" s="29" t="s">
        <v>75</v>
      </c>
    </row>
    <row r="71" spans="2:7" x14ac:dyDescent="0.25">
      <c r="B71" s="25" t="s">
        <v>127</v>
      </c>
      <c r="C71" s="9"/>
      <c r="D71" s="85">
        <f>+D62+D69</f>
        <v>2087</v>
      </c>
      <c r="E71" s="76">
        <f>+E62+E69</f>
        <v>602</v>
      </c>
      <c r="F71" s="76">
        <f>+F62+F69</f>
        <v>65604</v>
      </c>
      <c r="G71" s="29" t="s">
        <v>75</v>
      </c>
    </row>
    <row r="72" spans="2:7" ht="16.5" thickBot="1" x14ac:dyDescent="0.3">
      <c r="B72" s="225" t="s">
        <v>48</v>
      </c>
      <c r="C72" s="3"/>
      <c r="D72" s="90" t="s">
        <v>48</v>
      </c>
      <c r="E72" s="47"/>
      <c r="F72" s="47"/>
      <c r="G72" s="29" t="s">
        <v>75</v>
      </c>
    </row>
    <row r="73" spans="2:7" ht="16.5" thickBot="1" x14ac:dyDescent="0.3">
      <c r="B73" s="80" t="s">
        <v>159</v>
      </c>
      <c r="C73" s="3"/>
      <c r="D73" s="81">
        <f>+D52+D71</f>
        <v>43122</v>
      </c>
      <c r="E73" s="82">
        <f>+E52+E71</f>
        <v>36873</v>
      </c>
      <c r="F73" s="83">
        <f>+F52+F71</f>
        <v>6831150</v>
      </c>
      <c r="G73" s="29" t="s">
        <v>75</v>
      </c>
    </row>
    <row r="74" spans="2:7" x14ac:dyDescent="0.25">
      <c r="B74" s="226" t="s">
        <v>48</v>
      </c>
      <c r="C74" s="223"/>
      <c r="D74" s="42"/>
      <c r="G74" s="29" t="s">
        <v>76</v>
      </c>
    </row>
    <row r="75" spans="2:7" x14ac:dyDescent="0.25">
      <c r="B75" s="223" t="s">
        <v>48</v>
      </c>
      <c r="C75" s="223"/>
      <c r="D75" s="223"/>
    </row>
    <row r="76" spans="2:7" x14ac:dyDescent="0.25">
      <c r="B76" s="223" t="s">
        <v>48</v>
      </c>
    </row>
  </sheetData>
  <mergeCells count="4">
    <mergeCell ref="B2:F2"/>
    <mergeCell ref="B3:F3"/>
    <mergeCell ref="B4:F4"/>
    <mergeCell ref="B5:F5"/>
  </mergeCells>
  <phoneticPr fontId="0" type="noConversion"/>
  <printOptions horizontalCentered="1"/>
  <pageMargins left="0.25" right="0.25" top="0.38500000000000001" bottom="0.4" header="0.25" footer="0.18"/>
  <pageSetup scale="47" orientation="landscape" r:id="rId1"/>
  <headerFooter scaleWithDoc="0" alignWithMargins="0">
    <oddHeader>&amp;L&amp;"Arial,Bold"N: Summary of Change</oddHeader>
    <oddFooter>&amp;C&amp;"Times New Roman,Regular"&amp;10Exhibit N: Summary of Change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H39"/>
  <sheetViews>
    <sheetView view="pageBreakPreview" zoomScale="60" zoomScaleNormal="100" workbookViewId="0">
      <selection activeCell="I30" sqref="I30"/>
    </sheetView>
  </sheetViews>
  <sheetFormatPr defaultRowHeight="15" x14ac:dyDescent="0.2"/>
  <cols>
    <col min="1" max="1" width="2" style="512" customWidth="1"/>
    <col min="2" max="2" width="2.77734375" style="512" customWidth="1"/>
    <col min="3" max="3" width="42.109375" style="512" customWidth="1"/>
    <col min="4" max="4" width="29.6640625" style="512" customWidth="1"/>
    <col min="5" max="7" width="12.109375" style="512" customWidth="1"/>
    <col min="8" max="8" width="1" style="512" customWidth="1"/>
    <col min="9" max="16384" width="8.88671875" style="512"/>
  </cols>
  <sheetData>
    <row r="1" spans="1:8" s="526" customFormat="1" ht="15.75" x14ac:dyDescent="0.2">
      <c r="A1" s="527" t="s">
        <v>48</v>
      </c>
      <c r="H1" s="29" t="s">
        <v>75</v>
      </c>
    </row>
    <row r="2" spans="1:8" s="526" customFormat="1" ht="4.5" customHeight="1" x14ac:dyDescent="0.2">
      <c r="H2" s="29" t="s">
        <v>75</v>
      </c>
    </row>
    <row r="3" spans="1:8" s="526" customFormat="1" ht="15.75" x14ac:dyDescent="0.2">
      <c r="B3" s="528" t="s">
        <v>48</v>
      </c>
      <c r="C3" s="527"/>
      <c r="D3" s="529" t="s">
        <v>17</v>
      </c>
      <c r="H3" s="29" t="s">
        <v>75</v>
      </c>
    </row>
    <row r="4" spans="1:8" s="526" customFormat="1" ht="15.75" x14ac:dyDescent="0.2">
      <c r="H4" s="29" t="s">
        <v>75</v>
      </c>
    </row>
    <row r="5" spans="1:8" s="526" customFormat="1" ht="15.75" x14ac:dyDescent="0.2">
      <c r="B5" s="528" t="s">
        <v>48</v>
      </c>
      <c r="C5" s="527"/>
      <c r="H5" s="29" t="s">
        <v>75</v>
      </c>
    </row>
    <row r="6" spans="1:8" ht="15" customHeight="1" x14ac:dyDescent="0.2">
      <c r="B6" s="694"/>
      <c r="C6" s="694"/>
      <c r="D6" s="694"/>
      <c r="E6" s="690" t="s">
        <v>425</v>
      </c>
      <c r="F6" s="690" t="s">
        <v>424</v>
      </c>
      <c r="G6" s="690" t="s">
        <v>423</v>
      </c>
      <c r="H6" s="29" t="s">
        <v>75</v>
      </c>
    </row>
    <row r="7" spans="1:8" ht="15" customHeight="1" x14ac:dyDescent="0.2">
      <c r="B7" s="694"/>
      <c r="C7" s="694"/>
      <c r="D7" s="694"/>
      <c r="E7" s="690"/>
      <c r="F7" s="690"/>
      <c r="G7" s="690"/>
      <c r="H7" s="29" t="s">
        <v>75</v>
      </c>
    </row>
    <row r="8" spans="1:8" x14ac:dyDescent="0.2">
      <c r="B8" s="525" t="s">
        <v>422</v>
      </c>
      <c r="C8" s="695" t="s">
        <v>421</v>
      </c>
      <c r="D8" s="696"/>
      <c r="E8" s="521">
        <v>210</v>
      </c>
      <c r="F8" s="521">
        <v>210</v>
      </c>
      <c r="G8" s="521">
        <v>218</v>
      </c>
      <c r="H8" s="29" t="s">
        <v>75</v>
      </c>
    </row>
    <row r="9" spans="1:8" x14ac:dyDescent="0.2">
      <c r="B9" s="525" t="s">
        <v>420</v>
      </c>
      <c r="C9" s="695" t="s">
        <v>419</v>
      </c>
      <c r="D9" s="696"/>
      <c r="E9" s="521">
        <v>60</v>
      </c>
      <c r="F9" s="521">
        <v>60</v>
      </c>
      <c r="G9" s="521">
        <v>65</v>
      </c>
      <c r="H9" s="29" t="s">
        <v>75</v>
      </c>
    </row>
    <row r="10" spans="1:8" x14ac:dyDescent="0.2">
      <c r="B10" s="525" t="s">
        <v>418</v>
      </c>
      <c r="C10" s="695" t="s">
        <v>417</v>
      </c>
      <c r="D10" s="696"/>
      <c r="E10" s="521">
        <v>150</v>
      </c>
      <c r="F10" s="521">
        <v>150</v>
      </c>
      <c r="G10" s="521">
        <v>153</v>
      </c>
      <c r="H10" s="29" t="s">
        <v>75</v>
      </c>
    </row>
    <row r="11" spans="1:8" x14ac:dyDescent="0.2">
      <c r="B11" s="525" t="s">
        <v>416</v>
      </c>
      <c r="C11" s="695" t="s">
        <v>415</v>
      </c>
      <c r="D11" s="696"/>
      <c r="E11" s="524">
        <v>152200</v>
      </c>
      <c r="F11" s="524">
        <v>152200</v>
      </c>
      <c r="G11" s="524">
        <v>153000</v>
      </c>
      <c r="H11" s="29" t="s">
        <v>75</v>
      </c>
    </row>
    <row r="12" spans="1:8" x14ac:dyDescent="0.2">
      <c r="B12" s="525" t="s">
        <v>414</v>
      </c>
      <c r="C12" s="695" t="s">
        <v>413</v>
      </c>
      <c r="D12" s="696"/>
      <c r="E12" s="524">
        <v>21000</v>
      </c>
      <c r="F12" s="524">
        <v>21000</v>
      </c>
      <c r="G12" s="524">
        <v>21500</v>
      </c>
      <c r="H12" s="29" t="s">
        <v>75</v>
      </c>
    </row>
    <row r="13" spans="1:8" x14ac:dyDescent="0.2">
      <c r="B13" s="697" t="s">
        <v>412</v>
      </c>
      <c r="C13" s="689" t="s">
        <v>411</v>
      </c>
      <c r="D13" s="523" t="s">
        <v>410</v>
      </c>
      <c r="E13" s="521">
        <v>210</v>
      </c>
      <c r="F13" s="521">
        <v>210</v>
      </c>
      <c r="G13" s="521">
        <v>218</v>
      </c>
      <c r="H13" s="29" t="s">
        <v>75</v>
      </c>
    </row>
    <row r="14" spans="1:8" x14ac:dyDescent="0.2">
      <c r="B14" s="697"/>
      <c r="C14" s="689"/>
      <c r="D14" s="523" t="s">
        <v>409</v>
      </c>
      <c r="E14" s="521">
        <v>0</v>
      </c>
      <c r="F14" s="521">
        <v>0</v>
      </c>
      <c r="G14" s="521">
        <v>0</v>
      </c>
      <c r="H14" s="29" t="s">
        <v>75</v>
      </c>
    </row>
    <row r="15" spans="1:8" x14ac:dyDescent="0.2">
      <c r="B15" s="697"/>
      <c r="C15" s="689"/>
      <c r="D15" s="523" t="s">
        <v>408</v>
      </c>
      <c r="E15" s="521">
        <v>0</v>
      </c>
      <c r="F15" s="521">
        <v>0</v>
      </c>
      <c r="G15" s="521">
        <v>0</v>
      </c>
      <c r="H15" s="29" t="s">
        <v>75</v>
      </c>
    </row>
    <row r="16" spans="1:8" x14ac:dyDescent="0.2">
      <c r="B16" s="697"/>
      <c r="C16" s="689"/>
      <c r="D16" s="523" t="s">
        <v>407</v>
      </c>
      <c r="E16" s="521">
        <v>0</v>
      </c>
      <c r="F16" s="521">
        <v>0</v>
      </c>
      <c r="G16" s="521">
        <v>0</v>
      </c>
      <c r="H16" s="29" t="s">
        <v>75</v>
      </c>
    </row>
    <row r="17" spans="2:8" ht="30" x14ac:dyDescent="0.2">
      <c r="B17" s="697"/>
      <c r="C17" s="689"/>
      <c r="D17" s="522" t="s">
        <v>406</v>
      </c>
      <c r="E17" s="521">
        <v>0</v>
      </c>
      <c r="F17" s="521">
        <v>0</v>
      </c>
      <c r="G17" s="521">
        <v>0</v>
      </c>
      <c r="H17" s="29" t="s">
        <v>75</v>
      </c>
    </row>
    <row r="18" spans="2:8" x14ac:dyDescent="0.2">
      <c r="C18" s="520" t="s">
        <v>405</v>
      </c>
      <c r="D18" s="519"/>
      <c r="H18" s="29" t="s">
        <v>75</v>
      </c>
    </row>
    <row r="19" spans="2:8" x14ac:dyDescent="0.2">
      <c r="B19" s="518"/>
      <c r="C19" s="517"/>
      <c r="H19" s="29" t="s">
        <v>75</v>
      </c>
    </row>
    <row r="20" spans="2:8" ht="31.5" customHeight="1" x14ac:dyDescent="0.2">
      <c r="B20" s="514" t="s">
        <v>404</v>
      </c>
      <c r="C20" s="693" t="s">
        <v>403</v>
      </c>
      <c r="D20" s="693"/>
      <c r="E20" s="693"/>
      <c r="F20" s="693"/>
      <c r="G20" s="693"/>
      <c r="H20" s="29" t="s">
        <v>75</v>
      </c>
    </row>
    <row r="21" spans="2:8" ht="15" customHeight="1" x14ac:dyDescent="0.2">
      <c r="B21" s="515"/>
      <c r="C21" s="691" t="s">
        <v>402</v>
      </c>
      <c r="D21" s="692"/>
      <c r="E21" s="692"/>
      <c r="F21" s="692"/>
      <c r="G21" s="689"/>
      <c r="H21" s="29" t="s">
        <v>75</v>
      </c>
    </row>
    <row r="22" spans="2:8" x14ac:dyDescent="0.2">
      <c r="B22" s="514"/>
      <c r="C22" s="516"/>
      <c r="H22" s="29" t="s">
        <v>75</v>
      </c>
    </row>
    <row r="23" spans="2:8" ht="18" customHeight="1" x14ac:dyDescent="0.2">
      <c r="B23" s="514" t="s">
        <v>401</v>
      </c>
      <c r="C23" s="693" t="s">
        <v>400</v>
      </c>
      <c r="D23" s="693"/>
      <c r="E23" s="693"/>
      <c r="F23" s="693"/>
      <c r="G23" s="693"/>
      <c r="H23" s="29" t="s">
        <v>75</v>
      </c>
    </row>
    <row r="24" spans="2:8" ht="31.5" customHeight="1" x14ac:dyDescent="0.2">
      <c r="B24" s="515"/>
      <c r="C24" s="691" t="s">
        <v>399</v>
      </c>
      <c r="D24" s="692"/>
      <c r="E24" s="692"/>
      <c r="F24" s="692"/>
      <c r="G24" s="689"/>
      <c r="H24" s="29" t="s">
        <v>75</v>
      </c>
    </row>
    <row r="25" spans="2:8" x14ac:dyDescent="0.2">
      <c r="B25" s="515"/>
      <c r="H25" s="29" t="s">
        <v>75</v>
      </c>
    </row>
    <row r="26" spans="2:8" ht="18" customHeight="1" x14ac:dyDescent="0.2">
      <c r="B26" s="514" t="s">
        <v>398</v>
      </c>
      <c r="C26" s="693" t="s">
        <v>397</v>
      </c>
      <c r="D26" s="693"/>
      <c r="E26" s="693"/>
      <c r="F26" s="693"/>
      <c r="G26" s="693"/>
      <c r="H26" s="29" t="s">
        <v>75</v>
      </c>
    </row>
    <row r="27" spans="2:8" ht="46.5" customHeight="1" x14ac:dyDescent="0.2">
      <c r="B27" s="515"/>
      <c r="C27" s="691" t="s">
        <v>396</v>
      </c>
      <c r="D27" s="692"/>
      <c r="E27" s="692"/>
      <c r="F27" s="692"/>
      <c r="G27" s="689"/>
      <c r="H27" s="29" t="s">
        <v>75</v>
      </c>
    </row>
    <row r="28" spans="2:8" x14ac:dyDescent="0.2">
      <c r="B28" s="515"/>
      <c r="H28" s="29" t="s">
        <v>75</v>
      </c>
    </row>
    <row r="29" spans="2:8" ht="17.25" customHeight="1" x14ac:dyDescent="0.2">
      <c r="B29" s="514" t="s">
        <v>395</v>
      </c>
      <c r="C29" s="693" t="s">
        <v>394</v>
      </c>
      <c r="D29" s="693"/>
      <c r="E29" s="693"/>
      <c r="F29" s="693"/>
      <c r="G29" s="693"/>
      <c r="H29" s="29" t="s">
        <v>75</v>
      </c>
    </row>
    <row r="30" spans="2:8" ht="46.5" customHeight="1" x14ac:dyDescent="0.2">
      <c r="B30" s="515"/>
      <c r="C30" s="691" t="s">
        <v>393</v>
      </c>
      <c r="D30" s="692"/>
      <c r="E30" s="692"/>
      <c r="F30" s="692"/>
      <c r="G30" s="689"/>
      <c r="H30" s="29" t="s">
        <v>75</v>
      </c>
    </row>
    <row r="31" spans="2:8" x14ac:dyDescent="0.2">
      <c r="B31" s="515"/>
      <c r="H31" s="29" t="s">
        <v>75</v>
      </c>
    </row>
    <row r="32" spans="2:8" ht="18" customHeight="1" x14ac:dyDescent="0.2">
      <c r="B32" s="514" t="s">
        <v>392</v>
      </c>
      <c r="C32" s="693" t="s">
        <v>391</v>
      </c>
      <c r="D32" s="693"/>
      <c r="E32" s="693"/>
      <c r="F32" s="693"/>
      <c r="G32" s="693"/>
      <c r="H32" s="29" t="s">
        <v>75</v>
      </c>
    </row>
    <row r="33" spans="2:8" ht="15" customHeight="1" x14ac:dyDescent="0.2">
      <c r="B33" s="513"/>
      <c r="C33" s="691" t="s">
        <v>390</v>
      </c>
      <c r="D33" s="692"/>
      <c r="E33" s="692"/>
      <c r="F33" s="692"/>
      <c r="G33" s="689"/>
      <c r="H33" s="29" t="s">
        <v>426</v>
      </c>
    </row>
    <row r="34" spans="2:8" x14ac:dyDescent="0.2">
      <c r="H34" s="29" t="s">
        <v>48</v>
      </c>
    </row>
    <row r="35" spans="2:8" x14ac:dyDescent="0.2">
      <c r="H35" s="29" t="s">
        <v>48</v>
      </c>
    </row>
    <row r="36" spans="2:8" x14ac:dyDescent="0.2">
      <c r="H36" s="29" t="s">
        <v>48</v>
      </c>
    </row>
    <row r="37" spans="2:8" x14ac:dyDescent="0.2">
      <c r="H37" s="29" t="s">
        <v>48</v>
      </c>
    </row>
    <row r="38" spans="2:8" x14ac:dyDescent="0.2">
      <c r="H38" s="29" t="s">
        <v>48</v>
      </c>
    </row>
    <row r="39" spans="2:8" x14ac:dyDescent="0.2">
      <c r="H39" s="512" t="s">
        <v>48</v>
      </c>
    </row>
  </sheetData>
  <mergeCells count="21">
    <mergeCell ref="C33:G33"/>
    <mergeCell ref="C21:G21"/>
    <mergeCell ref="C23:G23"/>
    <mergeCell ref="C24:G24"/>
    <mergeCell ref="C26:G26"/>
    <mergeCell ref="C27:G27"/>
    <mergeCell ref="C29:G29"/>
    <mergeCell ref="C13:C17"/>
    <mergeCell ref="G6:G7"/>
    <mergeCell ref="C30:G30"/>
    <mergeCell ref="C32:G32"/>
    <mergeCell ref="C20:G20"/>
    <mergeCell ref="B6:D7"/>
    <mergeCell ref="E6:E7"/>
    <mergeCell ref="F6:F7"/>
    <mergeCell ref="C8:D8"/>
    <mergeCell ref="C9:D9"/>
    <mergeCell ref="C10:D10"/>
    <mergeCell ref="C11:D11"/>
    <mergeCell ref="C12:D12"/>
    <mergeCell ref="B13:B17"/>
  </mergeCells>
  <printOptions horizontalCentered="1" verticalCentered="1"/>
  <pageMargins left="0.45" right="0.45" top="0.75" bottom="0.75" header="0.3" footer="0.3"/>
  <pageSetup scale="84" orientation="landscape" r:id="rId1"/>
  <headerFooter>
    <oddHeader>&amp;L&amp;"Arial,Bold"O: Physicians' Comparability Allowance</oddHeader>
    <oddFooter>&amp;C&amp;"Times New Roman,Bold"Exhibit O: Physicians' Comparability Allowance (PCA) Worksheet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view="pageBreakPreview" topLeftCell="A19" zoomScale="85" zoomScaleNormal="85" zoomScaleSheetLayoutView="85" zoomScalePageLayoutView="55" workbookViewId="0">
      <selection activeCell="A43" sqref="A43"/>
    </sheetView>
  </sheetViews>
  <sheetFormatPr defaultRowHeight="14.25" x14ac:dyDescent="0.2"/>
  <cols>
    <col min="1" max="1" width="88.33203125" style="103" customWidth="1"/>
    <col min="2" max="3" width="11.33203125" style="104" customWidth="1"/>
    <col min="4" max="4" width="11.33203125" style="105" customWidth="1"/>
    <col min="5" max="5" width="9" style="102" bestFit="1" customWidth="1"/>
    <col min="6" max="6" width="3.77734375" style="103" customWidth="1"/>
    <col min="7" max="7" width="109.109375" style="103" customWidth="1"/>
    <col min="8" max="16384" width="8.88671875" style="103"/>
  </cols>
  <sheetData>
    <row r="1" spans="1:13" ht="18" x14ac:dyDescent="0.25">
      <c r="A1" s="533" t="s">
        <v>77</v>
      </c>
      <c r="B1" s="533"/>
      <c r="C1" s="533"/>
      <c r="D1" s="533"/>
      <c r="E1" s="102" t="s">
        <v>75</v>
      </c>
      <c r="G1" s="170"/>
      <c r="H1" s="171"/>
      <c r="I1" s="171"/>
      <c r="J1" s="171"/>
      <c r="K1" s="171"/>
      <c r="L1" s="171"/>
      <c r="M1" s="171"/>
    </row>
    <row r="2" spans="1:13" ht="15" x14ac:dyDescent="0.2">
      <c r="A2" s="534" t="s">
        <v>17</v>
      </c>
      <c r="B2" s="534"/>
      <c r="C2" s="534"/>
      <c r="D2" s="534"/>
      <c r="E2" s="102" t="s">
        <v>75</v>
      </c>
      <c r="G2" s="172"/>
      <c r="H2" s="171"/>
      <c r="I2" s="171"/>
      <c r="J2" s="171"/>
      <c r="K2" s="171"/>
      <c r="L2" s="171"/>
      <c r="M2" s="171"/>
    </row>
    <row r="3" spans="1:13" x14ac:dyDescent="0.2">
      <c r="A3" s="535" t="s">
        <v>18</v>
      </c>
      <c r="B3" s="535"/>
      <c r="C3" s="535"/>
      <c r="D3" s="535"/>
      <c r="E3" s="102" t="s">
        <v>75</v>
      </c>
      <c r="G3" s="172"/>
      <c r="H3" s="171"/>
      <c r="I3" s="171"/>
      <c r="J3" s="171"/>
      <c r="K3" s="171"/>
      <c r="L3" s="171"/>
      <c r="M3" s="171"/>
    </row>
    <row r="4" spans="1:13" x14ac:dyDescent="0.2">
      <c r="A4" s="536" t="s">
        <v>41</v>
      </c>
      <c r="B4" s="536"/>
      <c r="C4" s="536"/>
      <c r="D4" s="536"/>
      <c r="E4" s="102" t="s">
        <v>75</v>
      </c>
      <c r="G4" s="172"/>
      <c r="H4" s="171"/>
      <c r="I4" s="171"/>
      <c r="J4" s="171"/>
      <c r="K4" s="171"/>
      <c r="L4" s="171"/>
      <c r="M4" s="171"/>
    </row>
    <row r="5" spans="1:13" ht="15" thickBot="1" x14ac:dyDescent="0.25">
      <c r="E5" s="102" t="s">
        <v>75</v>
      </c>
      <c r="G5" s="172"/>
      <c r="H5" s="171"/>
      <c r="I5" s="171"/>
      <c r="J5" s="171"/>
      <c r="K5" s="171"/>
      <c r="L5" s="171"/>
      <c r="M5" s="171"/>
    </row>
    <row r="6" spans="1:13" x14ac:dyDescent="0.2">
      <c r="B6" s="537" t="s">
        <v>167</v>
      </c>
      <c r="C6" s="538"/>
      <c r="D6" s="539"/>
      <c r="E6" s="102" t="s">
        <v>75</v>
      </c>
      <c r="G6" s="171"/>
      <c r="H6" s="171"/>
      <c r="I6" s="171"/>
      <c r="J6" s="171"/>
      <c r="K6" s="171"/>
      <c r="L6" s="171"/>
      <c r="M6" s="171"/>
    </row>
    <row r="7" spans="1:13" ht="15" thickBot="1" x14ac:dyDescent="0.25">
      <c r="B7" s="216" t="s">
        <v>168</v>
      </c>
      <c r="C7" s="217" t="s">
        <v>169</v>
      </c>
      <c r="D7" s="218" t="s">
        <v>11</v>
      </c>
      <c r="E7" s="102" t="s">
        <v>75</v>
      </c>
      <c r="G7" s="106"/>
      <c r="H7" s="171"/>
      <c r="I7" s="171"/>
      <c r="J7" s="171"/>
      <c r="K7" s="171"/>
      <c r="L7" s="171"/>
      <c r="M7" s="171"/>
    </row>
    <row r="8" spans="1:13" ht="18" thickBot="1" x14ac:dyDescent="0.3">
      <c r="A8" s="297" t="s">
        <v>280</v>
      </c>
      <c r="B8" s="108">
        <v>41035</v>
      </c>
      <c r="C8" s="109">
        <v>35307</v>
      </c>
      <c r="D8" s="110">
        <v>6551281</v>
      </c>
      <c r="E8" s="102" t="s">
        <v>75</v>
      </c>
      <c r="G8" s="173"/>
      <c r="H8" s="171"/>
      <c r="I8" s="171"/>
      <c r="J8" s="171"/>
      <c r="K8" s="171"/>
      <c r="L8" s="171"/>
      <c r="M8" s="171"/>
    </row>
    <row r="9" spans="1:13" ht="15" x14ac:dyDescent="0.25">
      <c r="A9" s="107" t="s">
        <v>170</v>
      </c>
      <c r="B9" s="108">
        <v>41035</v>
      </c>
      <c r="C9" s="109">
        <v>35988</v>
      </c>
      <c r="D9" s="110">
        <v>6551281</v>
      </c>
      <c r="E9" s="102" t="s">
        <v>75</v>
      </c>
      <c r="G9" s="173"/>
      <c r="H9" s="171"/>
      <c r="I9" s="171"/>
      <c r="J9" s="171"/>
      <c r="K9" s="171"/>
      <c r="L9" s="171"/>
      <c r="M9" s="171"/>
    </row>
    <row r="10" spans="1:13" ht="15.75" thickBot="1" x14ac:dyDescent="0.3">
      <c r="A10" s="111" t="s">
        <v>171</v>
      </c>
      <c r="B10" s="112"/>
      <c r="C10" s="113"/>
      <c r="D10" s="114">
        <v>40094</v>
      </c>
      <c r="E10" s="102" t="s">
        <v>75</v>
      </c>
      <c r="G10" s="173"/>
      <c r="H10" s="171"/>
      <c r="I10" s="171"/>
      <c r="J10" s="171"/>
      <c r="K10" s="171"/>
      <c r="L10" s="171"/>
      <c r="M10" s="171"/>
    </row>
    <row r="11" spans="1:13" ht="15" x14ac:dyDescent="0.25">
      <c r="A11" s="117" t="s">
        <v>172</v>
      </c>
      <c r="B11" s="118">
        <f>SUM(B9:B10)</f>
        <v>41035</v>
      </c>
      <c r="C11" s="109">
        <f>SUM(C9:C10)</f>
        <v>35988</v>
      </c>
      <c r="D11" s="110">
        <f>SUM(D9:D10)</f>
        <v>6591375</v>
      </c>
      <c r="E11" s="102" t="s">
        <v>75</v>
      </c>
      <c r="G11" s="174"/>
      <c r="H11" s="171"/>
      <c r="I11" s="171"/>
      <c r="J11" s="171"/>
      <c r="K11" s="171"/>
      <c r="L11" s="171"/>
      <c r="M11" s="171"/>
    </row>
    <row r="12" spans="1:13" ht="15" x14ac:dyDescent="0.25">
      <c r="A12" s="119"/>
      <c r="B12" s="116"/>
      <c r="C12" s="113"/>
      <c r="D12" s="120"/>
      <c r="E12" s="102" t="s">
        <v>75</v>
      </c>
      <c r="G12" s="173"/>
      <c r="H12" s="171"/>
      <c r="I12" s="171"/>
      <c r="J12" s="171"/>
      <c r="K12" s="171"/>
      <c r="L12" s="171"/>
      <c r="M12" s="171"/>
    </row>
    <row r="13" spans="1:13" ht="15" x14ac:dyDescent="0.25">
      <c r="A13" s="121" t="s">
        <v>173</v>
      </c>
      <c r="B13" s="116"/>
      <c r="C13" s="113"/>
      <c r="D13" s="120"/>
      <c r="E13" s="102" t="s">
        <v>75</v>
      </c>
      <c r="G13" s="173"/>
      <c r="H13" s="171"/>
      <c r="I13" s="171"/>
      <c r="J13" s="171"/>
      <c r="K13" s="171"/>
      <c r="L13" s="171"/>
      <c r="M13" s="171"/>
    </row>
    <row r="14" spans="1:13" ht="15" x14ac:dyDescent="0.25">
      <c r="A14" s="122" t="s">
        <v>174</v>
      </c>
      <c r="B14" s="123"/>
      <c r="C14" s="124"/>
      <c r="D14" s="114">
        <v>-40094</v>
      </c>
      <c r="E14" s="102" t="s">
        <v>75</v>
      </c>
      <c r="G14" s="174"/>
      <c r="H14" s="171"/>
      <c r="I14" s="171"/>
      <c r="J14" s="171"/>
      <c r="K14" s="171"/>
      <c r="L14" s="171"/>
      <c r="M14" s="171"/>
    </row>
    <row r="15" spans="1:13" ht="15" x14ac:dyDescent="0.25">
      <c r="A15" s="125" t="s">
        <v>175</v>
      </c>
      <c r="B15" s="116">
        <f>SUM(B14:B14)</f>
        <v>0</v>
      </c>
      <c r="C15" s="113">
        <f>SUM(C14:C14)</f>
        <v>0</v>
      </c>
      <c r="D15" s="120">
        <f>SUM(D14:D14)</f>
        <v>-40094</v>
      </c>
      <c r="E15" s="102" t="s">
        <v>75</v>
      </c>
      <c r="G15" s="173"/>
      <c r="H15" s="171"/>
      <c r="I15" s="171"/>
      <c r="J15" s="171"/>
      <c r="K15" s="171"/>
      <c r="L15" s="171"/>
      <c r="M15" s="171"/>
    </row>
    <row r="16" spans="1:13" ht="15" x14ac:dyDescent="0.25">
      <c r="A16" s="121" t="s">
        <v>176</v>
      </c>
      <c r="B16" s="116"/>
      <c r="C16" s="113"/>
      <c r="D16" s="120"/>
      <c r="E16" s="102" t="s">
        <v>75</v>
      </c>
      <c r="G16" s="174"/>
      <c r="H16" s="171"/>
      <c r="I16" s="171"/>
      <c r="J16" s="171"/>
      <c r="K16" s="171"/>
      <c r="L16" s="171"/>
      <c r="M16" s="171"/>
    </row>
    <row r="17" spans="1:13" ht="15" x14ac:dyDescent="0.25">
      <c r="A17" s="126" t="s">
        <v>177</v>
      </c>
      <c r="B17" s="116"/>
      <c r="C17" s="113"/>
      <c r="D17" s="120"/>
      <c r="E17" s="102" t="s">
        <v>75</v>
      </c>
      <c r="G17" s="173"/>
      <c r="H17" s="171"/>
      <c r="I17" s="171"/>
      <c r="J17" s="171"/>
      <c r="K17" s="171"/>
      <c r="L17" s="171"/>
      <c r="M17" s="171"/>
    </row>
    <row r="18" spans="1:13" x14ac:dyDescent="0.2">
      <c r="A18" s="126" t="s">
        <v>178</v>
      </c>
      <c r="B18" s="123">
        <v>0</v>
      </c>
      <c r="C18" s="127">
        <v>0</v>
      </c>
      <c r="D18" s="114">
        <v>1615</v>
      </c>
      <c r="E18" s="102" t="s">
        <v>75</v>
      </c>
      <c r="G18" s="173"/>
      <c r="H18" s="171"/>
      <c r="I18" s="171"/>
      <c r="J18" s="171"/>
      <c r="K18" s="171"/>
      <c r="L18" s="171"/>
      <c r="M18" s="171"/>
    </row>
    <row r="19" spans="1:13" x14ac:dyDescent="0.2">
      <c r="A19" s="126" t="s">
        <v>179</v>
      </c>
      <c r="B19" s="123">
        <v>0</v>
      </c>
      <c r="C19" s="127">
        <v>0</v>
      </c>
      <c r="D19" s="114">
        <v>18</v>
      </c>
      <c r="E19" s="102" t="s">
        <v>75</v>
      </c>
      <c r="G19" s="173"/>
      <c r="H19" s="171"/>
      <c r="I19" s="171"/>
      <c r="J19" s="171"/>
      <c r="K19" s="171"/>
      <c r="L19" s="171"/>
      <c r="M19" s="171"/>
    </row>
    <row r="20" spans="1:13" x14ac:dyDescent="0.2">
      <c r="A20" s="126" t="s">
        <v>180</v>
      </c>
      <c r="B20" s="123">
        <v>0</v>
      </c>
      <c r="C20" s="127">
        <v>0</v>
      </c>
      <c r="D20" s="114">
        <v>-1394</v>
      </c>
      <c r="E20" s="102" t="s">
        <v>75</v>
      </c>
      <c r="G20" s="173"/>
      <c r="H20" s="171"/>
      <c r="I20" s="171"/>
      <c r="J20" s="171"/>
      <c r="K20" s="171"/>
      <c r="L20" s="171"/>
      <c r="M20" s="171"/>
    </row>
    <row r="21" spans="1:13" ht="15" x14ac:dyDescent="0.25">
      <c r="A21" s="126" t="s">
        <v>181</v>
      </c>
      <c r="B21" s="123">
        <v>0</v>
      </c>
      <c r="C21" s="127">
        <v>0</v>
      </c>
      <c r="D21" s="114">
        <v>-60</v>
      </c>
      <c r="E21" s="102" t="s">
        <v>75</v>
      </c>
      <c r="G21" s="174"/>
      <c r="H21" s="171"/>
      <c r="I21" s="171"/>
      <c r="J21" s="171"/>
      <c r="K21" s="171"/>
      <c r="L21" s="171"/>
      <c r="M21" s="171"/>
    </row>
    <row r="22" spans="1:13" ht="15" x14ac:dyDescent="0.25">
      <c r="A22" s="126" t="s">
        <v>182</v>
      </c>
      <c r="B22" s="123"/>
      <c r="C22" s="124">
        <v>0</v>
      </c>
      <c r="D22" s="114">
        <v>54536</v>
      </c>
      <c r="E22" s="102" t="s">
        <v>75</v>
      </c>
      <c r="G22" s="174"/>
      <c r="H22" s="171"/>
      <c r="I22" s="171"/>
      <c r="J22" s="171"/>
      <c r="K22" s="171"/>
      <c r="L22" s="171"/>
      <c r="M22" s="171"/>
    </row>
    <row r="23" spans="1:13" ht="15" x14ac:dyDescent="0.25">
      <c r="A23" s="126" t="s">
        <v>183</v>
      </c>
      <c r="B23" s="123">
        <v>0</v>
      </c>
      <c r="C23" s="124">
        <v>0</v>
      </c>
      <c r="D23" s="114">
        <v>2735</v>
      </c>
      <c r="E23" s="102" t="s">
        <v>75</v>
      </c>
      <c r="G23" s="174"/>
      <c r="H23" s="171"/>
      <c r="I23" s="171"/>
      <c r="J23" s="171"/>
      <c r="K23" s="171"/>
      <c r="L23" s="171"/>
      <c r="M23" s="171"/>
    </row>
    <row r="24" spans="1:13" ht="15" x14ac:dyDescent="0.25">
      <c r="A24" s="126" t="s">
        <v>184</v>
      </c>
      <c r="B24" s="123">
        <v>0</v>
      </c>
      <c r="C24" s="124">
        <v>0</v>
      </c>
      <c r="D24" s="114">
        <v>14</v>
      </c>
      <c r="E24" s="102" t="s">
        <v>75</v>
      </c>
      <c r="G24" s="174"/>
      <c r="H24" s="171"/>
      <c r="I24" s="171"/>
      <c r="J24" s="171"/>
      <c r="K24" s="171"/>
      <c r="L24" s="171"/>
      <c r="M24" s="171"/>
    </row>
    <row r="25" spans="1:13" ht="15" x14ac:dyDescent="0.25">
      <c r="A25" s="128" t="s">
        <v>185</v>
      </c>
      <c r="B25" s="129">
        <v>0</v>
      </c>
      <c r="C25" s="130">
        <v>283</v>
      </c>
      <c r="D25" s="115">
        <v>156801</v>
      </c>
      <c r="E25" s="102" t="s">
        <v>75</v>
      </c>
      <c r="G25" s="174"/>
      <c r="H25" s="171"/>
      <c r="I25" s="171"/>
      <c r="J25" s="171"/>
      <c r="K25" s="171"/>
      <c r="L25" s="171"/>
      <c r="M25" s="171"/>
    </row>
    <row r="26" spans="1:13" ht="15.75" thickBot="1" x14ac:dyDescent="0.3">
      <c r="A26" s="131" t="s">
        <v>186</v>
      </c>
      <c r="B26" s="132">
        <f>SUM(B18:B25)</f>
        <v>0</v>
      </c>
      <c r="C26" s="133">
        <f>SUM(C18:C25)</f>
        <v>283</v>
      </c>
      <c r="D26" s="134">
        <f>SUM(D18:D25)</f>
        <v>214265</v>
      </c>
      <c r="E26" s="102" t="s">
        <v>75</v>
      </c>
      <c r="G26" s="174"/>
      <c r="H26" s="171"/>
      <c r="I26" s="171"/>
      <c r="J26" s="171"/>
      <c r="K26" s="171"/>
      <c r="L26" s="171"/>
      <c r="M26" s="171"/>
    </row>
    <row r="27" spans="1:13" ht="15.75" thickBot="1" x14ac:dyDescent="0.3">
      <c r="A27" s="135" t="s">
        <v>187</v>
      </c>
      <c r="B27" s="136">
        <f>B26+B15</f>
        <v>0</v>
      </c>
      <c r="C27" s="137">
        <f>C26+C15</f>
        <v>283</v>
      </c>
      <c r="D27" s="138">
        <f>D26+D15</f>
        <v>174171</v>
      </c>
      <c r="E27" s="102" t="s">
        <v>75</v>
      </c>
      <c r="G27" s="174"/>
      <c r="H27" s="171"/>
      <c r="I27" s="171"/>
      <c r="J27" s="171"/>
      <c r="K27" s="171"/>
      <c r="L27" s="171"/>
      <c r="M27" s="171"/>
    </row>
    <row r="28" spans="1:13" ht="15" x14ac:dyDescent="0.25">
      <c r="A28" s="139" t="s">
        <v>113</v>
      </c>
      <c r="B28" s="118">
        <f>B11+B27</f>
        <v>41035</v>
      </c>
      <c r="C28" s="109">
        <f>C11+C27</f>
        <v>36271</v>
      </c>
      <c r="D28" s="110">
        <f>D11+D27</f>
        <v>6765546</v>
      </c>
      <c r="E28" s="102" t="s">
        <v>75</v>
      </c>
      <c r="G28" s="174"/>
      <c r="H28" s="171"/>
      <c r="I28" s="171"/>
      <c r="J28" s="171"/>
      <c r="K28" s="171"/>
      <c r="L28" s="171"/>
      <c r="M28" s="171"/>
    </row>
    <row r="29" spans="1:13" ht="15" x14ac:dyDescent="0.25">
      <c r="A29" s="140" t="s">
        <v>72</v>
      </c>
      <c r="B29" s="116"/>
      <c r="C29" s="113"/>
      <c r="D29" s="120"/>
      <c r="E29" s="102" t="s">
        <v>75</v>
      </c>
      <c r="G29" s="173"/>
      <c r="H29" s="171"/>
      <c r="I29" s="171"/>
      <c r="J29" s="171"/>
      <c r="K29" s="171"/>
      <c r="L29" s="171"/>
      <c r="M29" s="171"/>
    </row>
    <row r="30" spans="1:13" ht="15" x14ac:dyDescent="0.25">
      <c r="A30" s="126" t="s">
        <v>49</v>
      </c>
      <c r="B30" s="112"/>
      <c r="C30" s="113"/>
      <c r="D30" s="120"/>
      <c r="E30" s="102" t="s">
        <v>75</v>
      </c>
      <c r="G30" s="173"/>
      <c r="H30" s="171"/>
      <c r="I30" s="171"/>
      <c r="J30" s="171"/>
      <c r="K30" s="171"/>
      <c r="L30" s="171"/>
      <c r="M30" s="171"/>
    </row>
    <row r="31" spans="1:13" x14ac:dyDescent="0.2">
      <c r="A31" s="141" t="s">
        <v>311</v>
      </c>
      <c r="B31" s="142">
        <v>1158</v>
      </c>
      <c r="C31" s="124">
        <v>290</v>
      </c>
      <c r="D31" s="114">
        <v>43700</v>
      </c>
      <c r="E31" s="102" t="s">
        <v>75</v>
      </c>
      <c r="G31" s="173"/>
      <c r="H31" s="171"/>
      <c r="I31" s="171"/>
      <c r="J31" s="171"/>
      <c r="K31" s="171"/>
      <c r="L31" s="171"/>
      <c r="M31" s="171"/>
    </row>
    <row r="32" spans="1:13" x14ac:dyDescent="0.2">
      <c r="A32" s="141" t="s">
        <v>188</v>
      </c>
      <c r="B32" s="142">
        <v>389</v>
      </c>
      <c r="C32" s="124">
        <v>146</v>
      </c>
      <c r="D32" s="114">
        <v>24982</v>
      </c>
      <c r="E32" s="102" t="s">
        <v>75</v>
      </c>
      <c r="G32" s="173"/>
      <c r="H32" s="171"/>
      <c r="I32" s="171"/>
      <c r="J32" s="171"/>
      <c r="K32" s="171"/>
      <c r="L32" s="171"/>
      <c r="M32" s="171"/>
    </row>
    <row r="33" spans="1:13" x14ac:dyDescent="0.2">
      <c r="A33" s="141" t="s">
        <v>189</v>
      </c>
      <c r="B33" s="142">
        <v>416</v>
      </c>
      <c r="C33" s="124">
        <v>104</v>
      </c>
      <c r="D33" s="114">
        <v>28421</v>
      </c>
      <c r="E33" s="102" t="s">
        <v>75</v>
      </c>
      <c r="G33" s="173"/>
      <c r="H33" s="171"/>
      <c r="I33" s="171"/>
      <c r="J33" s="171"/>
      <c r="K33" s="171"/>
      <c r="L33" s="171"/>
      <c r="M33" s="171"/>
    </row>
    <row r="34" spans="1:13" x14ac:dyDescent="0.2">
      <c r="A34" s="141" t="s">
        <v>190</v>
      </c>
      <c r="B34" s="142">
        <v>4</v>
      </c>
      <c r="C34" s="124">
        <v>2</v>
      </c>
      <c r="D34" s="114">
        <v>26232</v>
      </c>
      <c r="E34" s="102" t="s">
        <v>75</v>
      </c>
      <c r="G34" s="173"/>
      <c r="H34" s="171"/>
      <c r="I34" s="171"/>
      <c r="J34" s="171"/>
      <c r="K34" s="171"/>
      <c r="L34" s="171"/>
      <c r="M34" s="171"/>
    </row>
    <row r="35" spans="1:13" x14ac:dyDescent="0.2">
      <c r="A35" s="141" t="s">
        <v>191</v>
      </c>
      <c r="B35" s="142">
        <v>120</v>
      </c>
      <c r="C35" s="124">
        <v>60</v>
      </c>
      <c r="D35" s="114">
        <v>15000</v>
      </c>
      <c r="E35" s="102" t="s">
        <v>75</v>
      </c>
      <c r="G35" s="173"/>
      <c r="H35" s="171"/>
      <c r="I35" s="171"/>
      <c r="J35" s="171"/>
      <c r="K35" s="171"/>
      <c r="L35" s="171"/>
      <c r="M35" s="171"/>
    </row>
    <row r="36" spans="1:13" x14ac:dyDescent="0.2">
      <c r="A36" s="141" t="s">
        <v>192</v>
      </c>
      <c r="B36" s="142">
        <v>0</v>
      </c>
      <c r="C36" s="124">
        <v>0</v>
      </c>
      <c r="D36" s="114">
        <v>28000</v>
      </c>
      <c r="E36" s="102" t="s">
        <v>75</v>
      </c>
      <c r="G36" s="173"/>
      <c r="H36" s="171"/>
      <c r="I36" s="171"/>
      <c r="J36" s="171"/>
      <c r="K36" s="171"/>
      <c r="L36" s="171"/>
      <c r="M36" s="171"/>
    </row>
    <row r="37" spans="1:13" ht="15" x14ac:dyDescent="0.25">
      <c r="A37" s="141" t="s">
        <v>193</v>
      </c>
      <c r="B37" s="112">
        <f>SUM(B31:B36)</f>
        <v>2087</v>
      </c>
      <c r="C37" s="113">
        <f>SUM(C31:C36)</f>
        <v>602</v>
      </c>
      <c r="D37" s="120">
        <f>SUM(D31:D36)</f>
        <v>166335</v>
      </c>
      <c r="E37" s="102" t="s">
        <v>75</v>
      </c>
      <c r="G37" s="173"/>
      <c r="H37" s="171"/>
      <c r="I37" s="171"/>
      <c r="J37" s="171"/>
      <c r="K37" s="171"/>
      <c r="L37" s="171"/>
      <c r="M37" s="171"/>
    </row>
    <row r="38" spans="1:13" ht="15" x14ac:dyDescent="0.25">
      <c r="A38" s="126" t="s">
        <v>136</v>
      </c>
      <c r="B38" s="112"/>
      <c r="C38" s="113"/>
      <c r="D38" s="120"/>
      <c r="E38" s="102" t="s">
        <v>75</v>
      </c>
      <c r="G38" s="173"/>
      <c r="H38" s="171"/>
      <c r="I38" s="171"/>
      <c r="J38" s="171"/>
      <c r="K38" s="171"/>
      <c r="L38" s="171"/>
      <c r="M38" s="171"/>
    </row>
    <row r="39" spans="1:13" x14ac:dyDescent="0.2">
      <c r="A39" s="126" t="s">
        <v>194</v>
      </c>
      <c r="B39" s="142">
        <v>0</v>
      </c>
      <c r="C39" s="124">
        <v>0</v>
      </c>
      <c r="D39" s="114">
        <v>-5500</v>
      </c>
      <c r="E39" s="102" t="s">
        <v>75</v>
      </c>
      <c r="G39" s="173"/>
      <c r="H39" s="171"/>
      <c r="I39" s="171"/>
      <c r="J39" s="171"/>
      <c r="K39" s="171"/>
      <c r="L39" s="171"/>
      <c r="M39" s="171"/>
    </row>
    <row r="40" spans="1:13" x14ac:dyDescent="0.2">
      <c r="A40" s="530" t="s">
        <v>428</v>
      </c>
      <c r="B40" s="123">
        <v>0</v>
      </c>
      <c r="C40" s="124">
        <v>0</v>
      </c>
      <c r="D40" s="114">
        <v>-50000</v>
      </c>
      <c r="E40" s="102" t="s">
        <v>75</v>
      </c>
      <c r="G40" s="173"/>
      <c r="H40" s="171"/>
      <c r="I40" s="171"/>
      <c r="J40" s="171"/>
      <c r="K40" s="171"/>
      <c r="L40" s="171"/>
      <c r="M40" s="171"/>
    </row>
    <row r="41" spans="1:13" x14ac:dyDescent="0.2">
      <c r="A41" s="530" t="s">
        <v>429</v>
      </c>
      <c r="B41" s="123">
        <v>0</v>
      </c>
      <c r="C41" s="124">
        <v>0</v>
      </c>
      <c r="D41" s="114">
        <v>-41000</v>
      </c>
      <c r="E41" s="102" t="s">
        <v>75</v>
      </c>
      <c r="G41" s="173"/>
      <c r="H41" s="171"/>
      <c r="I41" s="171"/>
      <c r="J41" s="171"/>
      <c r="K41" s="171"/>
      <c r="L41" s="171"/>
      <c r="M41" s="171"/>
    </row>
    <row r="42" spans="1:13" x14ac:dyDescent="0.2">
      <c r="A42" s="141" t="s">
        <v>195</v>
      </c>
      <c r="B42" s="123">
        <v>0</v>
      </c>
      <c r="C42" s="124">
        <v>0</v>
      </c>
      <c r="D42" s="114">
        <v>-4231</v>
      </c>
      <c r="E42" s="102" t="s">
        <v>75</v>
      </c>
      <c r="G42" s="173"/>
      <c r="H42" s="171"/>
      <c r="I42" s="171"/>
      <c r="J42" s="171"/>
      <c r="K42" s="171"/>
      <c r="L42" s="171"/>
      <c r="M42" s="171"/>
    </row>
    <row r="43" spans="1:13" ht="15" x14ac:dyDescent="0.25">
      <c r="A43" s="141" t="s">
        <v>196</v>
      </c>
      <c r="B43" s="116">
        <f>SUM(B40:B42)</f>
        <v>0</v>
      </c>
      <c r="C43" s="113">
        <f t="shared" ref="C43" si="0">SUM(C40:C42)</f>
        <v>0</v>
      </c>
      <c r="D43" s="120">
        <f>SUM(D39:D42)</f>
        <v>-100731</v>
      </c>
      <c r="E43" s="102" t="s">
        <v>75</v>
      </c>
      <c r="G43" s="173"/>
      <c r="H43" s="171"/>
      <c r="I43" s="171"/>
      <c r="J43" s="171"/>
      <c r="K43" s="171"/>
      <c r="L43" s="171"/>
      <c r="M43" s="171"/>
    </row>
    <row r="44" spans="1:13" ht="15.75" thickBot="1" x14ac:dyDescent="0.3">
      <c r="A44" s="143" t="s">
        <v>21</v>
      </c>
      <c r="B44" s="132">
        <f>B37+B43</f>
        <v>2087</v>
      </c>
      <c r="C44" s="133">
        <f>C37+C43</f>
        <v>602</v>
      </c>
      <c r="D44" s="134">
        <f t="shared" ref="D44" si="1">D37+D43</f>
        <v>65604</v>
      </c>
      <c r="E44" s="102" t="s">
        <v>75</v>
      </c>
      <c r="G44" s="174"/>
      <c r="H44" s="171"/>
      <c r="I44" s="171"/>
      <c r="J44" s="171"/>
      <c r="K44" s="171"/>
      <c r="L44" s="171"/>
      <c r="M44" s="171"/>
    </row>
    <row r="45" spans="1:13" ht="15" x14ac:dyDescent="0.25">
      <c r="A45" s="139" t="s">
        <v>114</v>
      </c>
      <c r="B45" s="108">
        <f>B28+B44</f>
        <v>43122</v>
      </c>
      <c r="C45" s="109">
        <f>C28+C44</f>
        <v>36873</v>
      </c>
      <c r="D45" s="110">
        <f>D28+D44</f>
        <v>6831150</v>
      </c>
      <c r="E45" s="102" t="s">
        <v>75</v>
      </c>
      <c r="G45" s="174"/>
      <c r="H45" s="171"/>
      <c r="I45" s="171"/>
      <c r="J45" s="171"/>
      <c r="K45" s="171"/>
      <c r="L45" s="171"/>
      <c r="M45" s="171"/>
    </row>
    <row r="46" spans="1:13" ht="15.75" thickBot="1" x14ac:dyDescent="0.3">
      <c r="A46" s="144" t="s">
        <v>279</v>
      </c>
      <c r="B46" s="145">
        <f>B45-B8</f>
        <v>2087</v>
      </c>
      <c r="C46" s="146">
        <f>C45-C8</f>
        <v>1566</v>
      </c>
      <c r="D46" s="147">
        <f>D45-D8</f>
        <v>279869</v>
      </c>
      <c r="E46" s="102" t="s">
        <v>75</v>
      </c>
      <c r="G46" s="174"/>
      <c r="H46" s="171"/>
      <c r="I46" s="171"/>
      <c r="J46" s="171"/>
      <c r="K46" s="171"/>
      <c r="L46" s="171"/>
      <c r="M46" s="171"/>
    </row>
    <row r="47" spans="1:13" x14ac:dyDescent="0.2">
      <c r="A47" s="102"/>
      <c r="E47" s="102" t="s">
        <v>75</v>
      </c>
      <c r="G47" s="171"/>
      <c r="H47" s="171"/>
      <c r="I47" s="171"/>
      <c r="J47" s="171"/>
      <c r="K47" s="171"/>
      <c r="L47" s="171"/>
      <c r="M47" s="171"/>
    </row>
    <row r="48" spans="1:13" ht="17.25" x14ac:dyDescent="0.2">
      <c r="A48" s="531" t="s">
        <v>281</v>
      </c>
      <c r="B48" s="532"/>
      <c r="C48" s="532"/>
      <c r="D48" s="532"/>
      <c r="E48" s="102" t="s">
        <v>75</v>
      </c>
      <c r="G48" s="171"/>
      <c r="H48" s="171"/>
      <c r="I48" s="171"/>
      <c r="J48" s="171"/>
      <c r="K48" s="171"/>
      <c r="L48" s="171"/>
      <c r="M48" s="171"/>
    </row>
    <row r="49" spans="5:13" x14ac:dyDescent="0.2">
      <c r="E49" s="102" t="s">
        <v>76</v>
      </c>
      <c r="G49" s="171"/>
      <c r="H49" s="171"/>
      <c r="I49" s="171"/>
      <c r="J49" s="171"/>
      <c r="K49" s="171"/>
      <c r="L49" s="171"/>
      <c r="M49" s="171"/>
    </row>
    <row r="50" spans="5:13" x14ac:dyDescent="0.2">
      <c r="G50" s="171"/>
      <c r="H50" s="171"/>
      <c r="I50" s="171"/>
      <c r="J50" s="171"/>
      <c r="K50" s="171"/>
      <c r="L50" s="171"/>
      <c r="M50" s="171"/>
    </row>
    <row r="51" spans="5:13" x14ac:dyDescent="0.2">
      <c r="G51" s="171"/>
      <c r="H51" s="171"/>
      <c r="I51" s="171"/>
      <c r="J51" s="171"/>
      <c r="K51" s="171"/>
      <c r="L51" s="171"/>
      <c r="M51" s="171"/>
    </row>
    <row r="52" spans="5:13" x14ac:dyDescent="0.2">
      <c r="G52" s="171"/>
      <c r="H52" s="171"/>
      <c r="I52" s="171"/>
      <c r="J52" s="171"/>
      <c r="K52" s="171"/>
      <c r="L52" s="171"/>
      <c r="M52" s="171"/>
    </row>
    <row r="53" spans="5:13" x14ac:dyDescent="0.2">
      <c r="G53" s="171"/>
      <c r="H53" s="171"/>
      <c r="I53" s="171"/>
      <c r="J53" s="171"/>
      <c r="K53" s="171"/>
      <c r="L53" s="171"/>
      <c r="M53" s="171"/>
    </row>
    <row r="54" spans="5:13" x14ac:dyDescent="0.2">
      <c r="G54" s="171"/>
      <c r="H54" s="171"/>
      <c r="I54" s="171"/>
      <c r="J54" s="171"/>
      <c r="K54" s="171"/>
      <c r="L54" s="171"/>
      <c r="M54" s="171"/>
    </row>
    <row r="55" spans="5:13" x14ac:dyDescent="0.2">
      <c r="G55" s="171"/>
      <c r="H55" s="171"/>
      <c r="I55" s="171"/>
      <c r="J55" s="171"/>
      <c r="K55" s="171"/>
      <c r="L55" s="171"/>
      <c r="M55" s="171"/>
    </row>
    <row r="56" spans="5:13" x14ac:dyDescent="0.2">
      <c r="G56" s="171"/>
      <c r="H56" s="171"/>
      <c r="I56" s="171"/>
      <c r="J56" s="171"/>
      <c r="K56" s="171"/>
      <c r="L56" s="171"/>
      <c r="M56" s="171"/>
    </row>
  </sheetData>
  <mergeCells count="6">
    <mergeCell ref="A48:D48"/>
    <mergeCell ref="A1:D1"/>
    <mergeCell ref="A2:D2"/>
    <mergeCell ref="A3:D3"/>
    <mergeCell ref="A4:D4"/>
    <mergeCell ref="B6:D6"/>
  </mergeCells>
  <printOptions horizontalCentered="1"/>
  <pageMargins left="0.7" right="0.7" top="0.38" bottom="0.38" header="0.3" footer="0.3"/>
  <pageSetup scale="77" orientation="landscape" r:id="rId1"/>
  <headerFooter>
    <oddHeader>&amp;L&amp;"Arial,Bold"B. Summary of Requirements</oddHeader>
    <oddFooter>&amp;CExhibit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topLeftCell="A10" zoomScale="85" zoomScaleNormal="85" zoomScaleSheetLayoutView="85" workbookViewId="0">
      <selection activeCell="A15" sqref="A15"/>
    </sheetView>
  </sheetViews>
  <sheetFormatPr defaultRowHeight="14.25" x14ac:dyDescent="0.2"/>
  <cols>
    <col min="1" max="1" width="39.21875" style="103" customWidth="1"/>
    <col min="2" max="2" width="8.44140625" style="103" customWidth="1"/>
    <col min="3" max="3" width="6.44140625" style="103" customWidth="1"/>
    <col min="4" max="4" width="9.88671875" style="103" customWidth="1"/>
    <col min="5" max="6" width="6.44140625" style="103" customWidth="1"/>
    <col min="7" max="7" width="9.88671875" style="103" customWidth="1"/>
    <col min="8" max="9" width="6.44140625" style="103" customWidth="1"/>
    <col min="10" max="10" width="9.88671875" style="103" customWidth="1"/>
    <col min="11" max="12" width="6.44140625" style="103" customWidth="1"/>
    <col min="13" max="13" width="9.88671875" style="103" customWidth="1"/>
    <col min="14" max="14" width="10.88671875" style="102" bestFit="1" customWidth="1"/>
    <col min="15" max="15" width="3.5546875" style="103" customWidth="1"/>
    <col min="16" max="16" width="90.77734375" style="103" customWidth="1"/>
    <col min="17" max="18" width="6.44140625" style="103" customWidth="1"/>
    <col min="19" max="19" width="9.88671875" style="103" customWidth="1"/>
    <col min="20" max="21" width="6.44140625" style="103" customWidth="1"/>
    <col min="22" max="22" width="9.88671875" style="103" customWidth="1"/>
    <col min="23" max="16384" width="8.88671875" style="103"/>
  </cols>
  <sheetData>
    <row r="1" spans="1:22" ht="18" x14ac:dyDescent="0.25">
      <c r="A1" s="533" t="s">
        <v>77</v>
      </c>
      <c r="B1" s="533"/>
      <c r="C1" s="533"/>
      <c r="D1" s="533"/>
      <c r="E1" s="533"/>
      <c r="F1" s="533"/>
      <c r="G1" s="533"/>
      <c r="H1" s="533"/>
      <c r="I1" s="533"/>
      <c r="J1" s="533"/>
      <c r="K1" s="533"/>
      <c r="L1" s="533"/>
      <c r="M1" s="533"/>
      <c r="N1" s="148" t="s">
        <v>75</v>
      </c>
      <c r="O1" s="149"/>
      <c r="P1" s="170"/>
      <c r="Q1" s="176"/>
      <c r="R1" s="176"/>
      <c r="S1" s="176"/>
      <c r="T1" s="149"/>
      <c r="U1" s="149"/>
      <c r="V1" s="149"/>
    </row>
    <row r="2" spans="1:22" ht="15" x14ac:dyDescent="0.2">
      <c r="A2" s="534" t="s">
        <v>17</v>
      </c>
      <c r="B2" s="534"/>
      <c r="C2" s="534"/>
      <c r="D2" s="534"/>
      <c r="E2" s="534"/>
      <c r="F2" s="534"/>
      <c r="G2" s="534"/>
      <c r="H2" s="534"/>
      <c r="I2" s="534"/>
      <c r="J2" s="534"/>
      <c r="K2" s="534"/>
      <c r="L2" s="534"/>
      <c r="M2" s="534"/>
      <c r="N2" s="148" t="s">
        <v>75</v>
      </c>
      <c r="O2" s="150"/>
      <c r="P2" s="172"/>
      <c r="Q2" s="177"/>
      <c r="R2" s="177"/>
      <c r="S2" s="177"/>
      <c r="T2" s="150"/>
      <c r="U2" s="150"/>
      <c r="V2" s="150"/>
    </row>
    <row r="3" spans="1:22" x14ac:dyDescent="0.2">
      <c r="A3" s="535" t="s">
        <v>18</v>
      </c>
      <c r="B3" s="535"/>
      <c r="C3" s="535"/>
      <c r="D3" s="535"/>
      <c r="E3" s="535"/>
      <c r="F3" s="535"/>
      <c r="G3" s="535"/>
      <c r="H3" s="535"/>
      <c r="I3" s="535"/>
      <c r="J3" s="535"/>
      <c r="K3" s="535"/>
      <c r="L3" s="535"/>
      <c r="M3" s="535"/>
      <c r="N3" s="148" t="s">
        <v>75</v>
      </c>
      <c r="O3" s="151"/>
      <c r="P3" s="172"/>
      <c r="Q3" s="178"/>
      <c r="R3" s="178"/>
      <c r="S3" s="178"/>
      <c r="T3" s="151"/>
      <c r="U3" s="151"/>
      <c r="V3" s="151"/>
    </row>
    <row r="4" spans="1:22" x14ac:dyDescent="0.2">
      <c r="A4" s="536" t="s">
        <v>41</v>
      </c>
      <c r="B4" s="536"/>
      <c r="C4" s="536"/>
      <c r="D4" s="536"/>
      <c r="E4" s="536"/>
      <c r="F4" s="536"/>
      <c r="G4" s="536"/>
      <c r="H4" s="536"/>
      <c r="I4" s="536"/>
      <c r="J4" s="536"/>
      <c r="K4" s="536"/>
      <c r="L4" s="536"/>
      <c r="M4" s="536"/>
      <c r="N4" s="148" t="s">
        <v>75</v>
      </c>
      <c r="O4" s="152"/>
      <c r="P4" s="172"/>
      <c r="Q4" s="179"/>
      <c r="R4" s="179"/>
      <c r="S4" s="179"/>
      <c r="T4" s="152"/>
      <c r="U4" s="152"/>
      <c r="V4" s="152"/>
    </row>
    <row r="5" spans="1:22" ht="15" x14ac:dyDescent="0.25">
      <c r="A5" s="536"/>
      <c r="B5" s="536"/>
      <c r="C5" s="536"/>
      <c r="D5" s="536"/>
      <c r="E5" s="536"/>
      <c r="F5" s="536"/>
      <c r="G5" s="536"/>
      <c r="H5" s="536"/>
      <c r="I5" s="536"/>
      <c r="J5" s="536"/>
      <c r="K5" s="536"/>
      <c r="L5" s="536"/>
      <c r="M5" s="536"/>
      <c r="N5" s="148" t="s">
        <v>75</v>
      </c>
      <c r="O5" s="152"/>
      <c r="P5" s="180"/>
      <c r="Q5" s="179"/>
      <c r="R5" s="179"/>
      <c r="S5" s="179"/>
      <c r="T5" s="152"/>
      <c r="U5" s="152"/>
      <c r="V5" s="152"/>
    </row>
    <row r="6" spans="1:22" ht="15" thickBot="1" x14ac:dyDescent="0.25">
      <c r="A6" s="536"/>
      <c r="B6" s="536"/>
      <c r="C6" s="536"/>
      <c r="D6" s="536"/>
      <c r="E6" s="536"/>
      <c r="F6" s="536"/>
      <c r="G6" s="536"/>
      <c r="H6" s="536"/>
      <c r="I6" s="536"/>
      <c r="J6" s="536"/>
      <c r="K6" s="536"/>
      <c r="L6" s="536"/>
      <c r="M6" s="536"/>
      <c r="N6" s="148" t="s">
        <v>75</v>
      </c>
      <c r="O6" s="152"/>
      <c r="P6" s="179"/>
      <c r="Q6" s="179"/>
      <c r="R6" s="179"/>
      <c r="S6" s="179"/>
      <c r="T6" s="152"/>
      <c r="U6" s="152"/>
      <c r="V6" s="152"/>
    </row>
    <row r="7" spans="1:22" ht="45.75" customHeight="1" x14ac:dyDescent="0.2">
      <c r="A7" s="540" t="s">
        <v>197</v>
      </c>
      <c r="B7" s="542" t="s">
        <v>198</v>
      </c>
      <c r="C7" s="542"/>
      <c r="D7" s="542"/>
      <c r="E7" s="542" t="s">
        <v>256</v>
      </c>
      <c r="F7" s="542"/>
      <c r="G7" s="542"/>
      <c r="H7" s="542" t="s">
        <v>199</v>
      </c>
      <c r="I7" s="542"/>
      <c r="J7" s="542"/>
      <c r="K7" s="542" t="s">
        <v>113</v>
      </c>
      <c r="L7" s="542"/>
      <c r="M7" s="543"/>
      <c r="N7" s="148" t="s">
        <v>75</v>
      </c>
      <c r="P7" s="171"/>
      <c r="Q7" s="171"/>
      <c r="R7" s="171"/>
      <c r="S7" s="171"/>
    </row>
    <row r="8" spans="1:22" ht="28.5" x14ac:dyDescent="0.25">
      <c r="A8" s="541"/>
      <c r="B8" s="153" t="s">
        <v>168</v>
      </c>
      <c r="C8" s="153" t="s">
        <v>200</v>
      </c>
      <c r="D8" s="153" t="s">
        <v>11</v>
      </c>
      <c r="E8" s="153" t="s">
        <v>168</v>
      </c>
      <c r="F8" s="153" t="s">
        <v>201</v>
      </c>
      <c r="G8" s="153" t="s">
        <v>11</v>
      </c>
      <c r="H8" s="153" t="s">
        <v>168</v>
      </c>
      <c r="I8" s="153" t="s">
        <v>201</v>
      </c>
      <c r="J8" s="153" t="s">
        <v>11</v>
      </c>
      <c r="K8" s="153" t="s">
        <v>168</v>
      </c>
      <c r="L8" s="153" t="s">
        <v>201</v>
      </c>
      <c r="M8" s="154" t="s">
        <v>11</v>
      </c>
      <c r="N8" s="148" t="s">
        <v>75</v>
      </c>
      <c r="P8" s="181"/>
      <c r="Q8" s="171"/>
      <c r="R8" s="171"/>
      <c r="S8" s="171"/>
    </row>
    <row r="9" spans="1:22" x14ac:dyDescent="0.2">
      <c r="A9" s="155" t="s">
        <v>202</v>
      </c>
      <c r="B9" s="156">
        <v>15003</v>
      </c>
      <c r="C9" s="156">
        <v>12101</v>
      </c>
      <c r="D9" s="156">
        <v>2421272</v>
      </c>
      <c r="E9" s="156">
        <v>15003</v>
      </c>
      <c r="F9" s="156">
        <f>12092+9+272</f>
        <v>12373</v>
      </c>
      <c r="G9" s="156">
        <v>2436090</v>
      </c>
      <c r="H9" s="156">
        <v>0</v>
      </c>
      <c r="I9" s="156">
        <f>36+77</f>
        <v>113</v>
      </c>
      <c r="J9" s="156">
        <f>86792-14818</f>
        <v>71974</v>
      </c>
      <c r="K9" s="156">
        <f>E9+H9</f>
        <v>15003</v>
      </c>
      <c r="L9" s="156">
        <f t="shared" ref="L9:M12" si="0">F9+I9</f>
        <v>12486</v>
      </c>
      <c r="M9" s="157">
        <f t="shared" si="0"/>
        <v>2508064</v>
      </c>
      <c r="N9" s="148" t="s">
        <v>75</v>
      </c>
      <c r="P9" s="171"/>
      <c r="Q9" s="171"/>
      <c r="R9" s="171"/>
      <c r="S9" s="171"/>
    </row>
    <row r="10" spans="1:22" x14ac:dyDescent="0.2">
      <c r="A10" s="158" t="s">
        <v>203</v>
      </c>
      <c r="B10" s="124">
        <v>24326</v>
      </c>
      <c r="C10" s="124">
        <v>21907</v>
      </c>
      <c r="D10" s="124">
        <v>2880290</v>
      </c>
      <c r="E10" s="124">
        <v>24326</v>
      </c>
      <c r="F10" s="124">
        <f>21898+9+409</f>
        <v>22316</v>
      </c>
      <c r="G10" s="124">
        <v>2897918</v>
      </c>
      <c r="H10" s="124">
        <v>0</v>
      </c>
      <c r="I10" s="124">
        <f>58+112</f>
        <v>170</v>
      </c>
      <c r="J10" s="124">
        <f>80370-17628</f>
        <v>62742</v>
      </c>
      <c r="K10" s="124">
        <f t="shared" ref="K10:K12" si="1">E10+H10</f>
        <v>24326</v>
      </c>
      <c r="L10" s="124">
        <f>F10+I10</f>
        <v>22486</v>
      </c>
      <c r="M10" s="114">
        <f t="shared" si="0"/>
        <v>2960660</v>
      </c>
      <c r="N10" s="148" t="s">
        <v>75</v>
      </c>
      <c r="P10" s="171"/>
      <c r="Q10" s="171"/>
      <c r="R10" s="171"/>
      <c r="S10" s="171"/>
    </row>
    <row r="11" spans="1:22" x14ac:dyDescent="0.2">
      <c r="A11" s="158" t="s">
        <v>71</v>
      </c>
      <c r="B11" s="124">
        <v>413</v>
      </c>
      <c r="C11" s="124">
        <v>255</v>
      </c>
      <c r="D11" s="124">
        <v>1040213</v>
      </c>
      <c r="E11" s="124">
        <v>413</v>
      </c>
      <c r="F11" s="124">
        <v>255</v>
      </c>
      <c r="G11" s="124">
        <v>1046579</v>
      </c>
      <c r="H11" s="124">
        <v>0</v>
      </c>
      <c r="I11" s="124">
        <v>0</v>
      </c>
      <c r="J11" s="124">
        <f>42087-6366</f>
        <v>35721</v>
      </c>
      <c r="K11" s="124">
        <f t="shared" si="1"/>
        <v>413</v>
      </c>
      <c r="L11" s="124">
        <f t="shared" si="0"/>
        <v>255</v>
      </c>
      <c r="M11" s="114">
        <f t="shared" si="0"/>
        <v>1082300</v>
      </c>
      <c r="N11" s="148" t="s">
        <v>75</v>
      </c>
      <c r="P11" s="171"/>
      <c r="Q11" s="171"/>
      <c r="R11" s="171"/>
      <c r="S11" s="171"/>
    </row>
    <row r="12" spans="1:22" x14ac:dyDescent="0.2">
      <c r="A12" s="159" t="s">
        <v>110</v>
      </c>
      <c r="B12" s="160">
        <v>1293</v>
      </c>
      <c r="C12" s="160">
        <v>1044</v>
      </c>
      <c r="D12" s="160">
        <v>209506</v>
      </c>
      <c r="E12" s="160">
        <v>1293</v>
      </c>
      <c r="F12" s="160">
        <f>1041+3</f>
        <v>1044</v>
      </c>
      <c r="G12" s="160">
        <v>210788</v>
      </c>
      <c r="H12" s="160">
        <v>0</v>
      </c>
      <c r="I12" s="160">
        <v>0</v>
      </c>
      <c r="J12" s="160">
        <f>5016-1282</f>
        <v>3734</v>
      </c>
      <c r="K12" s="160">
        <f t="shared" si="1"/>
        <v>1293</v>
      </c>
      <c r="L12" s="160">
        <f t="shared" si="0"/>
        <v>1044</v>
      </c>
      <c r="M12" s="161">
        <f t="shared" si="0"/>
        <v>214522</v>
      </c>
      <c r="N12" s="148" t="s">
        <v>75</v>
      </c>
      <c r="P12" s="171"/>
      <c r="Q12" s="171"/>
      <c r="R12" s="171"/>
      <c r="S12" s="171"/>
    </row>
    <row r="13" spans="1:22" ht="15" x14ac:dyDescent="0.25">
      <c r="A13" s="162" t="s">
        <v>204</v>
      </c>
      <c r="B13" s="163">
        <f>SUM(B9:B12)</f>
        <v>41035</v>
      </c>
      <c r="C13" s="163">
        <f t="shared" ref="C13:M13" si="2">SUM(C9:C12)</f>
        <v>35307</v>
      </c>
      <c r="D13" s="163">
        <f t="shared" si="2"/>
        <v>6551281</v>
      </c>
      <c r="E13" s="163">
        <f t="shared" si="2"/>
        <v>41035</v>
      </c>
      <c r="F13" s="163">
        <f t="shared" si="2"/>
        <v>35988</v>
      </c>
      <c r="G13" s="163">
        <f t="shared" si="2"/>
        <v>6591375</v>
      </c>
      <c r="H13" s="163">
        <f t="shared" si="2"/>
        <v>0</v>
      </c>
      <c r="I13" s="163">
        <f t="shared" si="2"/>
        <v>283</v>
      </c>
      <c r="J13" s="163">
        <f t="shared" si="2"/>
        <v>174171</v>
      </c>
      <c r="K13" s="163">
        <f t="shared" si="2"/>
        <v>41035</v>
      </c>
      <c r="L13" s="163">
        <f>SUM(L9:L12)</f>
        <v>36271</v>
      </c>
      <c r="M13" s="164">
        <f t="shared" si="2"/>
        <v>6765546</v>
      </c>
      <c r="N13" s="148" t="s">
        <v>75</v>
      </c>
      <c r="P13" s="175"/>
      <c r="Q13" s="171"/>
      <c r="R13" s="171"/>
      <c r="S13" s="171"/>
    </row>
    <row r="14" spans="1:22" x14ac:dyDescent="0.2">
      <c r="A14" s="155" t="s">
        <v>7</v>
      </c>
      <c r="B14" s="156"/>
      <c r="C14" s="156">
        <v>0</v>
      </c>
      <c r="D14" s="156"/>
      <c r="E14" s="156"/>
      <c r="F14" s="156">
        <v>0</v>
      </c>
      <c r="G14" s="156"/>
      <c r="H14" s="156"/>
      <c r="I14" s="156">
        <v>0</v>
      </c>
      <c r="J14" s="156"/>
      <c r="K14" s="156"/>
      <c r="L14" s="156">
        <f t="shared" ref="L14:L15" si="3">F14+I14</f>
        <v>0</v>
      </c>
      <c r="M14" s="157"/>
      <c r="N14" s="148" t="s">
        <v>75</v>
      </c>
      <c r="P14" s="171"/>
      <c r="Q14" s="171"/>
      <c r="R14" s="171"/>
      <c r="S14" s="171"/>
    </row>
    <row r="15" spans="1:22" x14ac:dyDescent="0.2">
      <c r="A15" s="158" t="s">
        <v>207</v>
      </c>
      <c r="B15" s="124"/>
      <c r="C15" s="124">
        <f>C13+C14</f>
        <v>35307</v>
      </c>
      <c r="D15" s="124"/>
      <c r="E15" s="124"/>
      <c r="F15" s="124">
        <f>F13+F14</f>
        <v>35988</v>
      </c>
      <c r="G15" s="124"/>
      <c r="H15" s="124"/>
      <c r="I15" s="124">
        <f>I13+I14</f>
        <v>283</v>
      </c>
      <c r="J15" s="124"/>
      <c r="K15" s="124"/>
      <c r="L15" s="124">
        <f t="shared" si="3"/>
        <v>36271</v>
      </c>
      <c r="M15" s="114"/>
      <c r="N15" s="148" t="s">
        <v>75</v>
      </c>
      <c r="P15" s="171"/>
      <c r="Q15" s="171"/>
      <c r="R15" s="171"/>
      <c r="S15" s="171"/>
    </row>
    <row r="16" spans="1:22" x14ac:dyDescent="0.2">
      <c r="A16" s="158"/>
      <c r="B16" s="124"/>
      <c r="C16" s="124"/>
      <c r="D16" s="124"/>
      <c r="E16" s="124"/>
      <c r="F16" s="124"/>
      <c r="G16" s="124"/>
      <c r="H16" s="124"/>
      <c r="I16" s="124"/>
      <c r="J16" s="124"/>
      <c r="K16" s="124"/>
      <c r="L16" s="124"/>
      <c r="M16" s="114"/>
      <c r="N16" s="148" t="s">
        <v>75</v>
      </c>
      <c r="P16" s="171"/>
      <c r="Q16" s="171"/>
      <c r="R16" s="171"/>
      <c r="S16" s="171"/>
    </row>
    <row r="17" spans="1:19" x14ac:dyDescent="0.2">
      <c r="A17" s="158" t="s">
        <v>208</v>
      </c>
      <c r="B17" s="124"/>
      <c r="C17" s="124"/>
      <c r="D17" s="124"/>
      <c r="E17" s="124"/>
      <c r="F17" s="124"/>
      <c r="G17" s="124"/>
      <c r="H17" s="124"/>
      <c r="I17" s="124"/>
      <c r="J17" s="124"/>
      <c r="K17" s="124"/>
      <c r="L17" s="124"/>
      <c r="M17" s="114"/>
      <c r="N17" s="148" t="s">
        <v>75</v>
      </c>
      <c r="P17" s="171"/>
      <c r="Q17" s="171"/>
      <c r="R17" s="171"/>
      <c r="S17" s="171"/>
    </row>
    <row r="18" spans="1:19" x14ac:dyDescent="0.2">
      <c r="A18" s="165" t="s">
        <v>209</v>
      </c>
      <c r="B18" s="124"/>
      <c r="C18" s="124">
        <v>0</v>
      </c>
      <c r="D18" s="124"/>
      <c r="E18" s="124"/>
      <c r="F18" s="124">
        <v>0</v>
      </c>
      <c r="G18" s="124"/>
      <c r="H18" s="124"/>
      <c r="I18" s="124">
        <v>0</v>
      </c>
      <c r="J18" s="124"/>
      <c r="K18" s="124"/>
      <c r="L18" s="124">
        <f t="shared" ref="L18:L20" si="4">F18+I18</f>
        <v>0</v>
      </c>
      <c r="M18" s="114"/>
      <c r="N18" s="148" t="s">
        <v>75</v>
      </c>
      <c r="P18" s="171"/>
      <c r="Q18" s="171"/>
      <c r="R18" s="171"/>
      <c r="S18" s="171"/>
    </row>
    <row r="19" spans="1:19" x14ac:dyDescent="0.2">
      <c r="A19" s="166" t="s">
        <v>210</v>
      </c>
      <c r="B19" s="160"/>
      <c r="C19" s="160">
        <v>0</v>
      </c>
      <c r="D19" s="160"/>
      <c r="E19" s="160"/>
      <c r="F19" s="160">
        <v>0</v>
      </c>
      <c r="G19" s="160"/>
      <c r="H19" s="160"/>
      <c r="I19" s="160">
        <v>0</v>
      </c>
      <c r="J19" s="160"/>
      <c r="K19" s="160"/>
      <c r="L19" s="160">
        <f t="shared" si="4"/>
        <v>0</v>
      </c>
      <c r="M19" s="161"/>
      <c r="N19" s="148" t="s">
        <v>75</v>
      </c>
      <c r="P19" s="171"/>
      <c r="Q19" s="171"/>
      <c r="R19" s="171"/>
      <c r="S19" s="171"/>
    </row>
    <row r="20" spans="1:19" ht="15" thickBot="1" x14ac:dyDescent="0.25">
      <c r="A20" s="167" t="s">
        <v>211</v>
      </c>
      <c r="B20" s="168"/>
      <c r="C20" s="168">
        <f>C15+C18+C19</f>
        <v>35307</v>
      </c>
      <c r="D20" s="168"/>
      <c r="E20" s="168"/>
      <c r="F20" s="168">
        <f>F15+F18+F19</f>
        <v>35988</v>
      </c>
      <c r="G20" s="168"/>
      <c r="H20" s="168"/>
      <c r="I20" s="168">
        <f>I15+I18+I19</f>
        <v>283</v>
      </c>
      <c r="J20" s="168"/>
      <c r="K20" s="168"/>
      <c r="L20" s="168">
        <f t="shared" si="4"/>
        <v>36271</v>
      </c>
      <c r="M20" s="169"/>
      <c r="N20" s="148" t="s">
        <v>75</v>
      </c>
      <c r="P20" s="171"/>
      <c r="Q20" s="171"/>
      <c r="R20" s="171"/>
      <c r="S20" s="171"/>
    </row>
    <row r="21" spans="1:19" ht="15" thickBot="1" x14ac:dyDescent="0.25">
      <c r="N21" s="148" t="s">
        <v>75</v>
      </c>
      <c r="P21" s="171"/>
      <c r="Q21" s="171"/>
      <c r="R21" s="171"/>
      <c r="S21" s="171"/>
    </row>
    <row r="22" spans="1:19" ht="15" x14ac:dyDescent="0.2">
      <c r="A22" s="540" t="s">
        <v>197</v>
      </c>
      <c r="B22" s="542" t="s">
        <v>115</v>
      </c>
      <c r="C22" s="542"/>
      <c r="D22" s="542"/>
      <c r="E22" s="542" t="s">
        <v>116</v>
      </c>
      <c r="F22" s="542"/>
      <c r="G22" s="542"/>
      <c r="H22" s="542" t="s">
        <v>112</v>
      </c>
      <c r="I22" s="542"/>
      <c r="J22" s="543"/>
      <c r="N22" s="148" t="s">
        <v>75</v>
      </c>
      <c r="P22" s="171"/>
      <c r="Q22" s="171"/>
      <c r="R22" s="171"/>
      <c r="S22" s="171"/>
    </row>
    <row r="23" spans="1:19" ht="28.5" x14ac:dyDescent="0.2">
      <c r="A23" s="541"/>
      <c r="B23" s="153" t="s">
        <v>168</v>
      </c>
      <c r="C23" s="153" t="s">
        <v>201</v>
      </c>
      <c r="D23" s="153" t="s">
        <v>11</v>
      </c>
      <c r="E23" s="153" t="s">
        <v>168</v>
      </c>
      <c r="F23" s="153" t="s">
        <v>201</v>
      </c>
      <c r="G23" s="153" t="s">
        <v>11</v>
      </c>
      <c r="H23" s="153" t="s">
        <v>168</v>
      </c>
      <c r="I23" s="153" t="s">
        <v>201</v>
      </c>
      <c r="J23" s="154" t="s">
        <v>11</v>
      </c>
      <c r="N23" s="148" t="s">
        <v>75</v>
      </c>
      <c r="P23" s="171"/>
      <c r="Q23" s="171"/>
      <c r="R23" s="171"/>
      <c r="S23" s="171"/>
    </row>
    <row r="24" spans="1:19" x14ac:dyDescent="0.2">
      <c r="A24" s="155" t="s">
        <v>202</v>
      </c>
      <c r="B24" s="156">
        <f>120+133+146+272</f>
        <v>671</v>
      </c>
      <c r="C24" s="156">
        <f>60+27+46+69</f>
        <v>202</v>
      </c>
      <c r="D24" s="156">
        <f>15000+15000+11015+9072+15196+5000</f>
        <v>70283</v>
      </c>
      <c r="E24" s="156">
        <v>0</v>
      </c>
      <c r="F24" s="156">
        <v>0</v>
      </c>
      <c r="G24" s="156">
        <f>-50000-18545</f>
        <v>-68545</v>
      </c>
      <c r="H24" s="156">
        <f t="shared" ref="H24:J27" si="5">K9+B24+E24</f>
        <v>15674</v>
      </c>
      <c r="I24" s="156">
        <f t="shared" si="5"/>
        <v>12688</v>
      </c>
      <c r="J24" s="157">
        <f t="shared" si="5"/>
        <v>2509802</v>
      </c>
      <c r="N24" s="148" t="s">
        <v>75</v>
      </c>
      <c r="P24" s="171"/>
      <c r="Q24" s="171"/>
      <c r="R24" s="171"/>
      <c r="S24" s="171"/>
    </row>
    <row r="25" spans="1:19" x14ac:dyDescent="0.2">
      <c r="A25" s="158" t="s">
        <v>203</v>
      </c>
      <c r="B25" s="124">
        <f>283+243+886</f>
        <v>1412</v>
      </c>
      <c r="C25" s="124">
        <f>77+100+221</f>
        <v>398</v>
      </c>
      <c r="D25" s="124">
        <f>17406+15910+28504</f>
        <v>61820</v>
      </c>
      <c r="E25" s="124">
        <v>0</v>
      </c>
      <c r="F25" s="124">
        <v>0</v>
      </c>
      <c r="G25" s="124">
        <f>-22455-4231</f>
        <v>-26686</v>
      </c>
      <c r="H25" s="124">
        <f t="shared" si="5"/>
        <v>25738</v>
      </c>
      <c r="I25" s="124">
        <f t="shared" si="5"/>
        <v>22884</v>
      </c>
      <c r="J25" s="114">
        <f t="shared" si="5"/>
        <v>2995794</v>
      </c>
      <c r="N25" s="148" t="s">
        <v>75</v>
      </c>
      <c r="P25" s="171"/>
      <c r="Q25" s="171"/>
      <c r="R25" s="171"/>
      <c r="S25" s="171"/>
    </row>
    <row r="26" spans="1:19" x14ac:dyDescent="0.2">
      <c r="A26" s="158" t="s">
        <v>71</v>
      </c>
      <c r="B26" s="124">
        <v>4</v>
      </c>
      <c r="C26" s="124">
        <v>2</v>
      </c>
      <c r="D26" s="124">
        <f>11000+26232-5000</f>
        <v>32232</v>
      </c>
      <c r="E26" s="124">
        <v>0</v>
      </c>
      <c r="F26" s="124">
        <v>0</v>
      </c>
      <c r="G26" s="124">
        <v>0</v>
      </c>
      <c r="H26" s="124">
        <f t="shared" si="5"/>
        <v>417</v>
      </c>
      <c r="I26" s="124">
        <f t="shared" si="5"/>
        <v>257</v>
      </c>
      <c r="J26" s="114">
        <f t="shared" si="5"/>
        <v>1114532</v>
      </c>
      <c r="N26" s="148" t="s">
        <v>75</v>
      </c>
      <c r="P26" s="171"/>
      <c r="Q26" s="171"/>
      <c r="R26" s="171"/>
      <c r="S26" s="171"/>
    </row>
    <row r="27" spans="1:19" x14ac:dyDescent="0.2">
      <c r="A27" s="159" t="s">
        <v>110</v>
      </c>
      <c r="B27" s="160">
        <v>0</v>
      </c>
      <c r="C27" s="160">
        <v>0</v>
      </c>
      <c r="D27" s="160">
        <f>2000</f>
        <v>2000</v>
      </c>
      <c r="E27" s="160">
        <v>0</v>
      </c>
      <c r="F27" s="160">
        <v>0</v>
      </c>
      <c r="G27" s="160">
        <v>-5500</v>
      </c>
      <c r="H27" s="160">
        <f t="shared" si="5"/>
        <v>1293</v>
      </c>
      <c r="I27" s="160">
        <f t="shared" si="5"/>
        <v>1044</v>
      </c>
      <c r="J27" s="161">
        <f t="shared" si="5"/>
        <v>211022</v>
      </c>
      <c r="N27" s="148" t="s">
        <v>75</v>
      </c>
      <c r="P27" s="171"/>
      <c r="Q27" s="171"/>
      <c r="R27" s="171"/>
      <c r="S27" s="171"/>
    </row>
    <row r="28" spans="1:19" ht="15" x14ac:dyDescent="0.25">
      <c r="A28" s="162" t="s">
        <v>204</v>
      </c>
      <c r="B28" s="163">
        <f t="shared" ref="B28:J28" si="6">SUM(B24:B27)</f>
        <v>2087</v>
      </c>
      <c r="C28" s="163">
        <f t="shared" si="6"/>
        <v>602</v>
      </c>
      <c r="D28" s="163">
        <f t="shared" si="6"/>
        <v>166335</v>
      </c>
      <c r="E28" s="163">
        <f t="shared" si="6"/>
        <v>0</v>
      </c>
      <c r="F28" s="163">
        <f t="shared" si="6"/>
        <v>0</v>
      </c>
      <c r="G28" s="163">
        <f t="shared" si="6"/>
        <v>-100731</v>
      </c>
      <c r="H28" s="163">
        <f t="shared" si="6"/>
        <v>43122</v>
      </c>
      <c r="I28" s="163">
        <f t="shared" si="6"/>
        <v>36873</v>
      </c>
      <c r="J28" s="164">
        <f t="shared" si="6"/>
        <v>6831150</v>
      </c>
      <c r="N28" s="148" t="s">
        <v>75</v>
      </c>
      <c r="P28" s="171"/>
      <c r="Q28" s="171"/>
      <c r="R28" s="171"/>
      <c r="S28" s="171"/>
    </row>
    <row r="29" spans="1:19" x14ac:dyDescent="0.2">
      <c r="A29" s="155" t="s">
        <v>7</v>
      </c>
      <c r="B29" s="156"/>
      <c r="C29" s="156">
        <v>0</v>
      </c>
      <c r="D29" s="156"/>
      <c r="E29" s="156"/>
      <c r="F29" s="156">
        <v>0</v>
      </c>
      <c r="G29" s="156"/>
      <c r="H29" s="156"/>
      <c r="I29" s="156">
        <f t="shared" ref="I29:I35" si="7">L14+C29+F29</f>
        <v>0</v>
      </c>
      <c r="J29" s="157"/>
      <c r="N29" s="148" t="s">
        <v>75</v>
      </c>
      <c r="P29" s="171"/>
      <c r="Q29" s="171"/>
      <c r="R29" s="171"/>
      <c r="S29" s="171"/>
    </row>
    <row r="30" spans="1:19" x14ac:dyDescent="0.2">
      <c r="A30" s="158" t="s">
        <v>207</v>
      </c>
      <c r="B30" s="124"/>
      <c r="C30" s="124">
        <f>C28+C29</f>
        <v>602</v>
      </c>
      <c r="D30" s="124"/>
      <c r="E30" s="124"/>
      <c r="F30" s="124">
        <f>F28+F29</f>
        <v>0</v>
      </c>
      <c r="G30" s="124"/>
      <c r="H30" s="124"/>
      <c r="I30" s="124">
        <f t="shared" si="7"/>
        <v>36873</v>
      </c>
      <c r="J30" s="114"/>
      <c r="N30" s="148" t="s">
        <v>75</v>
      </c>
      <c r="P30" s="171"/>
      <c r="Q30" s="171"/>
      <c r="R30" s="171"/>
      <c r="S30" s="171"/>
    </row>
    <row r="31" spans="1:19" x14ac:dyDescent="0.2">
      <c r="A31" s="158"/>
      <c r="B31" s="124"/>
      <c r="C31" s="124"/>
      <c r="D31" s="124"/>
      <c r="E31" s="124"/>
      <c r="F31" s="124"/>
      <c r="G31" s="124"/>
      <c r="H31" s="124"/>
      <c r="I31" s="124">
        <f t="shared" si="7"/>
        <v>0</v>
      </c>
      <c r="J31" s="114"/>
      <c r="N31" s="148" t="s">
        <v>75</v>
      </c>
      <c r="P31" s="171"/>
      <c r="Q31" s="171"/>
      <c r="R31" s="171"/>
      <c r="S31" s="171"/>
    </row>
    <row r="32" spans="1:19" x14ac:dyDescent="0.2">
      <c r="A32" s="158" t="s">
        <v>208</v>
      </c>
      <c r="B32" s="124"/>
      <c r="C32" s="124"/>
      <c r="D32" s="124"/>
      <c r="E32" s="124"/>
      <c r="F32" s="124"/>
      <c r="G32" s="124"/>
      <c r="H32" s="124"/>
      <c r="I32" s="124">
        <f t="shared" si="7"/>
        <v>0</v>
      </c>
      <c r="J32" s="114"/>
      <c r="N32" s="148" t="s">
        <v>75</v>
      </c>
      <c r="P32" s="171"/>
      <c r="Q32" s="171"/>
      <c r="R32" s="171"/>
      <c r="S32" s="171"/>
    </row>
    <row r="33" spans="1:19" x14ac:dyDescent="0.2">
      <c r="A33" s="165" t="s">
        <v>209</v>
      </c>
      <c r="B33" s="124"/>
      <c r="C33" s="124">
        <v>0</v>
      </c>
      <c r="D33" s="124"/>
      <c r="E33" s="124"/>
      <c r="F33" s="124">
        <v>0</v>
      </c>
      <c r="G33" s="124"/>
      <c r="H33" s="124"/>
      <c r="I33" s="124">
        <f t="shared" si="7"/>
        <v>0</v>
      </c>
      <c r="J33" s="114"/>
      <c r="N33" s="148" t="s">
        <v>75</v>
      </c>
      <c r="P33" s="171"/>
      <c r="Q33" s="171"/>
      <c r="R33" s="171"/>
      <c r="S33" s="171"/>
    </row>
    <row r="34" spans="1:19" x14ac:dyDescent="0.2">
      <c r="A34" s="166" t="s">
        <v>210</v>
      </c>
      <c r="B34" s="160"/>
      <c r="C34" s="160">
        <v>0</v>
      </c>
      <c r="D34" s="160"/>
      <c r="E34" s="160"/>
      <c r="F34" s="160">
        <v>0</v>
      </c>
      <c r="G34" s="160"/>
      <c r="H34" s="160"/>
      <c r="I34" s="160">
        <f t="shared" si="7"/>
        <v>0</v>
      </c>
      <c r="J34" s="161"/>
      <c r="N34" s="148" t="s">
        <v>75</v>
      </c>
      <c r="P34" s="171"/>
      <c r="Q34" s="171"/>
      <c r="R34" s="171"/>
      <c r="S34" s="171"/>
    </row>
    <row r="35" spans="1:19" ht="15" thickBot="1" x14ac:dyDescent="0.25">
      <c r="A35" s="167" t="s">
        <v>211</v>
      </c>
      <c r="B35" s="168"/>
      <c r="C35" s="168">
        <f>C30+C33+C34</f>
        <v>602</v>
      </c>
      <c r="D35" s="168"/>
      <c r="E35" s="168"/>
      <c r="F35" s="168">
        <f>F30+F33+F34</f>
        <v>0</v>
      </c>
      <c r="G35" s="168"/>
      <c r="H35" s="168"/>
      <c r="I35" s="168">
        <f t="shared" si="7"/>
        <v>36873</v>
      </c>
      <c r="J35" s="169"/>
      <c r="N35" s="148" t="s">
        <v>75</v>
      </c>
      <c r="P35" s="171"/>
      <c r="Q35" s="171"/>
      <c r="R35" s="171"/>
      <c r="S35" s="171"/>
    </row>
    <row r="36" spans="1:19" x14ac:dyDescent="0.2">
      <c r="A36" s="103" t="s">
        <v>277</v>
      </c>
      <c r="N36" s="102" t="s">
        <v>76</v>
      </c>
      <c r="P36" s="171"/>
      <c r="Q36" s="171"/>
      <c r="R36" s="171"/>
      <c r="S36" s="171"/>
    </row>
    <row r="37" spans="1:19" x14ac:dyDescent="0.2">
      <c r="P37" s="171"/>
      <c r="Q37" s="171"/>
      <c r="R37" s="171"/>
      <c r="S37" s="171"/>
    </row>
    <row r="38" spans="1:19" x14ac:dyDescent="0.2">
      <c r="P38" s="171"/>
      <c r="Q38" s="171"/>
      <c r="R38" s="171"/>
      <c r="S38" s="171"/>
    </row>
    <row r="39" spans="1:19" x14ac:dyDescent="0.2">
      <c r="P39" s="171"/>
      <c r="Q39" s="171"/>
      <c r="R39" s="171"/>
      <c r="S39" s="171"/>
    </row>
    <row r="40" spans="1:19" x14ac:dyDescent="0.2">
      <c r="P40" s="171"/>
      <c r="Q40" s="171"/>
      <c r="R40" s="171"/>
      <c r="S40" s="171"/>
    </row>
    <row r="41" spans="1:19" x14ac:dyDescent="0.2">
      <c r="P41" s="171"/>
      <c r="Q41" s="171"/>
      <c r="R41" s="171"/>
      <c r="S41" s="171"/>
    </row>
    <row r="42" spans="1:19" x14ac:dyDescent="0.2">
      <c r="P42" s="171"/>
      <c r="Q42" s="171"/>
      <c r="R42" s="171"/>
      <c r="S42" s="171"/>
    </row>
    <row r="43" spans="1:19" x14ac:dyDescent="0.2">
      <c r="P43" s="171"/>
      <c r="Q43" s="171"/>
      <c r="R43" s="171"/>
      <c r="S43" s="171"/>
    </row>
    <row r="44" spans="1:19" x14ac:dyDescent="0.2">
      <c r="P44" s="171"/>
      <c r="Q44" s="171"/>
      <c r="R44" s="171"/>
      <c r="S44" s="171"/>
    </row>
    <row r="45" spans="1:19" x14ac:dyDescent="0.2">
      <c r="P45" s="171"/>
      <c r="Q45" s="171"/>
      <c r="R45" s="171"/>
      <c r="S45" s="171"/>
    </row>
    <row r="46" spans="1:19" x14ac:dyDescent="0.2">
      <c r="P46" s="171"/>
      <c r="Q46" s="171"/>
      <c r="R46" s="171"/>
      <c r="S46" s="171"/>
    </row>
  </sheetData>
  <mergeCells count="15">
    <mergeCell ref="A22:A23"/>
    <mergeCell ref="B22:D22"/>
    <mergeCell ref="E22:G22"/>
    <mergeCell ref="H22:J22"/>
    <mergeCell ref="A1:M1"/>
    <mergeCell ref="A2:M2"/>
    <mergeCell ref="A3:M3"/>
    <mergeCell ref="A4:M4"/>
    <mergeCell ref="A5:M5"/>
    <mergeCell ref="A6:M6"/>
    <mergeCell ref="A7:A8"/>
    <mergeCell ref="B7:D7"/>
    <mergeCell ref="E7:G7"/>
    <mergeCell ref="H7:J7"/>
    <mergeCell ref="K7:M7"/>
  </mergeCells>
  <pageMargins left="0.7" right="0.7" top="0.75" bottom="0.75" header="0.3" footer="0.3"/>
  <pageSetup scale="77" orientation="landscape" r:id="rId1"/>
  <headerFooter>
    <oddHeader>&amp;L&amp;"Arial,Bold"B. Summary of Requirements</oddHeader>
    <oddFooter>&amp;CExhibit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view="pageBreakPreview" topLeftCell="A16" zoomScale="80" zoomScaleNormal="100" zoomScaleSheetLayoutView="80" workbookViewId="0">
      <selection activeCell="A32" sqref="A32"/>
    </sheetView>
  </sheetViews>
  <sheetFormatPr defaultRowHeight="14.25" x14ac:dyDescent="0.2"/>
  <cols>
    <col min="1" max="1" width="40.6640625" style="479" customWidth="1"/>
    <col min="2" max="2" width="27.109375" style="479" bestFit="1" customWidth="1"/>
    <col min="3" max="5" width="6.77734375" style="479" customWidth="1"/>
    <col min="6" max="6" width="9.88671875" style="479" customWidth="1"/>
    <col min="7" max="9" width="6.77734375" style="479" customWidth="1"/>
    <col min="10" max="10" width="9.88671875" style="479" customWidth="1"/>
    <col min="11" max="13" width="6.77734375" style="479" customWidth="1"/>
    <col min="14" max="14" width="9.88671875" style="479" customWidth="1"/>
    <col min="15" max="15" width="10.88671875" style="500" bestFit="1" customWidth="1"/>
    <col min="16" max="16" width="3.5546875" style="479" customWidth="1"/>
    <col min="17" max="18" width="6.44140625" style="479" customWidth="1"/>
    <col min="19" max="19" width="9.88671875" style="479" customWidth="1"/>
    <col min="20" max="21" width="6.44140625" style="479" customWidth="1"/>
    <col min="22" max="22" width="9.88671875" style="479" customWidth="1"/>
    <col min="23" max="16384" width="8.88671875" style="479"/>
  </cols>
  <sheetData>
    <row r="1" spans="1:22" ht="18" x14ac:dyDescent="0.25">
      <c r="A1" s="550" t="s">
        <v>327</v>
      </c>
      <c r="B1" s="550"/>
      <c r="C1" s="550"/>
      <c r="D1" s="550"/>
      <c r="E1" s="550"/>
      <c r="F1" s="550"/>
      <c r="G1" s="550"/>
      <c r="H1" s="550"/>
      <c r="I1" s="550"/>
      <c r="J1" s="550"/>
      <c r="K1" s="550"/>
      <c r="L1" s="550"/>
      <c r="M1" s="550"/>
      <c r="N1" s="550"/>
      <c r="O1" s="477" t="s">
        <v>75</v>
      </c>
      <c r="P1" s="478"/>
      <c r="Q1" s="478"/>
      <c r="R1" s="478"/>
      <c r="S1" s="478"/>
      <c r="T1" s="478"/>
      <c r="U1" s="478"/>
      <c r="V1" s="478"/>
    </row>
    <row r="2" spans="1:22" ht="18" x14ac:dyDescent="0.25">
      <c r="A2" s="551" t="s">
        <v>388</v>
      </c>
      <c r="B2" s="551"/>
      <c r="C2" s="551"/>
      <c r="D2" s="551"/>
      <c r="E2" s="551"/>
      <c r="F2" s="551"/>
      <c r="G2" s="551"/>
      <c r="H2" s="551"/>
      <c r="I2" s="551"/>
      <c r="J2" s="551"/>
      <c r="K2" s="551"/>
      <c r="L2" s="551"/>
      <c r="M2" s="551"/>
      <c r="N2" s="551"/>
      <c r="O2" s="477" t="s">
        <v>75</v>
      </c>
      <c r="P2" s="480"/>
      <c r="Q2" s="480"/>
      <c r="R2" s="480"/>
      <c r="S2" s="480"/>
      <c r="T2" s="480"/>
      <c r="U2" s="480"/>
      <c r="V2" s="480"/>
    </row>
    <row r="3" spans="1:22" ht="18" x14ac:dyDescent="0.25">
      <c r="A3" s="552" t="s">
        <v>18</v>
      </c>
      <c r="B3" s="552"/>
      <c r="C3" s="552"/>
      <c r="D3" s="552"/>
      <c r="E3" s="552"/>
      <c r="F3" s="552"/>
      <c r="G3" s="552"/>
      <c r="H3" s="552"/>
      <c r="I3" s="552"/>
      <c r="J3" s="552"/>
      <c r="K3" s="552"/>
      <c r="L3" s="552"/>
      <c r="M3" s="552"/>
      <c r="N3" s="552"/>
      <c r="O3" s="477" t="s">
        <v>75</v>
      </c>
      <c r="P3" s="481"/>
      <c r="Q3" s="481"/>
      <c r="R3" s="481"/>
      <c r="S3" s="481"/>
      <c r="T3" s="481"/>
      <c r="U3" s="481"/>
      <c r="V3" s="481"/>
    </row>
    <row r="4" spans="1:22" ht="18" x14ac:dyDescent="0.25">
      <c r="A4" s="553" t="s">
        <v>41</v>
      </c>
      <c r="B4" s="553"/>
      <c r="C4" s="553"/>
      <c r="D4" s="553"/>
      <c r="E4" s="553"/>
      <c r="F4" s="553"/>
      <c r="G4" s="553"/>
      <c r="H4" s="553"/>
      <c r="I4" s="553"/>
      <c r="J4" s="553"/>
      <c r="K4" s="553"/>
      <c r="L4" s="553"/>
      <c r="M4" s="553"/>
      <c r="N4" s="553"/>
      <c r="O4" s="477" t="s">
        <v>75</v>
      </c>
      <c r="P4" s="482"/>
      <c r="Q4" s="482"/>
      <c r="R4" s="482"/>
      <c r="S4" s="482"/>
      <c r="T4" s="482"/>
      <c r="U4" s="482"/>
      <c r="V4" s="482"/>
    </row>
    <row r="5" spans="1:22" ht="18.75" thickBot="1" x14ac:dyDescent="0.3">
      <c r="A5" s="554"/>
      <c r="B5" s="554"/>
      <c r="C5" s="554"/>
      <c r="D5" s="554"/>
      <c r="E5" s="554"/>
      <c r="F5" s="554"/>
      <c r="G5" s="554"/>
      <c r="H5" s="554"/>
      <c r="I5" s="554"/>
      <c r="J5" s="554"/>
      <c r="K5" s="555"/>
      <c r="L5" s="555"/>
      <c r="M5" s="555"/>
      <c r="N5" s="555"/>
      <c r="O5" s="477" t="s">
        <v>75</v>
      </c>
      <c r="P5" s="482"/>
      <c r="Q5" s="482"/>
      <c r="R5" s="482"/>
      <c r="S5" s="482"/>
      <c r="T5" s="482"/>
      <c r="U5" s="482"/>
      <c r="V5" s="482"/>
    </row>
    <row r="6" spans="1:22" ht="33.75" customHeight="1" x14ac:dyDescent="0.25">
      <c r="A6" s="544" t="s">
        <v>83</v>
      </c>
      <c r="B6" s="546" t="s">
        <v>322</v>
      </c>
      <c r="C6" s="548" t="s">
        <v>202</v>
      </c>
      <c r="D6" s="548"/>
      <c r="E6" s="548"/>
      <c r="F6" s="548"/>
      <c r="G6" s="548" t="s">
        <v>203</v>
      </c>
      <c r="H6" s="548"/>
      <c r="I6" s="548"/>
      <c r="J6" s="549"/>
      <c r="K6" s="483"/>
      <c r="L6" s="483"/>
      <c r="M6" s="483"/>
      <c r="N6" s="484"/>
      <c r="O6" s="477" t="s">
        <v>75</v>
      </c>
    </row>
    <row r="7" spans="1:22" ht="28.5" x14ac:dyDescent="0.25">
      <c r="A7" s="545"/>
      <c r="B7" s="547"/>
      <c r="C7" s="485" t="s">
        <v>168</v>
      </c>
      <c r="D7" s="485" t="s">
        <v>389</v>
      </c>
      <c r="E7" s="485" t="s">
        <v>201</v>
      </c>
      <c r="F7" s="485" t="s">
        <v>11</v>
      </c>
      <c r="G7" s="485" t="s">
        <v>168</v>
      </c>
      <c r="H7" s="485" t="s">
        <v>389</v>
      </c>
      <c r="I7" s="485" t="s">
        <v>201</v>
      </c>
      <c r="J7" s="486" t="s">
        <v>11</v>
      </c>
      <c r="K7" s="487"/>
      <c r="L7" s="487"/>
      <c r="M7" s="487"/>
      <c r="N7" s="484"/>
      <c r="O7" s="477" t="s">
        <v>75</v>
      </c>
    </row>
    <row r="8" spans="1:22" ht="18" x14ac:dyDescent="0.25">
      <c r="A8" s="505" t="s">
        <v>326</v>
      </c>
      <c r="B8" s="502" t="s">
        <v>321</v>
      </c>
      <c r="C8" s="488">
        <v>272</v>
      </c>
      <c r="D8" s="488">
        <v>28</v>
      </c>
      <c r="E8" s="488">
        <v>69</v>
      </c>
      <c r="F8" s="488">
        <v>15196</v>
      </c>
      <c r="G8" s="488">
        <v>886</v>
      </c>
      <c r="H8" s="488">
        <v>721</v>
      </c>
      <c r="I8" s="488">
        <v>221</v>
      </c>
      <c r="J8" s="489">
        <v>28504</v>
      </c>
      <c r="K8" s="490"/>
      <c r="L8" s="490"/>
      <c r="M8" s="490"/>
      <c r="N8" s="490"/>
      <c r="O8" s="477" t="s">
        <v>75</v>
      </c>
    </row>
    <row r="9" spans="1:22" ht="18" x14ac:dyDescent="0.25">
      <c r="A9" s="506" t="s">
        <v>325</v>
      </c>
      <c r="B9" s="503" t="s">
        <v>321</v>
      </c>
      <c r="C9" s="491">
        <v>146</v>
      </c>
      <c r="D9" s="491">
        <v>25</v>
      </c>
      <c r="E9" s="491">
        <v>46</v>
      </c>
      <c r="F9" s="491">
        <v>9072</v>
      </c>
      <c r="G9" s="491">
        <v>243</v>
      </c>
      <c r="H9" s="491">
        <v>163</v>
      </c>
      <c r="I9" s="491">
        <v>100</v>
      </c>
      <c r="J9" s="492">
        <v>15910</v>
      </c>
      <c r="K9" s="490"/>
      <c r="L9" s="490"/>
      <c r="M9" s="490"/>
      <c r="N9" s="490"/>
      <c r="O9" s="477" t="s">
        <v>75</v>
      </c>
    </row>
    <row r="10" spans="1:22" ht="18" x14ac:dyDescent="0.25">
      <c r="A10" s="506" t="s">
        <v>324</v>
      </c>
      <c r="B10" s="503" t="s">
        <v>321</v>
      </c>
      <c r="C10" s="491">
        <v>133</v>
      </c>
      <c r="D10" s="491">
        <v>17</v>
      </c>
      <c r="E10" s="491">
        <v>27</v>
      </c>
      <c r="F10" s="491">
        <v>11015</v>
      </c>
      <c r="G10" s="491">
        <v>283</v>
      </c>
      <c r="H10" s="491">
        <v>201</v>
      </c>
      <c r="I10" s="491">
        <v>77</v>
      </c>
      <c r="J10" s="492">
        <v>17406</v>
      </c>
      <c r="K10" s="490"/>
      <c r="L10" s="490"/>
      <c r="M10" s="490"/>
      <c r="N10" s="490"/>
      <c r="O10" s="477" t="s">
        <v>75</v>
      </c>
    </row>
    <row r="11" spans="1:22" ht="18" x14ac:dyDescent="0.25">
      <c r="A11" s="506" t="s">
        <v>323</v>
      </c>
      <c r="B11" s="503" t="s">
        <v>91</v>
      </c>
      <c r="C11" s="491">
        <v>0</v>
      </c>
      <c r="D11" s="491">
        <v>0</v>
      </c>
      <c r="E11" s="491">
        <v>0</v>
      </c>
      <c r="F11" s="491">
        <v>0</v>
      </c>
      <c r="G11" s="491">
        <v>0</v>
      </c>
      <c r="H11" s="491">
        <v>0</v>
      </c>
      <c r="I11" s="491">
        <v>0</v>
      </c>
      <c r="J11" s="492">
        <v>0</v>
      </c>
      <c r="K11" s="490"/>
      <c r="L11" s="490"/>
      <c r="M11" s="490"/>
      <c r="N11" s="490"/>
      <c r="O11" s="477" t="s">
        <v>75</v>
      </c>
    </row>
    <row r="12" spans="1:22" ht="18" x14ac:dyDescent="0.25">
      <c r="A12" s="506" t="s">
        <v>237</v>
      </c>
      <c r="B12" s="503" t="s">
        <v>320</v>
      </c>
      <c r="C12" s="491">
        <v>120</v>
      </c>
      <c r="D12" s="491">
        <v>0</v>
      </c>
      <c r="E12" s="491">
        <v>60</v>
      </c>
      <c r="F12" s="491">
        <v>15000</v>
      </c>
      <c r="G12" s="491">
        <v>0</v>
      </c>
      <c r="H12" s="491">
        <v>0</v>
      </c>
      <c r="I12" s="491">
        <v>0</v>
      </c>
      <c r="J12" s="492">
        <v>0</v>
      </c>
      <c r="K12" s="490"/>
      <c r="L12" s="490"/>
      <c r="M12" s="490"/>
      <c r="N12" s="490"/>
      <c r="O12" s="477" t="s">
        <v>75</v>
      </c>
    </row>
    <row r="13" spans="1:22" ht="18" x14ac:dyDescent="0.25">
      <c r="A13" s="507" t="s">
        <v>238</v>
      </c>
      <c r="B13" s="504" t="s">
        <v>320</v>
      </c>
      <c r="C13" s="493">
        <v>0</v>
      </c>
      <c r="D13" s="493">
        <v>0</v>
      </c>
      <c r="E13" s="493">
        <v>0</v>
      </c>
      <c r="F13" s="493">
        <v>20000</v>
      </c>
      <c r="G13" s="493">
        <v>0</v>
      </c>
      <c r="H13" s="493">
        <v>0</v>
      </c>
      <c r="I13" s="493">
        <v>0</v>
      </c>
      <c r="J13" s="494">
        <v>0</v>
      </c>
      <c r="K13" s="490"/>
      <c r="L13" s="490"/>
      <c r="M13" s="490"/>
      <c r="N13" s="490"/>
      <c r="O13" s="477" t="s">
        <v>75</v>
      </c>
    </row>
    <row r="14" spans="1:22" ht="18.75" thickBot="1" x14ac:dyDescent="0.3">
      <c r="A14" s="495" t="s">
        <v>12</v>
      </c>
      <c r="B14" s="496"/>
      <c r="C14" s="497">
        <f>SUM(C8:C13)</f>
        <v>671</v>
      </c>
      <c r="D14" s="497">
        <f>SUM(D8:D13)</f>
        <v>70</v>
      </c>
      <c r="E14" s="497">
        <f t="shared" ref="E14:F14" si="0">SUM(E8:E13)</f>
        <v>202</v>
      </c>
      <c r="F14" s="497">
        <f t="shared" si="0"/>
        <v>70283</v>
      </c>
      <c r="G14" s="497">
        <f>SUM(G8:G13)</f>
        <v>1412</v>
      </c>
      <c r="H14" s="497">
        <f>SUM(H8:H13)</f>
        <v>1085</v>
      </c>
      <c r="I14" s="497">
        <f t="shared" ref="I14:J14" si="1">SUM(I8:I13)</f>
        <v>398</v>
      </c>
      <c r="J14" s="498">
        <f t="shared" si="1"/>
        <v>61820</v>
      </c>
      <c r="K14" s="499"/>
      <c r="L14" s="499"/>
      <c r="M14" s="499"/>
      <c r="N14" s="499"/>
      <c r="O14" s="477" t="s">
        <v>75</v>
      </c>
    </row>
    <row r="15" spans="1:22" ht="18.75" thickBot="1" x14ac:dyDescent="0.3">
      <c r="O15" s="477" t="s">
        <v>75</v>
      </c>
    </row>
    <row r="16" spans="1:22" ht="33.75" customHeight="1" x14ac:dyDescent="0.25">
      <c r="A16" s="544" t="s">
        <v>83</v>
      </c>
      <c r="B16" s="546" t="s">
        <v>322</v>
      </c>
      <c r="C16" s="548" t="s">
        <v>71</v>
      </c>
      <c r="D16" s="548"/>
      <c r="E16" s="548"/>
      <c r="F16" s="548"/>
      <c r="G16" s="548" t="s">
        <v>110</v>
      </c>
      <c r="H16" s="548"/>
      <c r="I16" s="548"/>
      <c r="J16" s="548"/>
      <c r="K16" s="548" t="s">
        <v>107</v>
      </c>
      <c r="L16" s="548"/>
      <c r="M16" s="548"/>
      <c r="N16" s="548"/>
      <c r="O16" s="477" t="s">
        <v>75</v>
      </c>
    </row>
    <row r="17" spans="1:15" ht="28.5" x14ac:dyDescent="0.25">
      <c r="A17" s="545"/>
      <c r="B17" s="547"/>
      <c r="C17" s="485" t="s">
        <v>168</v>
      </c>
      <c r="D17" s="485" t="s">
        <v>389</v>
      </c>
      <c r="E17" s="485" t="s">
        <v>201</v>
      </c>
      <c r="F17" s="485" t="s">
        <v>11</v>
      </c>
      <c r="G17" s="485" t="s">
        <v>168</v>
      </c>
      <c r="H17" s="485" t="s">
        <v>389</v>
      </c>
      <c r="I17" s="485" t="s">
        <v>201</v>
      </c>
      <c r="J17" s="485" t="s">
        <v>11</v>
      </c>
      <c r="K17" s="485" t="s">
        <v>168</v>
      </c>
      <c r="L17" s="485" t="s">
        <v>389</v>
      </c>
      <c r="M17" s="485" t="s">
        <v>201</v>
      </c>
      <c r="N17" s="485" t="s">
        <v>11</v>
      </c>
      <c r="O17" s="477" t="s">
        <v>75</v>
      </c>
    </row>
    <row r="18" spans="1:15" ht="18" x14ac:dyDescent="0.25">
      <c r="A18" s="505" t="s">
        <v>326</v>
      </c>
      <c r="B18" s="502" t="s">
        <v>321</v>
      </c>
      <c r="C18" s="488">
        <v>0</v>
      </c>
      <c r="D18" s="488">
        <v>0</v>
      </c>
      <c r="E18" s="488">
        <v>0</v>
      </c>
      <c r="F18" s="488">
        <v>0</v>
      </c>
      <c r="G18" s="488">
        <v>0</v>
      </c>
      <c r="H18" s="488">
        <v>0</v>
      </c>
      <c r="I18" s="488">
        <v>0</v>
      </c>
      <c r="J18" s="488">
        <v>0</v>
      </c>
      <c r="K18" s="488">
        <f t="shared" ref="K18:N19" si="2">C8+G8+C18+G18</f>
        <v>1158</v>
      </c>
      <c r="L18" s="488">
        <f t="shared" si="2"/>
        <v>749</v>
      </c>
      <c r="M18" s="488">
        <f t="shared" si="2"/>
        <v>290</v>
      </c>
      <c r="N18" s="488">
        <f t="shared" si="2"/>
        <v>43700</v>
      </c>
      <c r="O18" s="477" t="s">
        <v>75</v>
      </c>
    </row>
    <row r="19" spans="1:15" ht="18" x14ac:dyDescent="0.25">
      <c r="A19" s="506" t="s">
        <v>325</v>
      </c>
      <c r="B19" s="503" t="s">
        <v>321</v>
      </c>
      <c r="C19" s="491">
        <v>0</v>
      </c>
      <c r="D19" s="491">
        <v>0</v>
      </c>
      <c r="E19" s="491">
        <v>0</v>
      </c>
      <c r="F19" s="491">
        <v>0</v>
      </c>
      <c r="G19" s="491">
        <v>0</v>
      </c>
      <c r="H19" s="491">
        <v>0</v>
      </c>
      <c r="I19" s="491">
        <v>0</v>
      </c>
      <c r="J19" s="491">
        <v>0</v>
      </c>
      <c r="K19" s="491">
        <f t="shared" si="2"/>
        <v>389</v>
      </c>
      <c r="L19" s="491">
        <f t="shared" si="2"/>
        <v>188</v>
      </c>
      <c r="M19" s="491">
        <f t="shared" si="2"/>
        <v>146</v>
      </c>
      <c r="N19" s="491">
        <f t="shared" si="2"/>
        <v>24982</v>
      </c>
      <c r="O19" s="477" t="s">
        <v>75</v>
      </c>
    </row>
    <row r="20" spans="1:15" ht="18" x14ac:dyDescent="0.25">
      <c r="A20" s="506" t="s">
        <v>324</v>
      </c>
      <c r="B20" s="503" t="s">
        <v>321</v>
      </c>
      <c r="C20" s="491">
        <v>0</v>
      </c>
      <c r="D20" s="491">
        <v>0</v>
      </c>
      <c r="E20" s="491">
        <v>0</v>
      </c>
      <c r="F20" s="491">
        <v>0</v>
      </c>
      <c r="G20" s="491">
        <v>0</v>
      </c>
      <c r="H20" s="491">
        <v>0</v>
      </c>
      <c r="I20" s="491">
        <v>0</v>
      </c>
      <c r="J20" s="491">
        <v>0</v>
      </c>
      <c r="K20" s="491">
        <f t="shared" ref="K20:N20" si="3">C10+G10+C20+G20</f>
        <v>416</v>
      </c>
      <c r="L20" s="491">
        <f t="shared" si="3"/>
        <v>218</v>
      </c>
      <c r="M20" s="491">
        <f t="shared" si="3"/>
        <v>104</v>
      </c>
      <c r="N20" s="491">
        <f t="shared" si="3"/>
        <v>28421</v>
      </c>
      <c r="O20" s="477" t="s">
        <v>75</v>
      </c>
    </row>
    <row r="21" spans="1:15" ht="18" x14ac:dyDescent="0.25">
      <c r="A21" s="506" t="s">
        <v>323</v>
      </c>
      <c r="B21" s="503" t="s">
        <v>91</v>
      </c>
      <c r="C21" s="491">
        <v>4</v>
      </c>
      <c r="D21" s="491">
        <v>0</v>
      </c>
      <c r="E21" s="491">
        <v>2</v>
      </c>
      <c r="F21" s="491">
        <v>26232</v>
      </c>
      <c r="G21" s="491">
        <v>0</v>
      </c>
      <c r="H21" s="491">
        <v>0</v>
      </c>
      <c r="I21" s="491">
        <v>0</v>
      </c>
      <c r="J21" s="491">
        <v>0</v>
      </c>
      <c r="K21" s="491">
        <f t="shared" ref="K21:N21" si="4">C11+G11+C21+G21</f>
        <v>4</v>
      </c>
      <c r="L21" s="491">
        <f t="shared" si="4"/>
        <v>0</v>
      </c>
      <c r="M21" s="491">
        <f t="shared" si="4"/>
        <v>2</v>
      </c>
      <c r="N21" s="491">
        <f t="shared" si="4"/>
        <v>26232</v>
      </c>
      <c r="O21" s="477" t="s">
        <v>75</v>
      </c>
    </row>
    <row r="22" spans="1:15" ht="18" x14ac:dyDescent="0.25">
      <c r="A22" s="506" t="s">
        <v>237</v>
      </c>
      <c r="B22" s="503" t="s">
        <v>320</v>
      </c>
      <c r="C22" s="491">
        <v>0</v>
      </c>
      <c r="D22" s="491">
        <v>0</v>
      </c>
      <c r="E22" s="491">
        <v>0</v>
      </c>
      <c r="F22" s="491">
        <v>0</v>
      </c>
      <c r="G22" s="491">
        <v>0</v>
      </c>
      <c r="H22" s="491">
        <v>0</v>
      </c>
      <c r="I22" s="491">
        <v>0</v>
      </c>
      <c r="J22" s="491">
        <v>0</v>
      </c>
      <c r="K22" s="491">
        <f t="shared" ref="K22:N23" si="5">C12+G12+C22+G22</f>
        <v>120</v>
      </c>
      <c r="L22" s="491">
        <f t="shared" si="5"/>
        <v>0</v>
      </c>
      <c r="M22" s="491">
        <f t="shared" si="5"/>
        <v>60</v>
      </c>
      <c r="N22" s="491">
        <f t="shared" si="5"/>
        <v>15000</v>
      </c>
      <c r="O22" s="477" t="s">
        <v>75</v>
      </c>
    </row>
    <row r="23" spans="1:15" ht="18" x14ac:dyDescent="0.25">
      <c r="A23" s="507" t="s">
        <v>238</v>
      </c>
      <c r="B23" s="504" t="s">
        <v>320</v>
      </c>
      <c r="C23" s="493">
        <v>0</v>
      </c>
      <c r="D23" s="493">
        <v>0</v>
      </c>
      <c r="E23" s="493">
        <v>0</v>
      </c>
      <c r="F23" s="493">
        <v>6000</v>
      </c>
      <c r="G23" s="493">
        <v>0</v>
      </c>
      <c r="H23" s="493">
        <v>0</v>
      </c>
      <c r="I23" s="493">
        <v>0</v>
      </c>
      <c r="J23" s="493">
        <v>2000</v>
      </c>
      <c r="K23" s="493">
        <f t="shared" si="5"/>
        <v>0</v>
      </c>
      <c r="L23" s="493">
        <f t="shared" si="5"/>
        <v>0</v>
      </c>
      <c r="M23" s="493">
        <f t="shared" si="5"/>
        <v>0</v>
      </c>
      <c r="N23" s="493">
        <f t="shared" si="5"/>
        <v>28000</v>
      </c>
      <c r="O23" s="477" t="s">
        <v>75</v>
      </c>
    </row>
    <row r="24" spans="1:15" ht="18.75" thickBot="1" x14ac:dyDescent="0.3">
      <c r="A24" s="495" t="s">
        <v>12</v>
      </c>
      <c r="B24" s="496"/>
      <c r="C24" s="497">
        <f>SUM(C18:C23)</f>
        <v>4</v>
      </c>
      <c r="D24" s="497">
        <f>SUM(D18:D23)</f>
        <v>0</v>
      </c>
      <c r="E24" s="497">
        <f t="shared" ref="E24:F24" si="6">SUM(E18:E23)</f>
        <v>2</v>
      </c>
      <c r="F24" s="497">
        <f t="shared" si="6"/>
        <v>32232</v>
      </c>
      <c r="G24" s="497">
        <f>SUM(G18:G23)</f>
        <v>0</v>
      </c>
      <c r="H24" s="497">
        <f>SUM(H18:H23)</f>
        <v>0</v>
      </c>
      <c r="I24" s="497">
        <f t="shared" ref="I24:J24" si="7">SUM(I18:I23)</f>
        <v>0</v>
      </c>
      <c r="J24" s="497">
        <f t="shared" si="7"/>
        <v>2000</v>
      </c>
      <c r="K24" s="497">
        <f>SUM(K18:K23)</f>
        <v>2087</v>
      </c>
      <c r="L24" s="497">
        <f t="shared" ref="L24:N24" si="8">SUM(L18:L23)</f>
        <v>1155</v>
      </c>
      <c r="M24" s="497">
        <f t="shared" si="8"/>
        <v>602</v>
      </c>
      <c r="N24" s="497">
        <f t="shared" si="8"/>
        <v>166335</v>
      </c>
      <c r="O24" s="477" t="s">
        <v>75</v>
      </c>
    </row>
    <row r="25" spans="1:15" ht="18.75" thickBot="1" x14ac:dyDescent="0.3">
      <c r="O25" s="477" t="s">
        <v>75</v>
      </c>
    </row>
    <row r="26" spans="1:15" ht="33.75" customHeight="1" x14ac:dyDescent="0.25">
      <c r="A26" s="544" t="s">
        <v>52</v>
      </c>
      <c r="B26" s="546" t="s">
        <v>322</v>
      </c>
      <c r="C26" s="556" t="s">
        <v>202</v>
      </c>
      <c r="D26" s="556"/>
      <c r="E26" s="556"/>
      <c r="F26" s="556"/>
      <c r="G26" s="556" t="s">
        <v>203</v>
      </c>
      <c r="H26" s="556"/>
      <c r="I26" s="556"/>
      <c r="J26" s="559"/>
      <c r="K26" s="483"/>
      <c r="L26" s="483"/>
      <c r="M26" s="483"/>
      <c r="N26" s="484"/>
      <c r="O26" s="477" t="s">
        <v>75</v>
      </c>
    </row>
    <row r="27" spans="1:15" ht="28.5" x14ac:dyDescent="0.25">
      <c r="A27" s="545"/>
      <c r="B27" s="547"/>
      <c r="C27" s="485" t="s">
        <v>168</v>
      </c>
      <c r="D27" s="485" t="s">
        <v>389</v>
      </c>
      <c r="E27" s="485" t="s">
        <v>201</v>
      </c>
      <c r="F27" s="485" t="s">
        <v>11</v>
      </c>
      <c r="G27" s="485" t="s">
        <v>168</v>
      </c>
      <c r="H27" s="485" t="s">
        <v>389</v>
      </c>
      <c r="I27" s="485" t="s">
        <v>201</v>
      </c>
      <c r="J27" s="486" t="s">
        <v>11</v>
      </c>
      <c r="K27" s="487"/>
      <c r="L27" s="487"/>
      <c r="M27" s="487"/>
      <c r="N27" s="484"/>
      <c r="O27" s="477" t="s">
        <v>75</v>
      </c>
    </row>
    <row r="28" spans="1:15" ht="18" x14ac:dyDescent="0.25">
      <c r="A28" s="505" t="s">
        <v>84</v>
      </c>
      <c r="B28" s="502" t="s">
        <v>90</v>
      </c>
      <c r="C28" s="488">
        <v>0</v>
      </c>
      <c r="D28" s="488">
        <v>0</v>
      </c>
      <c r="E28" s="488">
        <v>0</v>
      </c>
      <c r="F28" s="488">
        <v>0</v>
      </c>
      <c r="G28" s="488">
        <v>0</v>
      </c>
      <c r="H28" s="488">
        <v>0</v>
      </c>
      <c r="I28" s="488">
        <v>0</v>
      </c>
      <c r="J28" s="489">
        <v>-4231</v>
      </c>
      <c r="K28" s="490"/>
      <c r="L28" s="490"/>
      <c r="M28" s="490"/>
      <c r="N28" s="490"/>
      <c r="O28" s="477" t="s">
        <v>75</v>
      </c>
    </row>
    <row r="29" spans="1:15" ht="18" x14ac:dyDescent="0.25">
      <c r="A29" s="506" t="s">
        <v>239</v>
      </c>
      <c r="B29" s="503" t="s">
        <v>92</v>
      </c>
      <c r="C29" s="491">
        <v>0</v>
      </c>
      <c r="D29" s="491">
        <v>0</v>
      </c>
      <c r="E29" s="491">
        <v>0</v>
      </c>
      <c r="F29" s="491">
        <v>0</v>
      </c>
      <c r="G29" s="491">
        <v>0</v>
      </c>
      <c r="H29" s="491">
        <v>0</v>
      </c>
      <c r="I29" s="491">
        <v>0</v>
      </c>
      <c r="J29" s="492">
        <v>0</v>
      </c>
      <c r="K29" s="490"/>
      <c r="L29" s="490"/>
      <c r="M29" s="490"/>
      <c r="N29" s="490"/>
      <c r="O29" s="477" t="s">
        <v>75</v>
      </c>
    </row>
    <row r="30" spans="1:15" ht="18" x14ac:dyDescent="0.25">
      <c r="A30" s="506" t="s">
        <v>432</v>
      </c>
      <c r="B30" s="503" t="s">
        <v>321</v>
      </c>
      <c r="C30" s="491">
        <v>0</v>
      </c>
      <c r="D30" s="491">
        <v>0</v>
      </c>
      <c r="E30" s="491">
        <v>0</v>
      </c>
      <c r="F30" s="491">
        <v>-18545</v>
      </c>
      <c r="G30" s="491">
        <v>0</v>
      </c>
      <c r="H30" s="491">
        <v>0</v>
      </c>
      <c r="I30" s="491">
        <v>0</v>
      </c>
      <c r="J30" s="492">
        <v>-22455</v>
      </c>
      <c r="K30" s="490"/>
      <c r="L30" s="490"/>
      <c r="M30" s="490"/>
      <c r="N30" s="490"/>
      <c r="O30" s="477" t="s">
        <v>75</v>
      </c>
    </row>
    <row r="31" spans="1:15" ht="18" x14ac:dyDescent="0.25">
      <c r="A31" s="507" t="s">
        <v>433</v>
      </c>
      <c r="B31" s="504" t="s">
        <v>320</v>
      </c>
      <c r="C31" s="493">
        <v>0</v>
      </c>
      <c r="D31" s="493">
        <v>0</v>
      </c>
      <c r="E31" s="493">
        <v>0</v>
      </c>
      <c r="F31" s="493">
        <v>-50000</v>
      </c>
      <c r="G31" s="493">
        <v>0</v>
      </c>
      <c r="H31" s="493">
        <v>0</v>
      </c>
      <c r="I31" s="493">
        <v>0</v>
      </c>
      <c r="J31" s="494">
        <v>0</v>
      </c>
      <c r="K31" s="490"/>
      <c r="L31" s="490"/>
      <c r="M31" s="490"/>
      <c r="N31" s="490"/>
      <c r="O31" s="477" t="s">
        <v>75</v>
      </c>
    </row>
    <row r="32" spans="1:15" ht="18.75" thickBot="1" x14ac:dyDescent="0.3">
      <c r="A32" s="495" t="s">
        <v>319</v>
      </c>
      <c r="B32" s="496"/>
      <c r="C32" s="497">
        <f>SUM(C28:C31)</f>
        <v>0</v>
      </c>
      <c r="D32" s="497">
        <f>SUM(D28:D31)</f>
        <v>0</v>
      </c>
      <c r="E32" s="497">
        <f t="shared" ref="E32:F32" si="9">SUM(E28:E31)</f>
        <v>0</v>
      </c>
      <c r="F32" s="497">
        <f t="shared" si="9"/>
        <v>-68545</v>
      </c>
      <c r="G32" s="497">
        <f>SUM(G28:G31)</f>
        <v>0</v>
      </c>
      <c r="H32" s="497">
        <f>SUM(H28:H31)</f>
        <v>0</v>
      </c>
      <c r="I32" s="497">
        <f t="shared" ref="I32:J32" si="10">SUM(I28:I31)</f>
        <v>0</v>
      </c>
      <c r="J32" s="498">
        <f t="shared" si="10"/>
        <v>-26686</v>
      </c>
      <c r="K32" s="499"/>
      <c r="L32" s="499"/>
      <c r="M32" s="499"/>
      <c r="N32" s="499"/>
      <c r="O32" s="477" t="s">
        <v>75</v>
      </c>
    </row>
    <row r="33" spans="1:15" ht="18.75" thickBot="1" x14ac:dyDescent="0.3">
      <c r="O33" s="477" t="s">
        <v>75</v>
      </c>
    </row>
    <row r="34" spans="1:15" ht="33.75" customHeight="1" x14ac:dyDescent="0.25">
      <c r="A34" s="544" t="s">
        <v>52</v>
      </c>
      <c r="B34" s="546" t="s">
        <v>322</v>
      </c>
      <c r="C34" s="556" t="s">
        <v>71</v>
      </c>
      <c r="D34" s="556"/>
      <c r="E34" s="556"/>
      <c r="F34" s="556"/>
      <c r="G34" s="557" t="s">
        <v>110</v>
      </c>
      <c r="H34" s="556"/>
      <c r="I34" s="556"/>
      <c r="J34" s="556"/>
      <c r="K34" s="558" t="s">
        <v>13</v>
      </c>
      <c r="L34" s="548"/>
      <c r="M34" s="548"/>
      <c r="N34" s="548"/>
      <c r="O34" s="477" t="s">
        <v>75</v>
      </c>
    </row>
    <row r="35" spans="1:15" ht="28.5" x14ac:dyDescent="0.25">
      <c r="A35" s="545"/>
      <c r="B35" s="547"/>
      <c r="C35" s="485" t="s">
        <v>168</v>
      </c>
      <c r="D35" s="485" t="s">
        <v>389</v>
      </c>
      <c r="E35" s="485" t="s">
        <v>201</v>
      </c>
      <c r="F35" s="485" t="s">
        <v>11</v>
      </c>
      <c r="G35" s="485" t="s">
        <v>168</v>
      </c>
      <c r="H35" s="485" t="s">
        <v>389</v>
      </c>
      <c r="I35" s="485" t="s">
        <v>201</v>
      </c>
      <c r="J35" s="485" t="s">
        <v>11</v>
      </c>
      <c r="K35" s="485" t="s">
        <v>168</v>
      </c>
      <c r="L35" s="485" t="s">
        <v>389</v>
      </c>
      <c r="M35" s="485" t="s">
        <v>201</v>
      </c>
      <c r="N35" s="485" t="s">
        <v>11</v>
      </c>
      <c r="O35" s="477" t="s">
        <v>75</v>
      </c>
    </row>
    <row r="36" spans="1:15" ht="18" x14ac:dyDescent="0.25">
      <c r="A36" s="505" t="s">
        <v>84</v>
      </c>
      <c r="B36" s="502" t="s">
        <v>90</v>
      </c>
      <c r="C36" s="488">
        <v>0</v>
      </c>
      <c r="D36" s="488">
        <v>0</v>
      </c>
      <c r="E36" s="488">
        <v>0</v>
      </c>
      <c r="F36" s="488">
        <v>0</v>
      </c>
      <c r="G36" s="488">
        <v>0</v>
      </c>
      <c r="H36" s="488">
        <v>0</v>
      </c>
      <c r="I36" s="488">
        <v>0</v>
      </c>
      <c r="J36" s="488">
        <v>0</v>
      </c>
      <c r="K36" s="488">
        <f>C28+G28+C36+G36</f>
        <v>0</v>
      </c>
      <c r="L36" s="488">
        <f>D28+H28+D36+H36</f>
        <v>0</v>
      </c>
      <c r="M36" s="488">
        <f>E28+I28+E36+I36</f>
        <v>0</v>
      </c>
      <c r="N36" s="488">
        <f t="shared" ref="N36:N39" si="11">F28+J28+F36+J36</f>
        <v>-4231</v>
      </c>
      <c r="O36" s="477" t="s">
        <v>75</v>
      </c>
    </row>
    <row r="37" spans="1:15" ht="18" x14ac:dyDescent="0.25">
      <c r="A37" s="506" t="s">
        <v>239</v>
      </c>
      <c r="B37" s="503" t="s">
        <v>92</v>
      </c>
      <c r="C37" s="491">
        <v>0</v>
      </c>
      <c r="D37" s="491">
        <v>0</v>
      </c>
      <c r="E37" s="491">
        <v>0</v>
      </c>
      <c r="F37" s="491">
        <v>0</v>
      </c>
      <c r="G37" s="491">
        <v>0</v>
      </c>
      <c r="H37" s="491">
        <v>0</v>
      </c>
      <c r="I37" s="491">
        <v>0</v>
      </c>
      <c r="J37" s="491">
        <v>-5500</v>
      </c>
      <c r="K37" s="491">
        <f t="shared" ref="K37:M39" si="12">C29+G29+C37+G37</f>
        <v>0</v>
      </c>
      <c r="L37" s="491">
        <f t="shared" si="12"/>
        <v>0</v>
      </c>
      <c r="M37" s="491">
        <f t="shared" si="12"/>
        <v>0</v>
      </c>
      <c r="N37" s="491">
        <f t="shared" si="11"/>
        <v>-5500</v>
      </c>
      <c r="O37" s="477" t="s">
        <v>75</v>
      </c>
    </row>
    <row r="38" spans="1:15" ht="18" x14ac:dyDescent="0.25">
      <c r="A38" s="506" t="s">
        <v>240</v>
      </c>
      <c r="B38" s="503" t="s">
        <v>321</v>
      </c>
      <c r="C38" s="491">
        <v>0</v>
      </c>
      <c r="D38" s="491">
        <v>0</v>
      </c>
      <c r="E38" s="491">
        <v>0</v>
      </c>
      <c r="F38" s="491">
        <v>0</v>
      </c>
      <c r="G38" s="491">
        <v>0</v>
      </c>
      <c r="H38" s="491">
        <v>0</v>
      </c>
      <c r="I38" s="491">
        <v>0</v>
      </c>
      <c r="J38" s="491">
        <v>0</v>
      </c>
      <c r="K38" s="491">
        <f t="shared" si="12"/>
        <v>0</v>
      </c>
      <c r="L38" s="491">
        <f t="shared" si="12"/>
        <v>0</v>
      </c>
      <c r="M38" s="491">
        <f t="shared" si="12"/>
        <v>0</v>
      </c>
      <c r="N38" s="491">
        <f t="shared" si="11"/>
        <v>-41000</v>
      </c>
      <c r="O38" s="477" t="s">
        <v>75</v>
      </c>
    </row>
    <row r="39" spans="1:15" ht="18" x14ac:dyDescent="0.25">
      <c r="A39" s="507" t="s">
        <v>278</v>
      </c>
      <c r="B39" s="504" t="s">
        <v>320</v>
      </c>
      <c r="C39" s="493">
        <v>0</v>
      </c>
      <c r="D39" s="493">
        <v>0</v>
      </c>
      <c r="E39" s="493">
        <v>0</v>
      </c>
      <c r="F39" s="493">
        <v>0</v>
      </c>
      <c r="G39" s="493">
        <v>0</v>
      </c>
      <c r="H39" s="493">
        <v>0</v>
      </c>
      <c r="I39" s="493">
        <v>0</v>
      </c>
      <c r="J39" s="493">
        <v>0</v>
      </c>
      <c r="K39" s="493">
        <f t="shared" si="12"/>
        <v>0</v>
      </c>
      <c r="L39" s="493">
        <f t="shared" si="12"/>
        <v>0</v>
      </c>
      <c r="M39" s="493">
        <f t="shared" si="12"/>
        <v>0</v>
      </c>
      <c r="N39" s="493">
        <f t="shared" si="11"/>
        <v>-50000</v>
      </c>
      <c r="O39" s="477" t="s">
        <v>75</v>
      </c>
    </row>
    <row r="40" spans="1:15" ht="18.75" thickBot="1" x14ac:dyDescent="0.3">
      <c r="A40" s="495" t="s">
        <v>319</v>
      </c>
      <c r="B40" s="496"/>
      <c r="C40" s="497">
        <f>SUM(C36:C39)</f>
        <v>0</v>
      </c>
      <c r="D40" s="497">
        <f>SUM(D36:D39)</f>
        <v>0</v>
      </c>
      <c r="E40" s="497">
        <f t="shared" ref="E40:F40" si="13">SUM(E36:E39)</f>
        <v>0</v>
      </c>
      <c r="F40" s="497">
        <f t="shared" si="13"/>
        <v>0</v>
      </c>
      <c r="G40" s="497">
        <f>SUM(G36:G39)</f>
        <v>0</v>
      </c>
      <c r="H40" s="497">
        <f>SUM(H36:H39)</f>
        <v>0</v>
      </c>
      <c r="I40" s="497">
        <f t="shared" ref="I40:J40" si="14">SUM(I36:I39)</f>
        <v>0</v>
      </c>
      <c r="J40" s="497">
        <f t="shared" si="14"/>
        <v>-5500</v>
      </c>
      <c r="K40" s="497">
        <f>SUM(K36:K39)</f>
        <v>0</v>
      </c>
      <c r="L40" s="497">
        <f t="shared" ref="L40:N40" si="15">SUM(L36:L39)</f>
        <v>0</v>
      </c>
      <c r="M40" s="497">
        <f t="shared" si="15"/>
        <v>0</v>
      </c>
      <c r="N40" s="497">
        <f t="shared" si="15"/>
        <v>-100731</v>
      </c>
      <c r="O40" s="477" t="s">
        <v>75</v>
      </c>
    </row>
    <row r="41" spans="1:15" x14ac:dyDescent="0.2">
      <c r="O41" s="500" t="s">
        <v>76</v>
      </c>
    </row>
    <row r="42" spans="1:15" x14ac:dyDescent="0.2">
      <c r="B42" s="501"/>
    </row>
  </sheetData>
  <mergeCells count="23">
    <mergeCell ref="K16:N16"/>
    <mergeCell ref="A34:A35"/>
    <mergeCell ref="B34:B35"/>
    <mergeCell ref="C34:F34"/>
    <mergeCell ref="G34:J34"/>
    <mergeCell ref="K34:N34"/>
    <mergeCell ref="A26:A27"/>
    <mergeCell ref="B26:B27"/>
    <mergeCell ref="C26:F26"/>
    <mergeCell ref="G26:J26"/>
    <mergeCell ref="A1:N1"/>
    <mergeCell ref="A2:N2"/>
    <mergeCell ref="A3:N3"/>
    <mergeCell ref="A4:N4"/>
    <mergeCell ref="A5:N5"/>
    <mergeCell ref="A6:A7"/>
    <mergeCell ref="B6:B7"/>
    <mergeCell ref="C6:F6"/>
    <mergeCell ref="G6:J6"/>
    <mergeCell ref="A16:A17"/>
    <mergeCell ref="B16:B17"/>
    <mergeCell ref="C16:F16"/>
    <mergeCell ref="G16:J16"/>
  </mergeCells>
  <printOptions horizontalCentered="1"/>
  <pageMargins left="0.7" right="0.7" top="0.66" bottom="0.65" header="0.3" footer="0.3"/>
  <pageSetup scale="63"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topLeftCell="A9" zoomScale="80" zoomScaleNormal="100" zoomScaleSheetLayoutView="80" workbookViewId="0">
      <selection activeCell="B20" sqref="B20"/>
    </sheetView>
  </sheetViews>
  <sheetFormatPr defaultRowHeight="14.25" x14ac:dyDescent="0.2"/>
  <cols>
    <col min="1" max="1" width="5.77734375" style="316" bestFit="1" customWidth="1"/>
    <col min="2" max="2" width="45.21875" style="316" customWidth="1"/>
    <col min="3" max="3" width="6.77734375" style="316" customWidth="1"/>
    <col min="4" max="4" width="9.88671875" style="316" customWidth="1"/>
    <col min="5" max="5" width="6.77734375" style="316" customWidth="1"/>
    <col min="6" max="6" width="9.88671875" style="316" customWidth="1"/>
    <col min="7" max="7" width="6.77734375" style="316" customWidth="1"/>
    <col min="8" max="8" width="9.88671875" style="316" customWidth="1"/>
    <col min="9" max="9" width="6.77734375" style="316" customWidth="1"/>
    <col min="10" max="10" width="9.88671875" style="316" customWidth="1"/>
    <col min="11" max="11" width="6.77734375" style="316" customWidth="1"/>
    <col min="12" max="12" width="9.88671875" style="316" customWidth="1"/>
    <col min="13" max="13" width="6.77734375" style="316" customWidth="1"/>
    <col min="14" max="14" width="9.88671875" style="316" customWidth="1"/>
    <col min="15" max="15" width="10.88671875" style="317" bestFit="1" customWidth="1"/>
    <col min="16" max="16" width="3.5546875" style="316" customWidth="1"/>
    <col min="17" max="18" width="6.44140625" style="316" customWidth="1"/>
    <col min="19" max="19" width="9.88671875" style="316" customWidth="1"/>
    <col min="20" max="21" width="6.44140625" style="316" customWidth="1"/>
    <col min="22" max="22" width="9.88671875" style="316" customWidth="1"/>
    <col min="23" max="16384" width="8.88671875" style="316"/>
  </cols>
  <sheetData>
    <row r="1" spans="1:22" ht="18" x14ac:dyDescent="0.25">
      <c r="A1" s="560" t="s">
        <v>128</v>
      </c>
      <c r="B1" s="560"/>
      <c r="C1" s="560"/>
      <c r="D1" s="560"/>
      <c r="E1" s="560"/>
      <c r="F1" s="560"/>
      <c r="G1" s="560"/>
      <c r="H1" s="560"/>
      <c r="I1" s="560"/>
      <c r="J1" s="560"/>
      <c r="K1" s="560"/>
      <c r="L1" s="560"/>
      <c r="M1" s="560"/>
      <c r="N1" s="560"/>
      <c r="O1" s="319" t="s">
        <v>75</v>
      </c>
      <c r="P1" s="344"/>
      <c r="Q1" s="344"/>
      <c r="R1" s="344"/>
      <c r="S1" s="344"/>
      <c r="T1" s="344"/>
      <c r="U1" s="344"/>
      <c r="V1" s="344"/>
    </row>
    <row r="2" spans="1:22" ht="15" x14ac:dyDescent="0.2">
      <c r="A2" s="561" t="s">
        <v>17</v>
      </c>
      <c r="B2" s="561"/>
      <c r="C2" s="561"/>
      <c r="D2" s="561"/>
      <c r="E2" s="561"/>
      <c r="F2" s="561"/>
      <c r="G2" s="561"/>
      <c r="H2" s="561"/>
      <c r="I2" s="561"/>
      <c r="J2" s="561"/>
      <c r="K2" s="561"/>
      <c r="L2" s="561"/>
      <c r="M2" s="561"/>
      <c r="N2" s="561"/>
      <c r="O2" s="319" t="s">
        <v>75</v>
      </c>
      <c r="P2" s="343"/>
      <c r="Q2" s="343"/>
      <c r="R2" s="343"/>
      <c r="S2" s="343"/>
      <c r="T2" s="343"/>
      <c r="U2" s="343"/>
      <c r="V2" s="343"/>
    </row>
    <row r="3" spans="1:22" x14ac:dyDescent="0.2">
      <c r="A3" s="562" t="s">
        <v>18</v>
      </c>
      <c r="B3" s="562"/>
      <c r="C3" s="562"/>
      <c r="D3" s="562"/>
      <c r="E3" s="562"/>
      <c r="F3" s="562"/>
      <c r="G3" s="562"/>
      <c r="H3" s="562"/>
      <c r="I3" s="562"/>
      <c r="J3" s="562"/>
      <c r="K3" s="562"/>
      <c r="L3" s="562"/>
      <c r="M3" s="562"/>
      <c r="N3" s="562"/>
      <c r="O3" s="319" t="s">
        <v>75</v>
      </c>
      <c r="P3" s="342"/>
      <c r="Q3" s="342"/>
      <c r="R3" s="342"/>
      <c r="S3" s="342"/>
      <c r="T3" s="342"/>
      <c r="U3" s="342"/>
      <c r="V3" s="342"/>
    </row>
    <row r="4" spans="1:22" x14ac:dyDescent="0.2">
      <c r="A4" s="563" t="s">
        <v>41</v>
      </c>
      <c r="B4" s="563"/>
      <c r="C4" s="563"/>
      <c r="D4" s="563"/>
      <c r="E4" s="563"/>
      <c r="F4" s="563"/>
      <c r="G4" s="563"/>
      <c r="H4" s="563"/>
      <c r="I4" s="563"/>
      <c r="J4" s="563"/>
      <c r="K4" s="563"/>
      <c r="L4" s="563"/>
      <c r="M4" s="563"/>
      <c r="N4" s="563"/>
      <c r="O4" s="319" t="s">
        <v>75</v>
      </c>
      <c r="P4" s="341"/>
      <c r="Q4" s="341"/>
      <c r="R4" s="341"/>
      <c r="S4" s="341"/>
      <c r="T4" s="341"/>
      <c r="U4" s="341"/>
      <c r="V4" s="341"/>
    </row>
    <row r="5" spans="1:22" x14ac:dyDescent="0.2">
      <c r="A5" s="562"/>
      <c r="B5" s="562"/>
      <c r="C5" s="562"/>
      <c r="D5" s="562"/>
      <c r="E5" s="562"/>
      <c r="F5" s="562"/>
      <c r="G5" s="562"/>
      <c r="H5" s="562"/>
      <c r="I5" s="562"/>
      <c r="J5" s="562"/>
      <c r="K5" s="562"/>
      <c r="L5" s="562"/>
      <c r="M5" s="562"/>
      <c r="N5" s="562"/>
      <c r="O5" s="319" t="s">
        <v>75</v>
      </c>
      <c r="P5" s="341"/>
      <c r="Q5" s="341"/>
      <c r="R5" s="341"/>
      <c r="S5" s="341"/>
      <c r="T5" s="341"/>
      <c r="U5" s="341"/>
      <c r="V5" s="341"/>
    </row>
    <row r="6" spans="1:22" ht="15" thickBot="1" x14ac:dyDescent="0.25">
      <c r="A6" s="571"/>
      <c r="B6" s="571"/>
      <c r="C6" s="571"/>
      <c r="D6" s="571"/>
      <c r="E6" s="571"/>
      <c r="F6" s="571"/>
      <c r="G6" s="571"/>
      <c r="H6" s="571"/>
      <c r="I6" s="571"/>
      <c r="J6" s="571"/>
      <c r="K6" s="571"/>
      <c r="L6" s="571"/>
      <c r="M6" s="571"/>
      <c r="N6" s="571"/>
      <c r="O6" s="319" t="s">
        <v>75</v>
      </c>
      <c r="P6" s="341"/>
      <c r="Q6" s="341"/>
      <c r="R6" s="341"/>
      <c r="S6" s="341"/>
      <c r="T6" s="341"/>
      <c r="U6" s="341"/>
      <c r="V6" s="341"/>
    </row>
    <row r="7" spans="1:22" ht="33.75" customHeight="1" x14ac:dyDescent="0.2">
      <c r="A7" s="567" t="s">
        <v>129</v>
      </c>
      <c r="B7" s="568"/>
      <c r="C7" s="565" t="s">
        <v>241</v>
      </c>
      <c r="D7" s="565"/>
      <c r="E7" s="565" t="s">
        <v>307</v>
      </c>
      <c r="F7" s="565"/>
      <c r="G7" s="565" t="s">
        <v>113</v>
      </c>
      <c r="H7" s="565"/>
      <c r="I7" s="565" t="s">
        <v>115</v>
      </c>
      <c r="J7" s="565"/>
      <c r="K7" s="565" t="s">
        <v>116</v>
      </c>
      <c r="L7" s="565"/>
      <c r="M7" s="565" t="s">
        <v>114</v>
      </c>
      <c r="N7" s="566"/>
      <c r="O7" s="319" t="s">
        <v>75</v>
      </c>
    </row>
    <row r="8" spans="1:22" ht="42.75" x14ac:dyDescent="0.2">
      <c r="A8" s="569"/>
      <c r="B8" s="570"/>
      <c r="C8" s="340" t="s">
        <v>306</v>
      </c>
      <c r="D8" s="340" t="s">
        <v>305</v>
      </c>
      <c r="E8" s="340" t="s">
        <v>306</v>
      </c>
      <c r="F8" s="340" t="s">
        <v>305</v>
      </c>
      <c r="G8" s="340" t="s">
        <v>306</v>
      </c>
      <c r="H8" s="340" t="s">
        <v>305</v>
      </c>
      <c r="I8" s="340" t="s">
        <v>306</v>
      </c>
      <c r="J8" s="340" t="s">
        <v>305</v>
      </c>
      <c r="K8" s="340" t="s">
        <v>306</v>
      </c>
      <c r="L8" s="340" t="s">
        <v>305</v>
      </c>
      <c r="M8" s="340" t="s">
        <v>306</v>
      </c>
      <c r="N8" s="339" t="s">
        <v>305</v>
      </c>
      <c r="O8" s="319" t="s">
        <v>75</v>
      </c>
    </row>
    <row r="9" spans="1:22" ht="45" x14ac:dyDescent="0.2">
      <c r="A9" s="335" t="s">
        <v>304</v>
      </c>
      <c r="B9" s="334" t="s">
        <v>303</v>
      </c>
      <c r="C9" s="333"/>
      <c r="D9" s="333"/>
      <c r="E9" s="333"/>
      <c r="F9" s="333"/>
      <c r="G9" s="333"/>
      <c r="H9" s="333"/>
      <c r="I9" s="333"/>
      <c r="J9" s="333"/>
      <c r="K9" s="333"/>
      <c r="L9" s="333"/>
      <c r="M9" s="333"/>
      <c r="N9" s="332"/>
      <c r="O9" s="319" t="s">
        <v>75</v>
      </c>
    </row>
    <row r="10" spans="1:22" ht="28.5" x14ac:dyDescent="0.2">
      <c r="A10" s="331">
        <v>1.1000000000000001</v>
      </c>
      <c r="B10" s="330" t="s">
        <v>302</v>
      </c>
      <c r="C10" s="329">
        <v>0</v>
      </c>
      <c r="D10" s="338">
        <v>0</v>
      </c>
      <c r="E10" s="329">
        <v>0</v>
      </c>
      <c r="F10" s="329">
        <v>0</v>
      </c>
      <c r="G10" s="329">
        <v>0</v>
      </c>
      <c r="H10" s="329">
        <v>0</v>
      </c>
      <c r="I10" s="329">
        <v>0</v>
      </c>
      <c r="J10" s="329">
        <v>0</v>
      </c>
      <c r="K10" s="329">
        <v>0</v>
      </c>
      <c r="L10" s="329">
        <v>0</v>
      </c>
      <c r="M10" s="329">
        <f t="shared" ref="M10:N12" si="0">G10+I10+K10</f>
        <v>0</v>
      </c>
      <c r="N10" s="328">
        <f t="shared" si="0"/>
        <v>0</v>
      </c>
      <c r="O10" s="319" t="s">
        <v>75</v>
      </c>
    </row>
    <row r="11" spans="1:22" x14ac:dyDescent="0.2">
      <c r="A11" s="331">
        <v>1.2</v>
      </c>
      <c r="B11" s="337" t="s">
        <v>301</v>
      </c>
      <c r="C11" s="329">
        <v>0</v>
      </c>
      <c r="D11" s="329">
        <v>0</v>
      </c>
      <c r="E11" s="329">
        <v>0</v>
      </c>
      <c r="F11" s="329">
        <v>0</v>
      </c>
      <c r="G11" s="329">
        <v>0</v>
      </c>
      <c r="H11" s="329">
        <v>0</v>
      </c>
      <c r="I11" s="329">
        <v>0</v>
      </c>
      <c r="J11" s="329">
        <v>0</v>
      </c>
      <c r="K11" s="329">
        <v>0</v>
      </c>
      <c r="L11" s="329">
        <v>0</v>
      </c>
      <c r="M11" s="329">
        <f t="shared" si="0"/>
        <v>0</v>
      </c>
      <c r="N11" s="328">
        <f t="shared" si="0"/>
        <v>0</v>
      </c>
      <c r="O11" s="319" t="s">
        <v>75</v>
      </c>
    </row>
    <row r="12" spans="1:22" x14ac:dyDescent="0.2">
      <c r="A12" s="331">
        <v>1.3</v>
      </c>
      <c r="B12" s="337" t="s">
        <v>300</v>
      </c>
      <c r="C12" s="329">
        <v>0</v>
      </c>
      <c r="D12" s="329">
        <v>0</v>
      </c>
      <c r="E12" s="329">
        <v>0</v>
      </c>
      <c r="F12" s="329">
        <v>0</v>
      </c>
      <c r="G12" s="329">
        <v>0</v>
      </c>
      <c r="H12" s="329">
        <v>0</v>
      </c>
      <c r="I12" s="329">
        <v>0</v>
      </c>
      <c r="J12" s="329">
        <v>0</v>
      </c>
      <c r="K12" s="329">
        <v>0</v>
      </c>
      <c r="L12" s="329">
        <v>0</v>
      </c>
      <c r="M12" s="329">
        <f t="shared" si="0"/>
        <v>0</v>
      </c>
      <c r="N12" s="328">
        <f t="shared" si="0"/>
        <v>0</v>
      </c>
      <c r="O12" s="319" t="s">
        <v>75</v>
      </c>
    </row>
    <row r="13" spans="1:22" ht="15" x14ac:dyDescent="0.25">
      <c r="A13" s="327"/>
      <c r="B13" s="336" t="s">
        <v>130</v>
      </c>
      <c r="C13" s="325">
        <f t="shared" ref="C13:N13" si="1">SUM(C10:C12)</f>
        <v>0</v>
      </c>
      <c r="D13" s="325">
        <f t="shared" si="1"/>
        <v>0</v>
      </c>
      <c r="E13" s="325">
        <f t="shared" si="1"/>
        <v>0</v>
      </c>
      <c r="F13" s="325">
        <f t="shared" si="1"/>
        <v>0</v>
      </c>
      <c r="G13" s="325">
        <f t="shared" si="1"/>
        <v>0</v>
      </c>
      <c r="H13" s="325">
        <f t="shared" si="1"/>
        <v>0</v>
      </c>
      <c r="I13" s="325">
        <f t="shared" si="1"/>
        <v>0</v>
      </c>
      <c r="J13" s="325">
        <f t="shared" si="1"/>
        <v>0</v>
      </c>
      <c r="K13" s="325">
        <f t="shared" si="1"/>
        <v>0</v>
      </c>
      <c r="L13" s="325">
        <f t="shared" si="1"/>
        <v>0</v>
      </c>
      <c r="M13" s="325">
        <f t="shared" si="1"/>
        <v>0</v>
      </c>
      <c r="N13" s="324">
        <f t="shared" si="1"/>
        <v>0</v>
      </c>
      <c r="O13" s="319" t="s">
        <v>75</v>
      </c>
    </row>
    <row r="14" spans="1:22" ht="30" x14ac:dyDescent="0.2">
      <c r="A14" s="335" t="s">
        <v>299</v>
      </c>
      <c r="B14" s="334" t="s">
        <v>298</v>
      </c>
      <c r="C14" s="333"/>
      <c r="D14" s="333"/>
      <c r="E14" s="333"/>
      <c r="F14" s="333"/>
      <c r="G14" s="333"/>
      <c r="H14" s="333"/>
      <c r="I14" s="333"/>
      <c r="J14" s="333"/>
      <c r="K14" s="333"/>
      <c r="L14" s="333"/>
      <c r="M14" s="333"/>
      <c r="N14" s="332"/>
      <c r="O14" s="319" t="s">
        <v>75</v>
      </c>
    </row>
    <row r="15" spans="1:22" ht="28.5" x14ac:dyDescent="0.2">
      <c r="A15" s="331">
        <v>2.1</v>
      </c>
      <c r="B15" s="330" t="s">
        <v>297</v>
      </c>
      <c r="C15" s="329">
        <v>0</v>
      </c>
      <c r="D15" s="329">
        <v>0</v>
      </c>
      <c r="E15" s="329">
        <v>0</v>
      </c>
      <c r="F15" s="329">
        <v>0</v>
      </c>
      <c r="G15" s="329">
        <v>0</v>
      </c>
      <c r="H15" s="329">
        <v>0</v>
      </c>
      <c r="I15" s="329">
        <v>0</v>
      </c>
      <c r="J15" s="329">
        <v>0</v>
      </c>
      <c r="K15" s="329">
        <v>0</v>
      </c>
      <c r="L15" s="329">
        <v>0</v>
      </c>
      <c r="M15" s="329">
        <f t="shared" ref="M15:N20" si="2">G15+I15+K15</f>
        <v>0</v>
      </c>
      <c r="N15" s="328">
        <f t="shared" si="2"/>
        <v>0</v>
      </c>
      <c r="O15" s="319" t="s">
        <v>75</v>
      </c>
    </row>
    <row r="16" spans="1:22" ht="20.25" customHeight="1" x14ac:dyDescent="0.2">
      <c r="A16" s="331">
        <v>2.2000000000000002</v>
      </c>
      <c r="B16" s="337" t="s">
        <v>309</v>
      </c>
      <c r="C16" s="329">
        <v>71</v>
      </c>
      <c r="D16" s="329">
        <v>9682</v>
      </c>
      <c r="E16" s="329">
        <v>71</v>
      </c>
      <c r="F16" s="329">
        <v>9741</v>
      </c>
      <c r="G16" s="329">
        <v>71</v>
      </c>
      <c r="H16" s="329">
        <v>9876</v>
      </c>
      <c r="I16" s="329">
        <v>0</v>
      </c>
      <c r="J16" s="329">
        <v>0</v>
      </c>
      <c r="K16" s="329">
        <v>0</v>
      </c>
      <c r="L16" s="329">
        <v>0</v>
      </c>
      <c r="M16" s="329">
        <f t="shared" si="2"/>
        <v>71</v>
      </c>
      <c r="N16" s="328">
        <f t="shared" si="2"/>
        <v>9876</v>
      </c>
      <c r="O16" s="319" t="s">
        <v>75</v>
      </c>
    </row>
    <row r="17" spans="1:15" x14ac:dyDescent="0.2">
      <c r="A17" s="331">
        <v>2.2999999999999998</v>
      </c>
      <c r="B17" s="337" t="s">
        <v>296</v>
      </c>
      <c r="C17" s="329">
        <v>0</v>
      </c>
      <c r="D17" s="329">
        <v>0</v>
      </c>
      <c r="E17" s="329">
        <v>0</v>
      </c>
      <c r="F17" s="329">
        <v>0</v>
      </c>
      <c r="G17" s="329">
        <v>0</v>
      </c>
      <c r="H17" s="329">
        <v>0</v>
      </c>
      <c r="I17" s="329">
        <v>0</v>
      </c>
      <c r="J17" s="329">
        <v>0</v>
      </c>
      <c r="K17" s="329">
        <v>0</v>
      </c>
      <c r="L17" s="329">
        <v>0</v>
      </c>
      <c r="M17" s="329">
        <f t="shared" si="2"/>
        <v>0</v>
      </c>
      <c r="N17" s="328">
        <f t="shared" si="2"/>
        <v>0</v>
      </c>
      <c r="O17" s="319" t="s">
        <v>75</v>
      </c>
    </row>
    <row r="18" spans="1:15" ht="28.5" x14ac:dyDescent="0.2">
      <c r="A18" s="331">
        <v>2.4</v>
      </c>
      <c r="B18" s="330" t="s">
        <v>295</v>
      </c>
      <c r="C18" s="329">
        <v>0</v>
      </c>
      <c r="D18" s="329">
        <v>0</v>
      </c>
      <c r="E18" s="329">
        <v>0</v>
      </c>
      <c r="F18" s="329">
        <v>0</v>
      </c>
      <c r="G18" s="329">
        <v>0</v>
      </c>
      <c r="H18" s="329">
        <v>0</v>
      </c>
      <c r="I18" s="329">
        <v>0</v>
      </c>
      <c r="J18" s="329">
        <v>0</v>
      </c>
      <c r="K18" s="329">
        <v>0</v>
      </c>
      <c r="L18" s="329">
        <v>0</v>
      </c>
      <c r="M18" s="329">
        <f t="shared" si="2"/>
        <v>0</v>
      </c>
      <c r="N18" s="328">
        <f t="shared" si="2"/>
        <v>0</v>
      </c>
      <c r="O18" s="319" t="s">
        <v>75</v>
      </c>
    </row>
    <row r="19" spans="1:15" x14ac:dyDescent="0.2">
      <c r="A19" s="331">
        <v>2.5</v>
      </c>
      <c r="B19" s="337" t="s">
        <v>294</v>
      </c>
      <c r="C19" s="329">
        <v>0</v>
      </c>
      <c r="D19" s="329">
        <v>0</v>
      </c>
      <c r="E19" s="329">
        <v>0</v>
      </c>
      <c r="F19" s="329">
        <v>0</v>
      </c>
      <c r="G19" s="329">
        <v>0</v>
      </c>
      <c r="H19" s="329">
        <v>0</v>
      </c>
      <c r="I19" s="329">
        <v>0</v>
      </c>
      <c r="J19" s="329">
        <v>0</v>
      </c>
      <c r="K19" s="329">
        <v>0</v>
      </c>
      <c r="L19" s="329">
        <v>0</v>
      </c>
      <c r="M19" s="329">
        <f t="shared" si="2"/>
        <v>0</v>
      </c>
      <c r="N19" s="328">
        <f t="shared" si="2"/>
        <v>0</v>
      </c>
      <c r="O19" s="319" t="s">
        <v>75</v>
      </c>
    </row>
    <row r="20" spans="1:15" x14ac:dyDescent="0.2">
      <c r="A20" s="331">
        <v>2.6</v>
      </c>
      <c r="B20" s="337" t="s">
        <v>293</v>
      </c>
      <c r="C20" s="329">
        <v>0</v>
      </c>
      <c r="D20" s="329">
        <v>0</v>
      </c>
      <c r="E20" s="329">
        <v>0</v>
      </c>
      <c r="F20" s="329">
        <v>0</v>
      </c>
      <c r="G20" s="329">
        <v>0</v>
      </c>
      <c r="H20" s="329">
        <v>0</v>
      </c>
      <c r="I20" s="329">
        <v>0</v>
      </c>
      <c r="J20" s="329">
        <v>0</v>
      </c>
      <c r="K20" s="329">
        <v>0</v>
      </c>
      <c r="L20" s="329">
        <v>0</v>
      </c>
      <c r="M20" s="329">
        <f t="shared" si="2"/>
        <v>0</v>
      </c>
      <c r="N20" s="328">
        <f t="shared" si="2"/>
        <v>0</v>
      </c>
      <c r="O20" s="319" t="s">
        <v>75</v>
      </c>
    </row>
    <row r="21" spans="1:15" ht="15" x14ac:dyDescent="0.25">
      <c r="A21" s="327"/>
      <c r="B21" s="336" t="s">
        <v>131</v>
      </c>
      <c r="C21" s="325">
        <f t="shared" ref="C21:N21" si="3">SUM(C15:C20)</f>
        <v>71</v>
      </c>
      <c r="D21" s="325">
        <f t="shared" si="3"/>
        <v>9682</v>
      </c>
      <c r="E21" s="325">
        <f t="shared" si="3"/>
        <v>71</v>
      </c>
      <c r="F21" s="325">
        <f t="shared" si="3"/>
        <v>9741</v>
      </c>
      <c r="G21" s="325">
        <f t="shared" si="3"/>
        <v>71</v>
      </c>
      <c r="H21" s="325">
        <f t="shared" si="3"/>
        <v>9876</v>
      </c>
      <c r="I21" s="325">
        <f t="shared" si="3"/>
        <v>0</v>
      </c>
      <c r="J21" s="325">
        <f t="shared" si="3"/>
        <v>0</v>
      </c>
      <c r="K21" s="325">
        <f t="shared" si="3"/>
        <v>0</v>
      </c>
      <c r="L21" s="325">
        <f t="shared" si="3"/>
        <v>0</v>
      </c>
      <c r="M21" s="325">
        <f t="shared" si="3"/>
        <v>71</v>
      </c>
      <c r="N21" s="324">
        <f t="shared" si="3"/>
        <v>9876</v>
      </c>
      <c r="O21" s="319" t="s">
        <v>75</v>
      </c>
    </row>
    <row r="22" spans="1:15" ht="45" x14ac:dyDescent="0.2">
      <c r="A22" s="335" t="s">
        <v>292</v>
      </c>
      <c r="B22" s="334" t="s">
        <v>291</v>
      </c>
      <c r="C22" s="333"/>
      <c r="D22" s="333"/>
      <c r="E22" s="333"/>
      <c r="F22" s="333"/>
      <c r="G22" s="333"/>
      <c r="H22" s="333"/>
      <c r="I22" s="333"/>
      <c r="J22" s="333"/>
      <c r="K22" s="333"/>
      <c r="L22" s="333"/>
      <c r="M22" s="333"/>
      <c r="N22" s="332"/>
      <c r="O22" s="319" t="s">
        <v>75</v>
      </c>
    </row>
    <row r="23" spans="1:15" ht="42.75" x14ac:dyDescent="0.2">
      <c r="A23" s="331">
        <v>3.1</v>
      </c>
      <c r="B23" s="330" t="s">
        <v>290</v>
      </c>
      <c r="C23" s="329">
        <v>0</v>
      </c>
      <c r="D23" s="329">
        <v>0</v>
      </c>
      <c r="E23" s="329">
        <v>0</v>
      </c>
      <c r="F23" s="329">
        <v>0</v>
      </c>
      <c r="G23" s="329">
        <v>0</v>
      </c>
      <c r="H23" s="329">
        <v>0</v>
      </c>
      <c r="I23" s="329">
        <v>0</v>
      </c>
      <c r="J23" s="329">
        <v>0</v>
      </c>
      <c r="K23" s="329">
        <v>0</v>
      </c>
      <c r="L23" s="329">
        <v>0</v>
      </c>
      <c r="M23" s="329">
        <f t="shared" ref="M23:N26" si="4">G23+I23+K23</f>
        <v>0</v>
      </c>
      <c r="N23" s="328">
        <f t="shared" si="4"/>
        <v>0</v>
      </c>
      <c r="O23" s="319" t="s">
        <v>75</v>
      </c>
    </row>
    <row r="24" spans="1:15" ht="57" x14ac:dyDescent="0.2">
      <c r="A24" s="331">
        <v>3.2</v>
      </c>
      <c r="B24" s="330" t="s">
        <v>289</v>
      </c>
      <c r="C24" s="329">
        <v>0</v>
      </c>
      <c r="D24" s="329">
        <v>0</v>
      </c>
      <c r="E24" s="329">
        <v>0</v>
      </c>
      <c r="F24" s="329">
        <v>0</v>
      </c>
      <c r="G24" s="329">
        <v>0</v>
      </c>
      <c r="H24" s="329">
        <v>0</v>
      </c>
      <c r="I24" s="329">
        <v>0</v>
      </c>
      <c r="J24" s="329">
        <v>0</v>
      </c>
      <c r="K24" s="329">
        <v>0</v>
      </c>
      <c r="L24" s="329">
        <v>0</v>
      </c>
      <c r="M24" s="329">
        <f t="shared" si="4"/>
        <v>0</v>
      </c>
      <c r="N24" s="328">
        <f t="shared" si="4"/>
        <v>0</v>
      </c>
      <c r="O24" s="319" t="s">
        <v>75</v>
      </c>
    </row>
    <row r="25" spans="1:15" ht="42.75" x14ac:dyDescent="0.2">
      <c r="A25" s="331">
        <v>3.3</v>
      </c>
      <c r="B25" s="330" t="s">
        <v>308</v>
      </c>
      <c r="C25" s="329">
        <v>35236</v>
      </c>
      <c r="D25" s="329">
        <v>6541599</v>
      </c>
      <c r="E25" s="329">
        <v>35917</v>
      </c>
      <c r="F25" s="329">
        <v>6581634</v>
      </c>
      <c r="G25" s="329">
        <v>36200</v>
      </c>
      <c r="H25" s="329">
        <v>6755670</v>
      </c>
      <c r="I25" s="329">
        <v>602</v>
      </c>
      <c r="J25" s="329">
        <v>166335</v>
      </c>
      <c r="K25" s="329">
        <v>0</v>
      </c>
      <c r="L25" s="329">
        <v>-100731</v>
      </c>
      <c r="M25" s="329">
        <f t="shared" si="4"/>
        <v>36802</v>
      </c>
      <c r="N25" s="328">
        <f t="shared" si="4"/>
        <v>6821274</v>
      </c>
      <c r="O25" s="319" t="s">
        <v>75</v>
      </c>
    </row>
    <row r="26" spans="1:15" ht="28.5" x14ac:dyDescent="0.2">
      <c r="A26" s="331">
        <v>3.4</v>
      </c>
      <c r="B26" s="330" t="s">
        <v>288</v>
      </c>
      <c r="C26" s="329">
        <v>0</v>
      </c>
      <c r="D26" s="329">
        <v>0</v>
      </c>
      <c r="E26" s="329">
        <v>0</v>
      </c>
      <c r="F26" s="329">
        <v>0</v>
      </c>
      <c r="G26" s="329">
        <v>0</v>
      </c>
      <c r="H26" s="329">
        <v>0</v>
      </c>
      <c r="I26" s="329">
        <v>0</v>
      </c>
      <c r="J26" s="329">
        <v>0</v>
      </c>
      <c r="K26" s="329">
        <v>0</v>
      </c>
      <c r="L26" s="329">
        <v>0</v>
      </c>
      <c r="M26" s="329">
        <f t="shared" si="4"/>
        <v>0</v>
      </c>
      <c r="N26" s="328">
        <f t="shared" si="4"/>
        <v>0</v>
      </c>
      <c r="O26" s="319" t="s">
        <v>75</v>
      </c>
    </row>
    <row r="27" spans="1:15" ht="15" x14ac:dyDescent="0.25">
      <c r="A27" s="327"/>
      <c r="B27" s="326" t="s">
        <v>132</v>
      </c>
      <c r="C27" s="325">
        <f t="shared" ref="C27:N27" si="5">SUM(C23:C26)</f>
        <v>35236</v>
      </c>
      <c r="D27" s="325">
        <f t="shared" si="5"/>
        <v>6541599</v>
      </c>
      <c r="E27" s="325">
        <f t="shared" si="5"/>
        <v>35917</v>
      </c>
      <c r="F27" s="325">
        <f t="shared" si="5"/>
        <v>6581634</v>
      </c>
      <c r="G27" s="325">
        <f t="shared" si="5"/>
        <v>36200</v>
      </c>
      <c r="H27" s="325">
        <f t="shared" si="5"/>
        <v>6755670</v>
      </c>
      <c r="I27" s="325">
        <f t="shared" si="5"/>
        <v>602</v>
      </c>
      <c r="J27" s="325">
        <f t="shared" si="5"/>
        <v>166335</v>
      </c>
      <c r="K27" s="325">
        <f t="shared" si="5"/>
        <v>0</v>
      </c>
      <c r="L27" s="325">
        <f t="shared" si="5"/>
        <v>-100731</v>
      </c>
      <c r="M27" s="325">
        <f t="shared" si="5"/>
        <v>36802</v>
      </c>
      <c r="N27" s="324">
        <f t="shared" si="5"/>
        <v>6821274</v>
      </c>
      <c r="O27" s="319" t="s">
        <v>75</v>
      </c>
    </row>
    <row r="28" spans="1:15" ht="15.75" thickBot="1" x14ac:dyDescent="0.3">
      <c r="A28" s="323"/>
      <c r="B28" s="322" t="s">
        <v>287</v>
      </c>
      <c r="C28" s="321">
        <f t="shared" ref="C28:N28" si="6">C27+C21+C13</f>
        <v>35307</v>
      </c>
      <c r="D28" s="321">
        <f t="shared" si="6"/>
        <v>6551281</v>
      </c>
      <c r="E28" s="321">
        <f t="shared" si="6"/>
        <v>35988</v>
      </c>
      <c r="F28" s="321">
        <f t="shared" si="6"/>
        <v>6591375</v>
      </c>
      <c r="G28" s="321">
        <f t="shared" si="6"/>
        <v>36271</v>
      </c>
      <c r="H28" s="321">
        <f t="shared" si="6"/>
        <v>6765546</v>
      </c>
      <c r="I28" s="321">
        <f t="shared" si="6"/>
        <v>602</v>
      </c>
      <c r="J28" s="321">
        <f t="shared" si="6"/>
        <v>166335</v>
      </c>
      <c r="K28" s="321">
        <f t="shared" si="6"/>
        <v>0</v>
      </c>
      <c r="L28" s="321">
        <f t="shared" si="6"/>
        <v>-100731</v>
      </c>
      <c r="M28" s="321">
        <f t="shared" si="6"/>
        <v>36873</v>
      </c>
      <c r="N28" s="320">
        <f t="shared" si="6"/>
        <v>6831150</v>
      </c>
      <c r="O28" s="319" t="s">
        <v>75</v>
      </c>
    </row>
    <row r="29" spans="1:15" x14ac:dyDescent="0.2">
      <c r="O29" s="319" t="s">
        <v>75</v>
      </c>
    </row>
    <row r="30" spans="1:15" ht="15" x14ac:dyDescent="0.2">
      <c r="A30" s="564" t="s">
        <v>286</v>
      </c>
      <c r="B30" s="564"/>
      <c r="C30" s="564"/>
      <c r="D30" s="564"/>
      <c r="E30" s="564"/>
      <c r="F30" s="564"/>
      <c r="G30" s="564"/>
      <c r="H30" s="564"/>
      <c r="I30" s="564"/>
      <c r="J30" s="564"/>
      <c r="K30" s="564"/>
      <c r="L30" s="564"/>
      <c r="M30" s="564"/>
      <c r="N30" s="564"/>
      <c r="O30" s="319" t="s">
        <v>75</v>
      </c>
    </row>
    <row r="31" spans="1:15" x14ac:dyDescent="0.2">
      <c r="O31" s="319" t="s">
        <v>75</v>
      </c>
    </row>
    <row r="32" spans="1:15" x14ac:dyDescent="0.2">
      <c r="A32" s="318" t="s">
        <v>277</v>
      </c>
      <c r="O32" s="319" t="s">
        <v>76</v>
      </c>
    </row>
  </sheetData>
  <mergeCells count="14">
    <mergeCell ref="A30:N30"/>
    <mergeCell ref="M7:N7"/>
    <mergeCell ref="A7:B8"/>
    <mergeCell ref="A6:N6"/>
    <mergeCell ref="C7:D7"/>
    <mergeCell ref="E7:F7"/>
    <mergeCell ref="G7:H7"/>
    <mergeCell ref="I7:J7"/>
    <mergeCell ref="K7:L7"/>
    <mergeCell ref="A1:N1"/>
    <mergeCell ref="A2:N2"/>
    <mergeCell ref="A3:N3"/>
    <mergeCell ref="A4:N4"/>
    <mergeCell ref="A5:N5"/>
  </mergeCells>
  <printOptions horizontalCentered="1"/>
  <pageMargins left="0.7" right="0.7" top="0.75" bottom="0.75" header="0.3" footer="0.3"/>
  <pageSetup scale="67"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10" zoomScale="85" zoomScaleNormal="120" zoomScaleSheetLayoutView="85" workbookViewId="0">
      <selection activeCell="B18" sqref="B18:D18"/>
    </sheetView>
  </sheetViews>
  <sheetFormatPr defaultRowHeight="14.25" x14ac:dyDescent="0.2"/>
  <cols>
    <col min="1" max="1" width="2.88671875" style="103" customWidth="1"/>
    <col min="2" max="2" width="55.33203125" style="103" customWidth="1"/>
    <col min="3" max="4" width="11.44140625" style="103" customWidth="1"/>
    <col min="5" max="6" width="6.77734375" style="103" customWidth="1"/>
    <col min="7" max="7" width="9.88671875" style="103" customWidth="1"/>
    <col min="8" max="8" width="10.88671875" style="212" bestFit="1" customWidth="1"/>
    <col min="9" max="9" width="3.5546875" style="103" customWidth="1"/>
    <col min="10" max="10" width="95.5546875" style="191" customWidth="1"/>
    <col min="11" max="12" width="6.44140625" style="103" customWidth="1"/>
    <col min="13" max="13" width="9.88671875" style="103" customWidth="1"/>
    <col min="14" max="15" width="6.44140625" style="103" customWidth="1"/>
    <col min="16" max="16" width="9.88671875" style="103" customWidth="1"/>
    <col min="17" max="16384" width="8.88671875" style="103"/>
  </cols>
  <sheetData>
    <row r="1" spans="1:16" ht="18" x14ac:dyDescent="0.25">
      <c r="A1" s="596" t="s">
        <v>212</v>
      </c>
      <c r="B1" s="596"/>
      <c r="C1" s="596"/>
      <c r="D1" s="596"/>
      <c r="E1" s="596"/>
      <c r="F1" s="596"/>
      <c r="G1" s="596"/>
      <c r="H1" s="182" t="s">
        <v>75</v>
      </c>
      <c r="I1" s="176"/>
      <c r="J1" s="170"/>
      <c r="K1" s="149"/>
      <c r="L1" s="149"/>
      <c r="M1" s="149"/>
      <c r="N1" s="149"/>
      <c r="O1" s="149"/>
      <c r="P1" s="149"/>
    </row>
    <row r="2" spans="1:16" ht="15" x14ac:dyDescent="0.2">
      <c r="A2" s="536" t="s">
        <v>17</v>
      </c>
      <c r="B2" s="536"/>
      <c r="C2" s="536"/>
      <c r="D2" s="536"/>
      <c r="E2" s="536"/>
      <c r="F2" s="536"/>
      <c r="G2" s="536"/>
      <c r="H2" s="182" t="s">
        <v>75</v>
      </c>
      <c r="I2" s="177"/>
      <c r="J2" s="172"/>
      <c r="K2" s="150"/>
      <c r="L2" s="150"/>
      <c r="M2" s="150"/>
      <c r="N2" s="150"/>
      <c r="O2" s="150"/>
      <c r="P2" s="150"/>
    </row>
    <row r="3" spans="1:16" x14ac:dyDescent="0.2">
      <c r="A3" s="597" t="s">
        <v>18</v>
      </c>
      <c r="B3" s="597"/>
      <c r="C3" s="597"/>
      <c r="D3" s="597"/>
      <c r="E3" s="597"/>
      <c r="F3" s="597"/>
      <c r="G3" s="597"/>
      <c r="H3" s="182" t="s">
        <v>75</v>
      </c>
      <c r="I3" s="178"/>
      <c r="J3" s="172"/>
      <c r="K3" s="151"/>
      <c r="L3" s="151"/>
      <c r="M3" s="151"/>
      <c r="N3" s="151"/>
      <c r="O3" s="151"/>
      <c r="P3" s="151"/>
    </row>
    <row r="4" spans="1:16" x14ac:dyDescent="0.2">
      <c r="A4" s="598" t="s">
        <v>41</v>
      </c>
      <c r="B4" s="598"/>
      <c r="C4" s="598"/>
      <c r="D4" s="598"/>
      <c r="E4" s="598"/>
      <c r="F4" s="598"/>
      <c r="G4" s="598"/>
      <c r="H4" s="182" t="s">
        <v>75</v>
      </c>
      <c r="I4" s="179"/>
      <c r="J4" s="172"/>
      <c r="K4" s="152"/>
      <c r="L4" s="152"/>
      <c r="M4" s="152"/>
      <c r="N4" s="152"/>
      <c r="O4" s="152"/>
      <c r="P4" s="152"/>
    </row>
    <row r="5" spans="1:16" ht="15" thickBot="1" x14ac:dyDescent="0.25">
      <c r="A5" s="599"/>
      <c r="B5" s="599"/>
      <c r="C5" s="599"/>
      <c r="D5" s="599"/>
      <c r="E5" s="599"/>
      <c r="F5" s="599"/>
      <c r="G5" s="599"/>
      <c r="H5" s="182" t="s">
        <v>75</v>
      </c>
      <c r="I5" s="179"/>
      <c r="J5" s="172"/>
      <c r="K5" s="152"/>
      <c r="L5" s="152"/>
      <c r="M5" s="152"/>
      <c r="N5" s="152"/>
      <c r="O5" s="152"/>
      <c r="P5" s="152"/>
    </row>
    <row r="6" spans="1:16" s="187" customFormat="1" ht="29.25" customHeight="1" thickBot="1" x14ac:dyDescent="0.25">
      <c r="A6" s="183"/>
      <c r="B6" s="183"/>
      <c r="C6" s="183"/>
      <c r="D6" s="183"/>
      <c r="E6" s="184" t="s">
        <v>168</v>
      </c>
      <c r="F6" s="185" t="s">
        <v>169</v>
      </c>
      <c r="G6" s="186" t="s">
        <v>11</v>
      </c>
      <c r="H6" s="182" t="s">
        <v>75</v>
      </c>
      <c r="I6" s="193"/>
      <c r="J6" s="213"/>
    </row>
    <row r="7" spans="1:16" s="187" customFormat="1" ht="12.75" x14ac:dyDescent="0.2">
      <c r="A7" s="188"/>
      <c r="B7" s="600" t="s">
        <v>173</v>
      </c>
      <c r="C7" s="600"/>
      <c r="D7" s="601"/>
      <c r="E7" s="189"/>
      <c r="F7" s="189"/>
      <c r="G7" s="190"/>
      <c r="H7" s="182" t="s">
        <v>75</v>
      </c>
      <c r="I7" s="193"/>
      <c r="J7" s="214"/>
    </row>
    <row r="8" spans="1:16" s="187" customFormat="1" ht="40.5" customHeight="1" x14ac:dyDescent="0.2">
      <c r="A8" s="192">
        <v>1</v>
      </c>
      <c r="B8" s="582" t="s">
        <v>383</v>
      </c>
      <c r="C8" s="582"/>
      <c r="D8" s="583"/>
      <c r="E8" s="194">
        <v>0</v>
      </c>
      <c r="F8" s="194">
        <v>0</v>
      </c>
      <c r="G8" s="202">
        <v>-40094</v>
      </c>
      <c r="H8" s="182" t="s">
        <v>75</v>
      </c>
      <c r="I8" s="193"/>
      <c r="J8" s="214"/>
    </row>
    <row r="9" spans="1:16" s="187" customFormat="1" ht="12.75" x14ac:dyDescent="0.2">
      <c r="A9" s="195"/>
      <c r="B9" s="574" t="s">
        <v>213</v>
      </c>
      <c r="C9" s="574"/>
      <c r="D9" s="575"/>
      <c r="E9" s="196">
        <f>SUM(E8:E8)</f>
        <v>0</v>
      </c>
      <c r="F9" s="196">
        <f>SUM(F8:F8)</f>
        <v>0</v>
      </c>
      <c r="G9" s="197">
        <f>SUM(G8:G8)</f>
        <v>-40094</v>
      </c>
      <c r="H9" s="182" t="s">
        <v>75</v>
      </c>
      <c r="I9" s="193"/>
      <c r="J9" s="213"/>
    </row>
    <row r="10" spans="1:16" s="187" customFormat="1" ht="12.75" x14ac:dyDescent="0.2">
      <c r="A10" s="198"/>
      <c r="B10" s="588" t="s">
        <v>214</v>
      </c>
      <c r="C10" s="588"/>
      <c r="D10" s="589"/>
      <c r="E10" s="199"/>
      <c r="F10" s="199"/>
      <c r="G10" s="200"/>
      <c r="H10" s="182" t="s">
        <v>75</v>
      </c>
      <c r="I10" s="193"/>
      <c r="J10" s="214"/>
    </row>
    <row r="11" spans="1:16" s="187" customFormat="1" ht="30.75" customHeight="1" x14ac:dyDescent="0.2">
      <c r="A11" s="192">
        <v>1</v>
      </c>
      <c r="B11" s="572" t="s">
        <v>215</v>
      </c>
      <c r="C11" s="572"/>
      <c r="D11" s="573"/>
      <c r="E11" s="201">
        <v>0</v>
      </c>
      <c r="F11" s="201">
        <v>0</v>
      </c>
      <c r="G11" s="202">
        <v>1615</v>
      </c>
      <c r="H11" s="182" t="s">
        <v>75</v>
      </c>
      <c r="I11" s="193"/>
      <c r="J11" s="214"/>
    </row>
    <row r="12" spans="1:16" s="187" customFormat="1" ht="41.25" customHeight="1" x14ac:dyDescent="0.2">
      <c r="A12" s="192">
        <v>2</v>
      </c>
      <c r="B12" s="572" t="s">
        <v>216</v>
      </c>
      <c r="C12" s="572"/>
      <c r="D12" s="573"/>
      <c r="E12" s="201">
        <v>0</v>
      </c>
      <c r="F12" s="201">
        <v>0</v>
      </c>
      <c r="G12" s="202">
        <v>18</v>
      </c>
      <c r="H12" s="182" t="s">
        <v>75</v>
      </c>
      <c r="I12" s="193"/>
      <c r="J12" s="214"/>
    </row>
    <row r="13" spans="1:16" s="187" customFormat="1" ht="46.5" customHeight="1" x14ac:dyDescent="0.2">
      <c r="A13" s="192">
        <v>3</v>
      </c>
      <c r="B13" s="572" t="s">
        <v>217</v>
      </c>
      <c r="C13" s="572"/>
      <c r="D13" s="573"/>
      <c r="E13" s="201">
        <v>0</v>
      </c>
      <c r="F13" s="201">
        <v>0</v>
      </c>
      <c r="G13" s="202">
        <v>-1394</v>
      </c>
      <c r="H13" s="182" t="s">
        <v>75</v>
      </c>
      <c r="I13" s="193"/>
      <c r="J13" s="214"/>
    </row>
    <row r="14" spans="1:16" s="187" customFormat="1" ht="42.75" customHeight="1" x14ac:dyDescent="0.2">
      <c r="A14" s="192">
        <v>4</v>
      </c>
      <c r="B14" s="572" t="s">
        <v>218</v>
      </c>
      <c r="C14" s="572"/>
      <c r="D14" s="573"/>
      <c r="E14" s="201">
        <v>0</v>
      </c>
      <c r="F14" s="201">
        <v>0</v>
      </c>
      <c r="G14" s="202">
        <v>-60</v>
      </c>
      <c r="H14" s="182" t="s">
        <v>75</v>
      </c>
      <c r="I14" s="193"/>
      <c r="J14" s="214"/>
    </row>
    <row r="15" spans="1:16" s="187" customFormat="1" ht="12.75" x14ac:dyDescent="0.2">
      <c r="A15" s="195"/>
      <c r="B15" s="574" t="s">
        <v>219</v>
      </c>
      <c r="C15" s="574"/>
      <c r="D15" s="575"/>
      <c r="E15" s="196">
        <f>SUM(E11:E12)</f>
        <v>0</v>
      </c>
      <c r="F15" s="196">
        <f>SUM(F11:F12)</f>
        <v>0</v>
      </c>
      <c r="G15" s="197">
        <f>SUM(G11:G14)</f>
        <v>179</v>
      </c>
      <c r="H15" s="182" t="s">
        <v>75</v>
      </c>
      <c r="I15" s="193"/>
      <c r="J15" s="213"/>
    </row>
    <row r="16" spans="1:16" s="187" customFormat="1" ht="12.75" x14ac:dyDescent="0.2">
      <c r="A16" s="203"/>
      <c r="B16" s="588" t="s">
        <v>182</v>
      </c>
      <c r="C16" s="588"/>
      <c r="D16" s="589"/>
      <c r="E16" s="199"/>
      <c r="F16" s="199"/>
      <c r="G16" s="200"/>
      <c r="H16" s="182" t="s">
        <v>75</v>
      </c>
      <c r="I16" s="193"/>
      <c r="J16" s="214"/>
    </row>
    <row r="17" spans="1:10" s="187" customFormat="1" ht="55.5" customHeight="1" x14ac:dyDescent="0.2">
      <c r="A17" s="192">
        <v>1</v>
      </c>
      <c r="B17" s="590" t="s">
        <v>384</v>
      </c>
      <c r="C17" s="590"/>
      <c r="D17" s="591"/>
      <c r="E17" s="201">
        <v>0</v>
      </c>
      <c r="F17" s="201">
        <v>0</v>
      </c>
      <c r="G17" s="202">
        <v>23268</v>
      </c>
      <c r="H17" s="182" t="s">
        <v>75</v>
      </c>
      <c r="I17" s="193"/>
      <c r="J17" s="214"/>
    </row>
    <row r="18" spans="1:10" s="187" customFormat="1" ht="60.75" customHeight="1" x14ac:dyDescent="0.2">
      <c r="A18" s="192">
        <v>2</v>
      </c>
      <c r="B18" s="594" t="s">
        <v>385</v>
      </c>
      <c r="C18" s="594"/>
      <c r="D18" s="595"/>
      <c r="E18" s="201">
        <v>0</v>
      </c>
      <c r="F18" s="201">
        <v>0</v>
      </c>
      <c r="G18" s="202">
        <v>4245</v>
      </c>
      <c r="H18" s="182" t="s">
        <v>75</v>
      </c>
      <c r="I18" s="193"/>
      <c r="J18" s="214"/>
    </row>
    <row r="19" spans="1:10" s="187" customFormat="1" ht="47.25" customHeight="1" thickBot="1" x14ac:dyDescent="0.25">
      <c r="A19" s="508">
        <v>3</v>
      </c>
      <c r="B19" s="592" t="s">
        <v>220</v>
      </c>
      <c r="C19" s="592"/>
      <c r="D19" s="593"/>
      <c r="E19" s="509">
        <v>0</v>
      </c>
      <c r="F19" s="509">
        <v>0</v>
      </c>
      <c r="G19" s="510">
        <v>3613</v>
      </c>
      <c r="H19" s="182" t="s">
        <v>75</v>
      </c>
      <c r="I19" s="193"/>
      <c r="J19" s="214"/>
    </row>
    <row r="20" spans="1:10" s="187" customFormat="1" ht="48" customHeight="1" x14ac:dyDescent="0.2">
      <c r="A20" s="192">
        <v>4</v>
      </c>
      <c r="B20" s="582" t="s">
        <v>386</v>
      </c>
      <c r="C20" s="582"/>
      <c r="D20" s="583"/>
      <c r="E20" s="201">
        <v>0</v>
      </c>
      <c r="F20" s="201">
        <v>0</v>
      </c>
      <c r="G20" s="202">
        <v>14977</v>
      </c>
      <c r="H20" s="182" t="s">
        <v>75</v>
      </c>
      <c r="I20" s="193"/>
      <c r="J20" s="214"/>
    </row>
    <row r="21" spans="1:10" s="187" customFormat="1" ht="61.5" customHeight="1" x14ac:dyDescent="0.2">
      <c r="A21" s="192">
        <v>5</v>
      </c>
      <c r="B21" s="582" t="s">
        <v>221</v>
      </c>
      <c r="C21" s="582"/>
      <c r="D21" s="583"/>
      <c r="E21" s="201">
        <v>0</v>
      </c>
      <c r="F21" s="201">
        <v>0</v>
      </c>
      <c r="G21" s="202">
        <v>8433</v>
      </c>
      <c r="H21" s="182" t="s">
        <v>75</v>
      </c>
      <c r="I21" s="193"/>
      <c r="J21" s="214"/>
    </row>
    <row r="22" spans="1:10" s="187" customFormat="1" ht="12.75" x14ac:dyDescent="0.2">
      <c r="A22" s="195"/>
      <c r="B22" s="574" t="s">
        <v>146</v>
      </c>
      <c r="C22" s="574"/>
      <c r="D22" s="575"/>
      <c r="E22" s="196">
        <f>SUM(E19:E21)</f>
        <v>0</v>
      </c>
      <c r="F22" s="196">
        <f>SUM(F19:F21)</f>
        <v>0</v>
      </c>
      <c r="G22" s="197">
        <f>SUM(G17:G21)</f>
        <v>54536</v>
      </c>
      <c r="H22" s="182" t="s">
        <v>75</v>
      </c>
      <c r="I22" s="193"/>
      <c r="J22" s="213"/>
    </row>
    <row r="23" spans="1:10" s="187" customFormat="1" ht="12.75" x14ac:dyDescent="0.2">
      <c r="A23" s="203"/>
      <c r="B23" s="580" t="s">
        <v>183</v>
      </c>
      <c r="C23" s="580"/>
      <c r="D23" s="581"/>
      <c r="E23" s="204"/>
      <c r="F23" s="204"/>
      <c r="G23" s="205"/>
      <c r="H23" s="182" t="s">
        <v>75</v>
      </c>
      <c r="I23" s="193"/>
      <c r="J23" s="214"/>
    </row>
    <row r="24" spans="1:10" s="187" customFormat="1" ht="84" customHeight="1" x14ac:dyDescent="0.2">
      <c r="A24" s="192">
        <v>1</v>
      </c>
      <c r="B24" s="582" t="s">
        <v>222</v>
      </c>
      <c r="C24" s="582"/>
      <c r="D24" s="583"/>
      <c r="E24" s="201">
        <v>0</v>
      </c>
      <c r="F24" s="201">
        <v>0</v>
      </c>
      <c r="G24" s="202">
        <v>1463</v>
      </c>
      <c r="H24" s="182" t="s">
        <v>75</v>
      </c>
      <c r="I24" s="193"/>
      <c r="J24" s="214"/>
    </row>
    <row r="25" spans="1:10" s="187" customFormat="1" ht="46.5" customHeight="1" x14ac:dyDescent="0.2">
      <c r="A25" s="192">
        <v>2</v>
      </c>
      <c r="B25" s="582" t="s">
        <v>223</v>
      </c>
      <c r="C25" s="582"/>
      <c r="D25" s="583"/>
      <c r="E25" s="201">
        <v>0</v>
      </c>
      <c r="F25" s="201">
        <v>0</v>
      </c>
      <c r="G25" s="202">
        <v>1272</v>
      </c>
      <c r="H25" s="182" t="s">
        <v>75</v>
      </c>
      <c r="I25" s="193"/>
      <c r="J25" s="214"/>
    </row>
    <row r="26" spans="1:10" s="187" customFormat="1" ht="12.75" x14ac:dyDescent="0.2">
      <c r="A26" s="195"/>
      <c r="B26" s="574" t="s">
        <v>224</v>
      </c>
      <c r="C26" s="574"/>
      <c r="D26" s="575"/>
      <c r="E26" s="196">
        <f>SUM(E24:E25)</f>
        <v>0</v>
      </c>
      <c r="F26" s="196">
        <f>SUM(F24:F25)</f>
        <v>0</v>
      </c>
      <c r="G26" s="197">
        <f>SUM(G24:G25)</f>
        <v>2735</v>
      </c>
      <c r="H26" s="182" t="s">
        <v>75</v>
      </c>
      <c r="I26" s="193"/>
      <c r="J26" s="213"/>
    </row>
    <row r="27" spans="1:10" s="187" customFormat="1" ht="12.75" x14ac:dyDescent="0.2">
      <c r="A27" s="203"/>
      <c r="B27" s="580" t="s">
        <v>184</v>
      </c>
      <c r="C27" s="580"/>
      <c r="D27" s="581"/>
      <c r="E27" s="206"/>
      <c r="F27" s="206"/>
      <c r="G27" s="207" t="s">
        <v>48</v>
      </c>
      <c r="H27" s="182" t="s">
        <v>75</v>
      </c>
      <c r="I27" s="193"/>
      <c r="J27" s="214"/>
    </row>
    <row r="28" spans="1:10" s="187" customFormat="1" ht="66.75" customHeight="1" x14ac:dyDescent="0.2">
      <c r="A28" s="192">
        <v>1</v>
      </c>
      <c r="B28" s="582" t="s">
        <v>225</v>
      </c>
      <c r="C28" s="582"/>
      <c r="D28" s="583"/>
      <c r="E28" s="208">
        <v>0</v>
      </c>
      <c r="F28" s="208">
        <v>0</v>
      </c>
      <c r="G28" s="209">
        <v>14</v>
      </c>
      <c r="H28" s="182" t="s">
        <v>75</v>
      </c>
      <c r="I28" s="193"/>
      <c r="J28" s="214"/>
    </row>
    <row r="29" spans="1:10" s="187" customFormat="1" ht="12.75" x14ac:dyDescent="0.2">
      <c r="A29" s="195"/>
      <c r="B29" s="574" t="s">
        <v>226</v>
      </c>
      <c r="C29" s="574"/>
      <c r="D29" s="575"/>
      <c r="E29" s="196">
        <f>SUM(E27:E28)</f>
        <v>0</v>
      </c>
      <c r="F29" s="196">
        <f>SUM(F27:F28)</f>
        <v>0</v>
      </c>
      <c r="G29" s="197">
        <f>SUM(G27:G28)</f>
        <v>14</v>
      </c>
      <c r="H29" s="182" t="s">
        <v>75</v>
      </c>
      <c r="I29" s="193"/>
      <c r="J29" s="213"/>
    </row>
    <row r="30" spans="1:10" s="187" customFormat="1" ht="12.75" x14ac:dyDescent="0.2">
      <c r="A30" s="203"/>
      <c r="B30" s="580" t="s">
        <v>185</v>
      </c>
      <c r="C30" s="580"/>
      <c r="D30" s="581"/>
      <c r="E30" s="204"/>
      <c r="F30" s="204"/>
      <c r="G30" s="200"/>
      <c r="H30" s="182" t="s">
        <v>75</v>
      </c>
      <c r="I30" s="193"/>
      <c r="J30" s="214"/>
    </row>
    <row r="31" spans="1:10" s="187" customFormat="1" ht="47.25" customHeight="1" thickBot="1" x14ac:dyDescent="0.25">
      <c r="A31" s="508">
        <v>1</v>
      </c>
      <c r="B31" s="584" t="s">
        <v>227</v>
      </c>
      <c r="C31" s="584"/>
      <c r="D31" s="585"/>
      <c r="E31" s="511">
        <v>0</v>
      </c>
      <c r="F31" s="509">
        <v>94</v>
      </c>
      <c r="G31" s="510">
        <v>12775</v>
      </c>
      <c r="H31" s="182" t="s">
        <v>75</v>
      </c>
      <c r="I31" s="193"/>
      <c r="J31" s="214"/>
    </row>
    <row r="32" spans="1:10" s="187" customFormat="1" ht="47.25" customHeight="1" x14ac:dyDescent="0.2">
      <c r="A32" s="192">
        <v>2</v>
      </c>
      <c r="B32" s="586" t="s">
        <v>228</v>
      </c>
      <c r="C32" s="586"/>
      <c r="D32" s="587"/>
      <c r="E32" s="201">
        <v>0</v>
      </c>
      <c r="F32" s="201">
        <v>189</v>
      </c>
      <c r="G32" s="202">
        <v>31216</v>
      </c>
      <c r="H32" s="182" t="s">
        <v>75</v>
      </c>
      <c r="I32" s="193"/>
      <c r="J32" s="214"/>
    </row>
    <row r="33" spans="1:10" s="187" customFormat="1" ht="70.5" customHeight="1" x14ac:dyDescent="0.2">
      <c r="A33" s="192">
        <v>3</v>
      </c>
      <c r="B33" s="586" t="s">
        <v>248</v>
      </c>
      <c r="C33" s="586"/>
      <c r="D33" s="587"/>
      <c r="E33" s="201">
        <v>0</v>
      </c>
      <c r="F33" s="201">
        <v>0</v>
      </c>
      <c r="G33" s="202">
        <v>41645</v>
      </c>
      <c r="H33" s="182" t="s">
        <v>75</v>
      </c>
      <c r="I33" s="193"/>
      <c r="J33" s="214"/>
    </row>
    <row r="34" spans="1:10" s="187" customFormat="1" ht="33.75" customHeight="1" x14ac:dyDescent="0.2">
      <c r="A34" s="192">
        <v>4</v>
      </c>
      <c r="B34" s="572" t="s">
        <v>229</v>
      </c>
      <c r="C34" s="572"/>
      <c r="D34" s="573"/>
      <c r="E34" s="201">
        <v>0</v>
      </c>
      <c r="F34" s="201">
        <v>0</v>
      </c>
      <c r="G34" s="202">
        <v>16772</v>
      </c>
      <c r="H34" s="182" t="s">
        <v>75</v>
      </c>
      <c r="I34" s="193"/>
      <c r="J34" s="214"/>
    </row>
    <row r="35" spans="1:10" s="187" customFormat="1" ht="24.75" customHeight="1" x14ac:dyDescent="0.2">
      <c r="A35" s="192">
        <v>5</v>
      </c>
      <c r="B35" s="582" t="s">
        <v>230</v>
      </c>
      <c r="C35" s="582"/>
      <c r="D35" s="583"/>
      <c r="E35" s="201">
        <v>0</v>
      </c>
      <c r="F35" s="201">
        <v>0</v>
      </c>
      <c r="G35" s="202">
        <v>-7135</v>
      </c>
      <c r="H35" s="182" t="s">
        <v>75</v>
      </c>
      <c r="I35" s="193"/>
      <c r="J35" s="214"/>
    </row>
    <row r="36" spans="1:10" s="187" customFormat="1" ht="21.75" customHeight="1" x14ac:dyDescent="0.2">
      <c r="A36" s="192">
        <v>6</v>
      </c>
      <c r="B36" s="578" t="s">
        <v>231</v>
      </c>
      <c r="C36" s="578"/>
      <c r="D36" s="579"/>
      <c r="E36" s="201">
        <v>0</v>
      </c>
      <c r="F36" s="201">
        <v>0</v>
      </c>
      <c r="G36" s="202">
        <v>2031</v>
      </c>
      <c r="H36" s="182" t="s">
        <v>75</v>
      </c>
      <c r="I36" s="193"/>
      <c r="J36" s="214"/>
    </row>
    <row r="37" spans="1:10" s="187" customFormat="1" ht="33.75" customHeight="1" x14ac:dyDescent="0.2">
      <c r="A37" s="192">
        <v>7</v>
      </c>
      <c r="B37" s="572" t="s">
        <v>232</v>
      </c>
      <c r="C37" s="572"/>
      <c r="D37" s="573"/>
      <c r="E37" s="201">
        <v>0</v>
      </c>
      <c r="F37" s="201">
        <v>0</v>
      </c>
      <c r="G37" s="202">
        <v>37160</v>
      </c>
      <c r="H37" s="182" t="s">
        <v>75</v>
      </c>
      <c r="I37" s="193"/>
      <c r="J37" s="214"/>
    </row>
    <row r="38" spans="1:10" s="187" customFormat="1" ht="34.5" customHeight="1" x14ac:dyDescent="0.2">
      <c r="A38" s="192">
        <v>8</v>
      </c>
      <c r="B38" s="572" t="s">
        <v>233</v>
      </c>
      <c r="C38" s="572"/>
      <c r="D38" s="573"/>
      <c r="E38" s="201">
        <v>0</v>
      </c>
      <c r="F38" s="201">
        <v>0</v>
      </c>
      <c r="G38" s="202">
        <v>22337</v>
      </c>
      <c r="H38" s="182" t="s">
        <v>75</v>
      </c>
      <c r="I38" s="193"/>
      <c r="J38" s="214"/>
    </row>
    <row r="39" spans="1:10" s="187" customFormat="1" ht="12.75" x14ac:dyDescent="0.2">
      <c r="A39" s="195"/>
      <c r="B39" s="574" t="s">
        <v>234</v>
      </c>
      <c r="C39" s="574"/>
      <c r="D39" s="575"/>
      <c r="E39" s="196">
        <f t="shared" ref="E39:F39" si="0">SUM(E31:E38)</f>
        <v>0</v>
      </c>
      <c r="F39" s="196">
        <f t="shared" si="0"/>
        <v>283</v>
      </c>
      <c r="G39" s="196">
        <f>SUM(G31:G38)</f>
        <v>156801</v>
      </c>
      <c r="H39" s="182" t="s">
        <v>75</v>
      </c>
      <c r="I39" s="193"/>
      <c r="J39" s="213"/>
    </row>
    <row r="40" spans="1:10" ht="15" thickBot="1" x14ac:dyDescent="0.25">
      <c r="A40" s="210"/>
      <c r="B40" s="576" t="s">
        <v>235</v>
      </c>
      <c r="C40" s="576"/>
      <c r="D40" s="577"/>
      <c r="E40" s="211">
        <f>E39+E29+E26+E22+E15+E9</f>
        <v>0</v>
      </c>
      <c r="F40" s="211">
        <f>F39+F29+F26+F22+F15+F9</f>
        <v>283</v>
      </c>
      <c r="G40" s="211">
        <f>G39+G29+G26+G22+G15+G9</f>
        <v>174171</v>
      </c>
      <c r="H40" s="182" t="s">
        <v>76</v>
      </c>
      <c r="I40" s="171"/>
      <c r="J40" s="213"/>
    </row>
    <row r="41" spans="1:10" x14ac:dyDescent="0.2">
      <c r="I41" s="171"/>
      <c r="J41" s="214"/>
    </row>
    <row r="42" spans="1:10" x14ac:dyDescent="0.2">
      <c r="I42" s="171"/>
      <c r="J42" s="214"/>
    </row>
    <row r="43" spans="1:10" x14ac:dyDescent="0.2">
      <c r="I43" s="171"/>
      <c r="J43" s="214"/>
    </row>
    <row r="44" spans="1:10" x14ac:dyDescent="0.2">
      <c r="I44" s="171"/>
      <c r="J44" s="214"/>
    </row>
    <row r="45" spans="1:10" x14ac:dyDescent="0.2">
      <c r="I45" s="171"/>
      <c r="J45" s="214"/>
    </row>
  </sheetData>
  <mergeCells count="39">
    <mergeCell ref="B13:D13"/>
    <mergeCell ref="A1:G1"/>
    <mergeCell ref="A2:G2"/>
    <mergeCell ref="A3:G3"/>
    <mergeCell ref="A4:G4"/>
    <mergeCell ref="A5:G5"/>
    <mergeCell ref="B7:D7"/>
    <mergeCell ref="B8:D8"/>
    <mergeCell ref="B9:D9"/>
    <mergeCell ref="B10:D10"/>
    <mergeCell ref="B11:D11"/>
    <mergeCell ref="B12:D12"/>
    <mergeCell ref="B25:D25"/>
    <mergeCell ref="B14:D14"/>
    <mergeCell ref="B15:D15"/>
    <mergeCell ref="B16:D16"/>
    <mergeCell ref="B17:D17"/>
    <mergeCell ref="B19:D19"/>
    <mergeCell ref="B20:D20"/>
    <mergeCell ref="B21:D21"/>
    <mergeCell ref="B22:D22"/>
    <mergeCell ref="B23:D23"/>
    <mergeCell ref="B24:D24"/>
    <mergeCell ref="B18:D18"/>
    <mergeCell ref="B31:D31"/>
    <mergeCell ref="B32:D32"/>
    <mergeCell ref="B33:D33"/>
    <mergeCell ref="B34:D34"/>
    <mergeCell ref="B35:D35"/>
    <mergeCell ref="B26:D26"/>
    <mergeCell ref="B27:D27"/>
    <mergeCell ref="B28:D28"/>
    <mergeCell ref="B29:D29"/>
    <mergeCell ref="B30:D30"/>
    <mergeCell ref="B37:D37"/>
    <mergeCell ref="B38:D38"/>
    <mergeCell ref="B39:D39"/>
    <mergeCell ref="B40:D40"/>
    <mergeCell ref="B36:D36"/>
  </mergeCells>
  <printOptions horizontalCentered="1"/>
  <pageMargins left="0.7" right="0.7" top="0.75" bottom="0.75" header="0.3" footer="0.3"/>
  <pageSetup scale="95" fitToHeight="2" orientation="landscape" r:id="rId1"/>
  <headerFooter>
    <oddHeader>&amp;L&amp;"Arial,Bold"&amp;11E. Justification for Technical and Base Adjustments</oddHeader>
    <oddFooter>&amp;C&amp;"Arial,Bold"&amp;11Exhibit E - Justification for Technical and Base Adjustments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view="pageBreakPreview" topLeftCell="A4" zoomScale="80" zoomScaleNormal="100" zoomScaleSheetLayoutView="80" workbookViewId="0">
      <selection activeCell="A28" sqref="A28:O28"/>
    </sheetView>
  </sheetViews>
  <sheetFormatPr defaultRowHeight="14.25" x14ac:dyDescent="0.2"/>
  <cols>
    <col min="1" max="1" width="30.33203125" style="388" customWidth="1"/>
    <col min="2" max="3" width="6.44140625" style="388" customWidth="1"/>
    <col min="4" max="4" width="9.88671875" style="388" customWidth="1"/>
    <col min="5" max="5" width="5.5546875" style="388" customWidth="1"/>
    <col min="6" max="6" width="6.77734375" style="388" customWidth="1"/>
    <col min="7" max="7" width="9.88671875" style="388" customWidth="1"/>
    <col min="8" max="9" width="6.44140625" style="388" customWidth="1"/>
    <col min="10" max="12" width="9.88671875" style="388" customWidth="1"/>
    <col min="13" max="14" width="6.44140625" style="388" customWidth="1"/>
    <col min="15" max="15" width="9.88671875" style="388" customWidth="1"/>
    <col min="16" max="16" width="10.88671875" style="389" bestFit="1" customWidth="1"/>
    <col min="17" max="17" width="3.5546875" style="388" customWidth="1"/>
    <col min="18" max="19" width="6.44140625" style="388" customWidth="1"/>
    <col min="20" max="20" width="9.88671875" style="388" customWidth="1"/>
    <col min="21" max="22" width="6.44140625" style="388" customWidth="1"/>
    <col min="23" max="23" width="9.88671875" style="388" customWidth="1"/>
    <col min="24" max="16384" width="8.88671875" style="388"/>
  </cols>
  <sheetData>
    <row r="1" spans="1:23" ht="18" x14ac:dyDescent="0.25">
      <c r="A1" s="604" t="s">
        <v>96</v>
      </c>
      <c r="B1" s="604"/>
      <c r="C1" s="604"/>
      <c r="D1" s="604"/>
      <c r="E1" s="604"/>
      <c r="F1" s="604"/>
      <c r="G1" s="604"/>
      <c r="H1" s="604"/>
      <c r="I1" s="604"/>
      <c r="J1" s="604"/>
      <c r="K1" s="604"/>
      <c r="L1" s="604"/>
      <c r="M1" s="604"/>
      <c r="N1" s="604"/>
      <c r="O1" s="604"/>
      <c r="P1" s="406" t="s">
        <v>75</v>
      </c>
      <c r="Q1" s="405"/>
      <c r="R1" s="405"/>
      <c r="S1" s="405"/>
      <c r="T1" s="405"/>
      <c r="U1" s="405"/>
      <c r="V1" s="405"/>
      <c r="W1" s="405"/>
    </row>
    <row r="2" spans="1:23" ht="15" x14ac:dyDescent="0.2">
      <c r="A2" s="605" t="s">
        <v>17</v>
      </c>
      <c r="B2" s="605"/>
      <c r="C2" s="605"/>
      <c r="D2" s="605"/>
      <c r="E2" s="605"/>
      <c r="F2" s="605"/>
      <c r="G2" s="605"/>
      <c r="H2" s="605"/>
      <c r="I2" s="605"/>
      <c r="J2" s="605"/>
      <c r="K2" s="605"/>
      <c r="L2" s="605"/>
      <c r="M2" s="605"/>
      <c r="N2" s="605"/>
      <c r="O2" s="605"/>
      <c r="P2" s="406" t="s">
        <v>75</v>
      </c>
      <c r="Q2" s="404"/>
      <c r="R2" s="404"/>
      <c r="S2" s="404"/>
      <c r="T2" s="404"/>
      <c r="U2" s="404"/>
      <c r="V2" s="404"/>
      <c r="W2" s="404"/>
    </row>
    <row r="3" spans="1:23" x14ac:dyDescent="0.2">
      <c r="A3" s="606" t="s">
        <v>18</v>
      </c>
      <c r="B3" s="606"/>
      <c r="C3" s="606"/>
      <c r="D3" s="606"/>
      <c r="E3" s="606"/>
      <c r="F3" s="606"/>
      <c r="G3" s="606"/>
      <c r="H3" s="606"/>
      <c r="I3" s="606"/>
      <c r="J3" s="606"/>
      <c r="K3" s="606"/>
      <c r="L3" s="606"/>
      <c r="M3" s="606"/>
      <c r="N3" s="606"/>
      <c r="O3" s="606"/>
      <c r="P3" s="406" t="s">
        <v>75</v>
      </c>
      <c r="Q3" s="403"/>
      <c r="R3" s="403"/>
      <c r="S3" s="403"/>
      <c r="T3" s="403"/>
      <c r="U3" s="403"/>
      <c r="V3" s="403"/>
      <c r="W3" s="403"/>
    </row>
    <row r="4" spans="1:23" x14ac:dyDescent="0.2">
      <c r="A4" s="607" t="s">
        <v>41</v>
      </c>
      <c r="B4" s="607"/>
      <c r="C4" s="607"/>
      <c r="D4" s="607"/>
      <c r="E4" s="607"/>
      <c r="F4" s="607"/>
      <c r="G4" s="607"/>
      <c r="H4" s="607"/>
      <c r="I4" s="607"/>
      <c r="J4" s="607"/>
      <c r="K4" s="607"/>
      <c r="L4" s="607"/>
      <c r="M4" s="607"/>
      <c r="N4" s="607"/>
      <c r="O4" s="607"/>
      <c r="P4" s="406" t="s">
        <v>75</v>
      </c>
      <c r="Q4" s="402"/>
      <c r="R4" s="402"/>
      <c r="S4" s="402"/>
      <c r="T4" s="402"/>
      <c r="U4" s="402"/>
      <c r="V4" s="402"/>
      <c r="W4" s="402"/>
    </row>
    <row r="5" spans="1:23" x14ac:dyDescent="0.2">
      <c r="A5" s="402"/>
      <c r="B5" s="402"/>
      <c r="C5" s="402"/>
      <c r="D5" s="402"/>
      <c r="E5" s="402"/>
      <c r="F5" s="402"/>
      <c r="G5" s="402"/>
      <c r="H5" s="402"/>
      <c r="I5" s="402"/>
      <c r="J5" s="402"/>
      <c r="K5" s="402"/>
      <c r="L5" s="402"/>
      <c r="M5" s="402"/>
      <c r="N5" s="402"/>
      <c r="O5" s="402"/>
      <c r="P5" s="406" t="s">
        <v>75</v>
      </c>
      <c r="Q5" s="402"/>
      <c r="R5" s="402"/>
      <c r="S5" s="402"/>
      <c r="T5" s="402"/>
      <c r="U5" s="402"/>
      <c r="V5" s="402"/>
      <c r="W5" s="402"/>
    </row>
    <row r="6" spans="1:23" ht="15" thickBot="1" x14ac:dyDescent="0.25">
      <c r="A6" s="425"/>
      <c r="B6" s="425"/>
      <c r="C6" s="425"/>
      <c r="D6" s="425"/>
      <c r="E6" s="425"/>
      <c r="F6" s="425"/>
      <c r="G6" s="425"/>
      <c r="H6" s="425"/>
      <c r="I6" s="425"/>
      <c r="J6" s="425"/>
      <c r="K6" s="425"/>
      <c r="L6" s="425"/>
      <c r="M6" s="425"/>
      <c r="N6" s="425"/>
      <c r="O6" s="425"/>
      <c r="P6" s="406" t="s">
        <v>75</v>
      </c>
      <c r="Q6" s="402"/>
      <c r="R6" s="402"/>
      <c r="S6" s="402"/>
      <c r="T6" s="402"/>
      <c r="U6" s="402"/>
      <c r="V6" s="402"/>
      <c r="W6" s="402"/>
    </row>
    <row r="7" spans="1:23" ht="33.75" customHeight="1" x14ac:dyDescent="0.2">
      <c r="A7" s="602" t="s">
        <v>197</v>
      </c>
      <c r="B7" s="556" t="s">
        <v>331</v>
      </c>
      <c r="C7" s="556"/>
      <c r="D7" s="556"/>
      <c r="E7" s="556" t="s">
        <v>205</v>
      </c>
      <c r="F7" s="608"/>
      <c r="G7" s="557"/>
      <c r="H7" s="556" t="s">
        <v>247</v>
      </c>
      <c r="I7" s="556"/>
      <c r="J7" s="556"/>
      <c r="K7" s="424" t="s">
        <v>316</v>
      </c>
      <c r="L7" s="424" t="s">
        <v>315</v>
      </c>
      <c r="M7" s="556" t="s">
        <v>242</v>
      </c>
      <c r="N7" s="556"/>
      <c r="O7" s="559"/>
      <c r="P7" s="406" t="s">
        <v>75</v>
      </c>
    </row>
    <row r="8" spans="1:23" ht="28.5" x14ac:dyDescent="0.2">
      <c r="A8" s="603"/>
      <c r="B8" s="397" t="s">
        <v>168</v>
      </c>
      <c r="C8" s="397" t="s">
        <v>200</v>
      </c>
      <c r="D8" s="397" t="s">
        <v>11</v>
      </c>
      <c r="E8" s="397" t="s">
        <v>168</v>
      </c>
      <c r="F8" s="397" t="s">
        <v>200</v>
      </c>
      <c r="G8" s="397" t="s">
        <v>11</v>
      </c>
      <c r="H8" s="397" t="s">
        <v>168</v>
      </c>
      <c r="I8" s="397" t="s">
        <v>200</v>
      </c>
      <c r="J8" s="397" t="s">
        <v>11</v>
      </c>
      <c r="K8" s="397" t="s">
        <v>11</v>
      </c>
      <c r="L8" s="397" t="s">
        <v>11</v>
      </c>
      <c r="M8" s="397" t="s">
        <v>168</v>
      </c>
      <c r="N8" s="397" t="s">
        <v>200</v>
      </c>
      <c r="O8" s="396" t="s">
        <v>11</v>
      </c>
      <c r="P8" s="406" t="s">
        <v>75</v>
      </c>
    </row>
    <row r="9" spans="1:23" x14ac:dyDescent="0.2">
      <c r="A9" s="401" t="s">
        <v>202</v>
      </c>
      <c r="B9" s="395">
        <v>15003</v>
      </c>
      <c r="C9" s="395">
        <v>12101</v>
      </c>
      <c r="D9" s="395">
        <v>2421272</v>
      </c>
      <c r="E9" s="395">
        <v>0</v>
      </c>
      <c r="F9" s="395">
        <v>0</v>
      </c>
      <c r="G9" s="395">
        <v>0</v>
      </c>
      <c r="H9" s="395">
        <v>0</v>
      </c>
      <c r="I9" s="395">
        <v>0</v>
      </c>
      <c r="J9" s="395">
        <v>0</v>
      </c>
      <c r="K9" s="395">
        <v>0</v>
      </c>
      <c r="L9" s="395">
        <v>0</v>
      </c>
      <c r="M9" s="395">
        <f t="shared" ref="M9:N12" si="0">B9+H9</f>
        <v>15003</v>
      </c>
      <c r="N9" s="395">
        <f t="shared" si="0"/>
        <v>12101</v>
      </c>
      <c r="O9" s="394">
        <f>D9+J9+K9+L9+G9</f>
        <v>2421272</v>
      </c>
      <c r="P9" s="406" t="s">
        <v>75</v>
      </c>
    </row>
    <row r="10" spans="1:23" x14ac:dyDescent="0.2">
      <c r="A10" s="392" t="s">
        <v>109</v>
      </c>
      <c r="B10" s="391">
        <v>24326</v>
      </c>
      <c r="C10" s="391">
        <v>21907</v>
      </c>
      <c r="D10" s="391">
        <v>2880290</v>
      </c>
      <c r="E10" s="391">
        <v>0</v>
      </c>
      <c r="F10" s="391">
        <v>0</v>
      </c>
      <c r="G10" s="391">
        <v>0</v>
      </c>
      <c r="H10" s="391">
        <v>0</v>
      </c>
      <c r="I10" s="391">
        <v>0</v>
      </c>
      <c r="J10" s="391">
        <v>30000</v>
      </c>
      <c r="K10" s="391">
        <v>0</v>
      </c>
      <c r="L10" s="391">
        <v>0</v>
      </c>
      <c r="M10" s="391">
        <f t="shared" si="0"/>
        <v>24326</v>
      </c>
      <c r="N10" s="391">
        <f t="shared" si="0"/>
        <v>21907</v>
      </c>
      <c r="O10" s="390">
        <f>D10+J10+K10+L10+G10</f>
        <v>2910290</v>
      </c>
      <c r="P10" s="406" t="s">
        <v>75</v>
      </c>
    </row>
    <row r="11" spans="1:23" x14ac:dyDescent="0.2">
      <c r="A11" s="392" t="s">
        <v>71</v>
      </c>
      <c r="B11" s="391">
        <v>413</v>
      </c>
      <c r="C11" s="391">
        <v>255</v>
      </c>
      <c r="D11" s="391">
        <v>1040213</v>
      </c>
      <c r="E11" s="391">
        <v>0</v>
      </c>
      <c r="F11" s="391">
        <v>0</v>
      </c>
      <c r="G11" s="391">
        <v>0</v>
      </c>
      <c r="H11" s="391">
        <v>0</v>
      </c>
      <c r="I11" s="391">
        <v>0</v>
      </c>
      <c r="J11" s="391">
        <v>-7700</v>
      </c>
      <c r="K11" s="391">
        <v>427</v>
      </c>
      <c r="L11" s="391">
        <v>0</v>
      </c>
      <c r="M11" s="391">
        <f t="shared" si="0"/>
        <v>413</v>
      </c>
      <c r="N11" s="391">
        <f t="shared" si="0"/>
        <v>255</v>
      </c>
      <c r="O11" s="390">
        <f>D11+J11+K11+L11+G11</f>
        <v>1032940</v>
      </c>
      <c r="P11" s="406" t="s">
        <v>75</v>
      </c>
    </row>
    <row r="12" spans="1:23" x14ac:dyDescent="0.2">
      <c r="A12" s="423" t="s">
        <v>314</v>
      </c>
      <c r="B12" s="422">
        <v>1293</v>
      </c>
      <c r="C12" s="422">
        <v>1044</v>
      </c>
      <c r="D12" s="422">
        <v>209506</v>
      </c>
      <c r="E12" s="422">
        <v>0</v>
      </c>
      <c r="F12" s="422">
        <v>0</v>
      </c>
      <c r="G12" s="422">
        <v>0</v>
      </c>
      <c r="H12" s="422">
        <v>0</v>
      </c>
      <c r="I12" s="422">
        <v>0</v>
      </c>
      <c r="J12" s="422">
        <v>0</v>
      </c>
      <c r="K12" s="422">
        <v>0</v>
      </c>
      <c r="L12" s="422">
        <v>0</v>
      </c>
      <c r="M12" s="422">
        <f t="shared" si="0"/>
        <v>1293</v>
      </c>
      <c r="N12" s="391">
        <f t="shared" si="0"/>
        <v>1044</v>
      </c>
      <c r="O12" s="421">
        <f>D12+J12+K12+L12+G12</f>
        <v>209506</v>
      </c>
      <c r="P12" s="406" t="s">
        <v>75</v>
      </c>
    </row>
    <row r="13" spans="1:23" ht="15" x14ac:dyDescent="0.25">
      <c r="A13" s="420" t="s">
        <v>204</v>
      </c>
      <c r="B13" s="419">
        <f t="shared" ref="B13:O13" si="1">SUM(B9:B12)</f>
        <v>41035</v>
      </c>
      <c r="C13" s="419">
        <f t="shared" si="1"/>
        <v>35307</v>
      </c>
      <c r="D13" s="419">
        <f t="shared" si="1"/>
        <v>6551281</v>
      </c>
      <c r="E13" s="419">
        <f t="shared" si="1"/>
        <v>0</v>
      </c>
      <c r="F13" s="419">
        <f t="shared" si="1"/>
        <v>0</v>
      </c>
      <c r="G13" s="419">
        <f t="shared" si="1"/>
        <v>0</v>
      </c>
      <c r="H13" s="419">
        <f t="shared" si="1"/>
        <v>0</v>
      </c>
      <c r="I13" s="419">
        <f t="shared" si="1"/>
        <v>0</v>
      </c>
      <c r="J13" s="419">
        <f t="shared" si="1"/>
        <v>22300</v>
      </c>
      <c r="K13" s="419">
        <f t="shared" si="1"/>
        <v>427</v>
      </c>
      <c r="L13" s="419">
        <f t="shared" si="1"/>
        <v>0</v>
      </c>
      <c r="M13" s="419">
        <f t="shared" si="1"/>
        <v>41035</v>
      </c>
      <c r="N13" s="419">
        <f t="shared" si="1"/>
        <v>35307</v>
      </c>
      <c r="O13" s="418">
        <f t="shared" si="1"/>
        <v>6574008</v>
      </c>
      <c r="P13" s="406" t="s">
        <v>75</v>
      </c>
    </row>
    <row r="14" spans="1:23" x14ac:dyDescent="0.2">
      <c r="A14" s="393" t="s">
        <v>7</v>
      </c>
      <c r="B14" s="416"/>
      <c r="C14" s="416">
        <v>0</v>
      </c>
      <c r="D14" s="416"/>
      <c r="E14" s="416"/>
      <c r="F14" s="416">
        <v>0</v>
      </c>
      <c r="G14" s="416"/>
      <c r="H14" s="416"/>
      <c r="I14" s="416">
        <v>0</v>
      </c>
      <c r="J14" s="416"/>
      <c r="K14" s="416"/>
      <c r="L14" s="416"/>
      <c r="M14" s="416"/>
      <c r="N14" s="416">
        <f>C14+I14+F14</f>
        <v>0</v>
      </c>
      <c r="O14" s="417"/>
      <c r="P14" s="406" t="s">
        <v>75</v>
      </c>
    </row>
    <row r="15" spans="1:23" x14ac:dyDescent="0.2">
      <c r="A15" s="392" t="s">
        <v>207</v>
      </c>
      <c r="B15" s="391"/>
      <c r="C15" s="391">
        <f>C13+C14</f>
        <v>35307</v>
      </c>
      <c r="D15" s="391"/>
      <c r="E15" s="391"/>
      <c r="F15" s="391">
        <f>F13+F14</f>
        <v>0</v>
      </c>
      <c r="G15" s="391"/>
      <c r="H15" s="391"/>
      <c r="I15" s="391">
        <f>I13+I14</f>
        <v>0</v>
      </c>
      <c r="J15" s="391"/>
      <c r="K15" s="391"/>
      <c r="L15" s="391"/>
      <c r="M15" s="391"/>
      <c r="N15" s="416">
        <f>N13+N14</f>
        <v>35307</v>
      </c>
      <c r="O15" s="390"/>
      <c r="P15" s="406" t="s">
        <v>75</v>
      </c>
    </row>
    <row r="16" spans="1:23" x14ac:dyDescent="0.2">
      <c r="A16" s="392"/>
      <c r="B16" s="391"/>
      <c r="C16" s="391"/>
      <c r="D16" s="391"/>
      <c r="E16" s="391"/>
      <c r="F16" s="391"/>
      <c r="G16" s="391"/>
      <c r="H16" s="391"/>
      <c r="I16" s="391"/>
      <c r="J16" s="391"/>
      <c r="K16" s="391"/>
      <c r="L16" s="391"/>
      <c r="M16" s="391"/>
      <c r="N16" s="391"/>
      <c r="O16" s="390"/>
      <c r="P16" s="406" t="s">
        <v>75</v>
      </c>
    </row>
    <row r="17" spans="1:16" x14ac:dyDescent="0.2">
      <c r="A17" s="392" t="s">
        <v>208</v>
      </c>
      <c r="B17" s="391"/>
      <c r="C17" s="391"/>
      <c r="D17" s="391"/>
      <c r="E17" s="391"/>
      <c r="F17" s="391"/>
      <c r="G17" s="391"/>
      <c r="H17" s="391"/>
      <c r="I17" s="391"/>
      <c r="J17" s="391"/>
      <c r="K17" s="391"/>
      <c r="L17" s="391"/>
      <c r="M17" s="391"/>
      <c r="N17" s="391"/>
      <c r="O17" s="390"/>
      <c r="P17" s="406" t="s">
        <v>75</v>
      </c>
    </row>
    <row r="18" spans="1:16" x14ac:dyDescent="0.2">
      <c r="A18" s="415" t="s">
        <v>209</v>
      </c>
      <c r="B18" s="391"/>
      <c r="C18" s="391">
        <v>0</v>
      </c>
      <c r="D18" s="391"/>
      <c r="E18" s="391"/>
      <c r="F18" s="391">
        <v>0</v>
      </c>
      <c r="G18" s="391"/>
      <c r="H18" s="391"/>
      <c r="I18" s="391">
        <v>0</v>
      </c>
      <c r="J18" s="391"/>
      <c r="K18" s="391"/>
      <c r="L18" s="391"/>
      <c r="M18" s="391"/>
      <c r="N18" s="391">
        <f>C18+I18+F18</f>
        <v>0</v>
      </c>
      <c r="O18" s="390"/>
      <c r="P18" s="406" t="s">
        <v>75</v>
      </c>
    </row>
    <row r="19" spans="1:16" x14ac:dyDescent="0.2">
      <c r="A19" s="414" t="s">
        <v>210</v>
      </c>
      <c r="B19" s="413"/>
      <c r="C19" s="413">
        <v>0</v>
      </c>
      <c r="D19" s="413"/>
      <c r="E19" s="413"/>
      <c r="F19" s="413">
        <v>0</v>
      </c>
      <c r="G19" s="413"/>
      <c r="H19" s="413"/>
      <c r="I19" s="413">
        <v>0</v>
      </c>
      <c r="J19" s="413"/>
      <c r="K19" s="413"/>
      <c r="L19" s="413"/>
      <c r="M19" s="413"/>
      <c r="N19" s="391">
        <f>C19+I19+F18</f>
        <v>0</v>
      </c>
      <c r="O19" s="412"/>
      <c r="P19" s="406" t="s">
        <v>75</v>
      </c>
    </row>
    <row r="20" spans="1:16" ht="15" thickBot="1" x14ac:dyDescent="0.25">
      <c r="A20" s="411" t="s">
        <v>211</v>
      </c>
      <c r="B20" s="410"/>
      <c r="C20" s="410">
        <f>C15+C18+C19</f>
        <v>35307</v>
      </c>
      <c r="D20" s="410"/>
      <c r="E20" s="410"/>
      <c r="F20" s="410">
        <f>F15+F18+F19</f>
        <v>0</v>
      </c>
      <c r="G20" s="410"/>
      <c r="H20" s="410"/>
      <c r="I20" s="410">
        <f>I15+I18+I19</f>
        <v>0</v>
      </c>
      <c r="J20" s="410"/>
      <c r="K20" s="410"/>
      <c r="L20" s="410"/>
      <c r="M20" s="410"/>
      <c r="N20" s="410">
        <f>SUM(N15,N18:N19)</f>
        <v>35307</v>
      </c>
      <c r="O20" s="409"/>
      <c r="P20" s="406" t="s">
        <v>75</v>
      </c>
    </row>
    <row r="21" spans="1:16" x14ac:dyDescent="0.2">
      <c r="P21" s="406" t="s">
        <v>75</v>
      </c>
    </row>
    <row r="22" spans="1:16" ht="15" x14ac:dyDescent="0.25">
      <c r="A22" s="407" t="s">
        <v>247</v>
      </c>
      <c r="P22" s="406" t="s">
        <v>75</v>
      </c>
    </row>
    <row r="23" spans="1:16" x14ac:dyDescent="0.2">
      <c r="A23" s="610" t="s">
        <v>330</v>
      </c>
      <c r="B23" s="610"/>
      <c r="C23" s="610"/>
      <c r="D23" s="610"/>
      <c r="E23" s="610"/>
      <c r="F23" s="610"/>
      <c r="G23" s="610"/>
      <c r="H23" s="610"/>
      <c r="I23" s="610"/>
      <c r="J23" s="610"/>
      <c r="K23" s="610"/>
      <c r="L23" s="610"/>
      <c r="M23" s="610"/>
      <c r="N23" s="610"/>
      <c r="O23" s="610"/>
      <c r="P23" s="406" t="s">
        <v>75</v>
      </c>
    </row>
    <row r="24" spans="1:16" x14ac:dyDescent="0.2">
      <c r="A24" s="610" t="s">
        <v>329</v>
      </c>
      <c r="B24" s="610"/>
      <c r="C24" s="610"/>
      <c r="D24" s="610"/>
      <c r="E24" s="610"/>
      <c r="F24" s="610"/>
      <c r="G24" s="610"/>
      <c r="H24" s="610"/>
      <c r="I24" s="610"/>
      <c r="J24" s="610"/>
      <c r="K24" s="610"/>
      <c r="L24" s="408"/>
      <c r="M24" s="408"/>
      <c r="N24" s="408"/>
      <c r="O24" s="408"/>
      <c r="P24" s="406"/>
    </row>
    <row r="25" spans="1:16" x14ac:dyDescent="0.2">
      <c r="A25" s="611" t="s">
        <v>427</v>
      </c>
      <c r="B25" s="610"/>
      <c r="C25" s="610"/>
      <c r="D25" s="610"/>
      <c r="E25" s="610"/>
      <c r="F25" s="610"/>
      <c r="G25" s="610"/>
      <c r="H25" s="610"/>
      <c r="I25" s="610"/>
      <c r="J25" s="610"/>
      <c r="K25" s="610"/>
      <c r="L25" s="610"/>
      <c r="M25" s="610"/>
      <c r="N25" s="610"/>
      <c r="O25" s="610"/>
      <c r="P25" s="406" t="s">
        <v>75</v>
      </c>
    </row>
    <row r="26" spans="1:16" x14ac:dyDescent="0.2">
      <c r="A26" s="408"/>
      <c r="B26" s="408"/>
      <c r="C26" s="408"/>
      <c r="D26" s="408"/>
      <c r="E26" s="408"/>
      <c r="F26" s="408"/>
      <c r="G26" s="408"/>
      <c r="H26" s="408"/>
      <c r="I26" s="408"/>
      <c r="J26" s="408"/>
      <c r="K26" s="408"/>
      <c r="L26" s="408"/>
      <c r="M26" s="408"/>
      <c r="N26" s="408"/>
      <c r="O26" s="408"/>
      <c r="P26" s="406"/>
    </row>
    <row r="27" spans="1:16" ht="15" x14ac:dyDescent="0.25">
      <c r="A27" s="407" t="s">
        <v>313</v>
      </c>
      <c r="P27" s="406" t="s">
        <v>75</v>
      </c>
    </row>
    <row r="28" spans="1:16" x14ac:dyDescent="0.2">
      <c r="A28" s="610" t="s">
        <v>381</v>
      </c>
      <c r="B28" s="610"/>
      <c r="C28" s="610"/>
      <c r="D28" s="610"/>
      <c r="E28" s="610"/>
      <c r="F28" s="610"/>
      <c r="G28" s="610"/>
      <c r="H28" s="610"/>
      <c r="I28" s="610"/>
      <c r="J28" s="610"/>
      <c r="K28" s="610"/>
      <c r="L28" s="610"/>
      <c r="M28" s="610"/>
      <c r="N28" s="610"/>
      <c r="O28" s="610"/>
      <c r="P28" s="406" t="s">
        <v>75</v>
      </c>
    </row>
    <row r="29" spans="1:16" x14ac:dyDescent="0.2">
      <c r="A29" s="609"/>
      <c r="B29" s="609"/>
      <c r="C29" s="609"/>
      <c r="D29" s="609"/>
      <c r="E29" s="609"/>
      <c r="F29" s="609"/>
      <c r="G29" s="609"/>
      <c r="H29" s="609"/>
      <c r="I29" s="609"/>
      <c r="J29" s="609"/>
      <c r="K29" s="609"/>
      <c r="L29" s="609"/>
      <c r="M29" s="609"/>
      <c r="N29" s="609"/>
      <c r="O29" s="609"/>
      <c r="P29" s="406" t="s">
        <v>75</v>
      </c>
    </row>
    <row r="30" spans="1:16" ht="15" x14ac:dyDescent="0.25">
      <c r="A30" s="407" t="s">
        <v>312</v>
      </c>
      <c r="P30" s="406" t="s">
        <v>75</v>
      </c>
    </row>
    <row r="31" spans="1:16" x14ac:dyDescent="0.2">
      <c r="A31" s="610" t="s">
        <v>328</v>
      </c>
      <c r="B31" s="610"/>
      <c r="C31" s="610"/>
      <c r="D31" s="610"/>
      <c r="E31" s="610"/>
      <c r="F31" s="610"/>
      <c r="G31" s="610"/>
      <c r="H31" s="610"/>
      <c r="I31" s="610"/>
      <c r="J31" s="610"/>
      <c r="K31" s="610"/>
      <c r="L31" s="610"/>
      <c r="M31" s="610"/>
      <c r="N31" s="610"/>
      <c r="O31" s="610"/>
      <c r="P31" s="406" t="s">
        <v>75</v>
      </c>
    </row>
    <row r="32" spans="1:16" x14ac:dyDescent="0.2">
      <c r="A32" s="609"/>
      <c r="B32" s="609"/>
      <c r="C32" s="609"/>
      <c r="D32" s="609"/>
      <c r="E32" s="609"/>
      <c r="F32" s="609"/>
      <c r="G32" s="609"/>
      <c r="H32" s="609"/>
      <c r="I32" s="609"/>
      <c r="J32" s="609"/>
      <c r="K32" s="609"/>
      <c r="L32" s="609"/>
      <c r="M32" s="609"/>
      <c r="N32" s="609"/>
      <c r="O32" s="609"/>
      <c r="P32" s="406" t="s">
        <v>75</v>
      </c>
    </row>
    <row r="33" spans="16:16" x14ac:dyDescent="0.2">
      <c r="P33" s="406" t="s">
        <v>75</v>
      </c>
    </row>
    <row r="34" spans="16:16" x14ac:dyDescent="0.2">
      <c r="P34" s="389" t="s">
        <v>76</v>
      </c>
    </row>
  </sheetData>
  <mergeCells count="16">
    <mergeCell ref="A32:O32"/>
    <mergeCell ref="A23:O23"/>
    <mergeCell ref="A25:O25"/>
    <mergeCell ref="A28:O28"/>
    <mergeCell ref="A29:O29"/>
    <mergeCell ref="A31:O31"/>
    <mergeCell ref="A24:K24"/>
    <mergeCell ref="A7:A8"/>
    <mergeCell ref="B7:D7"/>
    <mergeCell ref="H7:J7"/>
    <mergeCell ref="M7:O7"/>
    <mergeCell ref="A1:O1"/>
    <mergeCell ref="A2:O2"/>
    <mergeCell ref="A3:O3"/>
    <mergeCell ref="A4:O4"/>
    <mergeCell ref="E7:G7"/>
  </mergeCells>
  <printOptions horizontalCentered="1"/>
  <pageMargins left="0.7" right="0.7" top="0.64" bottom="0.61" header="0.3" footer="0.3"/>
  <pageSetup scale="72" orientation="landscape" r:id="rId1"/>
  <headerFooter>
    <oddHeader>&amp;L&amp;"Arial,Bold"&amp;12F. Crosswalk of 2012 Availability</oddHeader>
    <oddFooter>&amp;C&amp;"Arial,Regular"Exhibit F - Crosswalk of 2012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BreakPreview" topLeftCell="A10" zoomScale="80" zoomScaleNormal="100" zoomScaleSheetLayoutView="80" workbookViewId="0">
      <selection activeCell="A36" sqref="A36"/>
    </sheetView>
  </sheetViews>
  <sheetFormatPr defaultRowHeight="14.25" x14ac:dyDescent="0.2"/>
  <cols>
    <col min="1" max="1" width="34" style="346" customWidth="1"/>
    <col min="2" max="3" width="6.44140625" style="346" customWidth="1"/>
    <col min="4" max="4" width="9.88671875" style="346" customWidth="1"/>
    <col min="5" max="5" width="11.6640625" style="346" customWidth="1"/>
    <col min="6" max="7" width="6.44140625" style="346" customWidth="1"/>
    <col min="8" max="10" width="9.88671875" style="346" customWidth="1"/>
    <col min="11" max="12" width="6.44140625" style="346" customWidth="1"/>
    <col min="13" max="13" width="9.88671875" style="346" customWidth="1"/>
    <col min="14" max="14" width="10.88671875" style="347" bestFit="1" customWidth="1"/>
    <col min="15" max="15" width="3.5546875" style="346" customWidth="1"/>
    <col min="16" max="17" width="6.44140625" style="346" customWidth="1"/>
    <col min="18" max="18" width="9.88671875" style="346" customWidth="1"/>
    <col min="19" max="20" width="6.44140625" style="346" customWidth="1"/>
    <col min="21" max="21" width="9.88671875" style="346" customWidth="1"/>
    <col min="22" max="16384" width="8.88671875" style="346"/>
  </cols>
  <sheetData>
    <row r="1" spans="1:21" ht="18" x14ac:dyDescent="0.25">
      <c r="A1" s="613" t="s">
        <v>236</v>
      </c>
      <c r="B1" s="613"/>
      <c r="C1" s="613"/>
      <c r="D1" s="613"/>
      <c r="E1" s="613"/>
      <c r="F1" s="613"/>
      <c r="G1" s="613"/>
      <c r="H1" s="613"/>
      <c r="I1" s="613"/>
      <c r="J1" s="613"/>
      <c r="K1" s="613"/>
      <c r="L1" s="613"/>
      <c r="M1" s="613"/>
      <c r="N1" s="348" t="s">
        <v>75</v>
      </c>
      <c r="O1" s="387"/>
      <c r="P1" s="387"/>
      <c r="Q1" s="387"/>
      <c r="R1" s="387"/>
      <c r="S1" s="387"/>
      <c r="T1" s="387"/>
      <c r="U1" s="387"/>
    </row>
    <row r="2" spans="1:21" ht="15" x14ac:dyDescent="0.2">
      <c r="A2" s="614" t="s">
        <v>17</v>
      </c>
      <c r="B2" s="614"/>
      <c r="C2" s="614"/>
      <c r="D2" s="614"/>
      <c r="E2" s="614"/>
      <c r="F2" s="614"/>
      <c r="G2" s="614"/>
      <c r="H2" s="614"/>
      <c r="I2" s="614"/>
      <c r="J2" s="614"/>
      <c r="K2" s="614"/>
      <c r="L2" s="614"/>
      <c r="M2" s="614"/>
      <c r="N2" s="348" t="s">
        <v>75</v>
      </c>
      <c r="O2" s="386"/>
      <c r="P2" s="386"/>
      <c r="Q2" s="386"/>
      <c r="R2" s="386"/>
      <c r="S2" s="386"/>
      <c r="T2" s="386"/>
      <c r="U2" s="386"/>
    </row>
    <row r="3" spans="1:21" x14ac:dyDescent="0.2">
      <c r="A3" s="615" t="s">
        <v>18</v>
      </c>
      <c r="B3" s="615"/>
      <c r="C3" s="615"/>
      <c r="D3" s="615"/>
      <c r="E3" s="615"/>
      <c r="F3" s="615"/>
      <c r="G3" s="615"/>
      <c r="H3" s="615"/>
      <c r="I3" s="615"/>
      <c r="J3" s="615"/>
      <c r="K3" s="615"/>
      <c r="L3" s="615"/>
      <c r="M3" s="615"/>
      <c r="N3" s="348" t="s">
        <v>75</v>
      </c>
      <c r="O3" s="385"/>
      <c r="P3" s="385"/>
      <c r="Q3" s="385"/>
      <c r="R3" s="385"/>
      <c r="S3" s="385"/>
      <c r="T3" s="385"/>
      <c r="U3" s="385"/>
    </row>
    <row r="4" spans="1:21" x14ac:dyDescent="0.2">
      <c r="A4" s="616" t="s">
        <v>41</v>
      </c>
      <c r="B4" s="616"/>
      <c r="C4" s="616"/>
      <c r="D4" s="616"/>
      <c r="E4" s="616"/>
      <c r="F4" s="616"/>
      <c r="G4" s="616"/>
      <c r="H4" s="616"/>
      <c r="I4" s="616"/>
      <c r="J4" s="616"/>
      <c r="K4" s="616"/>
      <c r="L4" s="616"/>
      <c r="M4" s="616"/>
      <c r="N4" s="348" t="s">
        <v>75</v>
      </c>
      <c r="O4" s="383"/>
      <c r="P4" s="383"/>
      <c r="Q4" s="383"/>
      <c r="R4" s="383"/>
      <c r="S4" s="383"/>
      <c r="T4" s="383"/>
      <c r="U4" s="383"/>
    </row>
    <row r="5" spans="1:21" x14ac:dyDescent="0.2">
      <c r="A5" s="383"/>
      <c r="B5" s="383"/>
      <c r="C5" s="383"/>
      <c r="D5" s="383"/>
      <c r="E5" s="383"/>
      <c r="F5" s="383"/>
      <c r="G5" s="383"/>
      <c r="H5" s="383"/>
      <c r="I5" s="383"/>
      <c r="J5" s="383"/>
      <c r="K5" s="383"/>
      <c r="L5" s="383"/>
      <c r="M5" s="383"/>
      <c r="N5" s="348" t="s">
        <v>75</v>
      </c>
      <c r="O5" s="383"/>
      <c r="P5" s="383"/>
      <c r="Q5" s="383"/>
      <c r="R5" s="383"/>
      <c r="S5" s="383"/>
      <c r="T5" s="383"/>
      <c r="U5" s="383"/>
    </row>
    <row r="6" spans="1:21" ht="15" thickBot="1" x14ac:dyDescent="0.25">
      <c r="A6" s="384"/>
      <c r="B6" s="384"/>
      <c r="C6" s="384"/>
      <c r="D6" s="384"/>
      <c r="E6" s="384"/>
      <c r="F6" s="384"/>
      <c r="G6" s="384"/>
      <c r="H6" s="384"/>
      <c r="I6" s="384"/>
      <c r="J6" s="384"/>
      <c r="K6" s="384"/>
      <c r="L6" s="384"/>
      <c r="M6" s="384"/>
      <c r="N6" s="348" t="s">
        <v>75</v>
      </c>
      <c r="O6" s="383"/>
      <c r="P6" s="383"/>
      <c r="Q6" s="383"/>
      <c r="R6" s="383"/>
      <c r="S6" s="383"/>
      <c r="T6" s="383"/>
      <c r="U6" s="383"/>
    </row>
    <row r="7" spans="1:21" ht="33.75" customHeight="1" x14ac:dyDescent="0.2">
      <c r="A7" s="617" t="s">
        <v>197</v>
      </c>
      <c r="B7" s="619" t="s">
        <v>318</v>
      </c>
      <c r="C7" s="619"/>
      <c r="D7" s="619"/>
      <c r="E7" s="382" t="s">
        <v>317</v>
      </c>
      <c r="F7" s="620" t="s">
        <v>247</v>
      </c>
      <c r="G7" s="620"/>
      <c r="H7" s="620"/>
      <c r="I7" s="382" t="s">
        <v>316</v>
      </c>
      <c r="J7" s="382" t="s">
        <v>315</v>
      </c>
      <c r="K7" s="620" t="s">
        <v>243</v>
      </c>
      <c r="L7" s="620"/>
      <c r="M7" s="621"/>
      <c r="N7" s="348" t="s">
        <v>75</v>
      </c>
    </row>
    <row r="8" spans="1:21" ht="28.5" x14ac:dyDescent="0.2">
      <c r="A8" s="618"/>
      <c r="B8" s="381" t="s">
        <v>168</v>
      </c>
      <c r="C8" s="381" t="s">
        <v>201</v>
      </c>
      <c r="D8" s="381" t="s">
        <v>11</v>
      </c>
      <c r="E8" s="381" t="s">
        <v>11</v>
      </c>
      <c r="F8" s="381" t="s">
        <v>168</v>
      </c>
      <c r="G8" s="381" t="s">
        <v>201</v>
      </c>
      <c r="H8" s="381" t="s">
        <v>11</v>
      </c>
      <c r="I8" s="381" t="s">
        <v>11</v>
      </c>
      <c r="J8" s="381" t="s">
        <v>11</v>
      </c>
      <c r="K8" s="381" t="s">
        <v>168</v>
      </c>
      <c r="L8" s="381" t="s">
        <v>201</v>
      </c>
      <c r="M8" s="380" t="s">
        <v>11</v>
      </c>
      <c r="N8" s="348" t="s">
        <v>75</v>
      </c>
    </row>
    <row r="9" spans="1:21" x14ac:dyDescent="0.2">
      <c r="A9" s="379" t="s">
        <v>202</v>
      </c>
      <c r="B9" s="371">
        <v>15003</v>
      </c>
      <c r="C9" s="371">
        <v>12373</v>
      </c>
      <c r="D9" s="371">
        <v>2436090</v>
      </c>
      <c r="E9" s="371">
        <v>0</v>
      </c>
      <c r="F9" s="371">
        <v>0</v>
      </c>
      <c r="G9" s="371">
        <v>0</v>
      </c>
      <c r="H9" s="371">
        <v>0</v>
      </c>
      <c r="I9" s="371">
        <v>0</v>
      </c>
      <c r="J9" s="371">
        <v>0</v>
      </c>
      <c r="K9" s="371">
        <f t="shared" ref="K9:L12" si="0">B9+F9</f>
        <v>15003</v>
      </c>
      <c r="L9" s="371">
        <f t="shared" si="0"/>
        <v>12373</v>
      </c>
      <c r="M9" s="370">
        <f>D9+E9+H9+I9+J9</f>
        <v>2436090</v>
      </c>
      <c r="N9" s="348" t="s">
        <v>75</v>
      </c>
    </row>
    <row r="10" spans="1:21" x14ac:dyDescent="0.2">
      <c r="A10" s="363" t="s">
        <v>109</v>
      </c>
      <c r="B10" s="361">
        <v>24326</v>
      </c>
      <c r="C10" s="361">
        <v>22316</v>
      </c>
      <c r="D10" s="361">
        <v>2897918</v>
      </c>
      <c r="E10" s="361">
        <v>0</v>
      </c>
      <c r="F10" s="361">
        <v>0</v>
      </c>
      <c r="G10" s="361">
        <v>0</v>
      </c>
      <c r="H10" s="361">
        <v>30000</v>
      </c>
      <c r="I10" s="361">
        <v>0</v>
      </c>
      <c r="J10" s="361">
        <v>0</v>
      </c>
      <c r="K10" s="361">
        <f t="shared" si="0"/>
        <v>24326</v>
      </c>
      <c r="L10" s="361">
        <f t="shared" si="0"/>
        <v>22316</v>
      </c>
      <c r="M10" s="360">
        <f>D10+E10+H10+I10+J10</f>
        <v>2927918</v>
      </c>
      <c r="N10" s="348" t="s">
        <v>75</v>
      </c>
    </row>
    <row r="11" spans="1:21" x14ac:dyDescent="0.2">
      <c r="A11" s="363" t="s">
        <v>71</v>
      </c>
      <c r="B11" s="361">
        <v>413</v>
      </c>
      <c r="C11" s="361">
        <v>255</v>
      </c>
      <c r="D11" s="361">
        <v>1046579</v>
      </c>
      <c r="E11" s="361">
        <v>0</v>
      </c>
      <c r="F11" s="361">
        <v>0</v>
      </c>
      <c r="G11" s="361">
        <v>0</v>
      </c>
      <c r="H11" s="361">
        <v>0</v>
      </c>
      <c r="I11" s="361">
        <v>1727</v>
      </c>
      <c r="J11" s="361">
        <v>0</v>
      </c>
      <c r="K11" s="361">
        <f t="shared" si="0"/>
        <v>413</v>
      </c>
      <c r="L11" s="361">
        <f t="shared" si="0"/>
        <v>255</v>
      </c>
      <c r="M11" s="360">
        <f>D11+E11+H11+I11+J11</f>
        <v>1048306</v>
      </c>
      <c r="N11" s="348" t="s">
        <v>75</v>
      </c>
    </row>
    <row r="12" spans="1:21" x14ac:dyDescent="0.2">
      <c r="A12" s="378" t="s">
        <v>314</v>
      </c>
      <c r="B12" s="377">
        <v>1293</v>
      </c>
      <c r="C12" s="377">
        <v>1044</v>
      </c>
      <c r="D12" s="377">
        <v>210788</v>
      </c>
      <c r="E12" s="377">
        <v>0</v>
      </c>
      <c r="F12" s="377">
        <v>0</v>
      </c>
      <c r="G12" s="377">
        <v>0</v>
      </c>
      <c r="H12" s="377">
        <v>0</v>
      </c>
      <c r="I12" s="377">
        <v>0</v>
      </c>
      <c r="J12" s="377">
        <v>0</v>
      </c>
      <c r="K12" s="377">
        <f t="shared" si="0"/>
        <v>1293</v>
      </c>
      <c r="L12" s="377">
        <f t="shared" si="0"/>
        <v>1044</v>
      </c>
      <c r="M12" s="376">
        <f>D12+E12+H12+I12+J12</f>
        <v>210788</v>
      </c>
      <c r="N12" s="348" t="s">
        <v>75</v>
      </c>
    </row>
    <row r="13" spans="1:21" ht="15" x14ac:dyDescent="0.25">
      <c r="A13" s="375" t="s">
        <v>204</v>
      </c>
      <c r="B13" s="374">
        <f t="shared" ref="B13:M13" si="1">SUM(B9:B12)</f>
        <v>41035</v>
      </c>
      <c r="C13" s="374">
        <f t="shared" si="1"/>
        <v>35988</v>
      </c>
      <c r="D13" s="374">
        <f t="shared" si="1"/>
        <v>6591375</v>
      </c>
      <c r="E13" s="374">
        <f t="shared" si="1"/>
        <v>0</v>
      </c>
      <c r="F13" s="374">
        <f t="shared" si="1"/>
        <v>0</v>
      </c>
      <c r="G13" s="374">
        <f t="shared" si="1"/>
        <v>0</v>
      </c>
      <c r="H13" s="374">
        <f t="shared" si="1"/>
        <v>30000</v>
      </c>
      <c r="I13" s="374">
        <f t="shared" si="1"/>
        <v>1727</v>
      </c>
      <c r="J13" s="374">
        <f t="shared" si="1"/>
        <v>0</v>
      </c>
      <c r="K13" s="374">
        <f t="shared" si="1"/>
        <v>41035</v>
      </c>
      <c r="L13" s="374">
        <f t="shared" si="1"/>
        <v>35988</v>
      </c>
      <c r="M13" s="373">
        <f t="shared" si="1"/>
        <v>6623102</v>
      </c>
      <c r="N13" s="348" t="s">
        <v>75</v>
      </c>
    </row>
    <row r="14" spans="1:21" x14ac:dyDescent="0.2">
      <c r="A14" s="372" t="s">
        <v>205</v>
      </c>
      <c r="B14" s="371"/>
      <c r="C14" s="371"/>
      <c r="D14" s="371">
        <v>0</v>
      </c>
      <c r="E14" s="371"/>
      <c r="F14" s="371"/>
      <c r="G14" s="371"/>
      <c r="H14" s="371"/>
      <c r="I14" s="371"/>
      <c r="J14" s="371"/>
      <c r="K14" s="371"/>
      <c r="L14" s="371"/>
      <c r="M14" s="370">
        <f>D14+E14+H14+I14+J14</f>
        <v>0</v>
      </c>
      <c r="N14" s="348" t="s">
        <v>75</v>
      </c>
    </row>
    <row r="15" spans="1:21" x14ac:dyDescent="0.2">
      <c r="A15" s="369" t="s">
        <v>206</v>
      </c>
      <c r="B15" s="368"/>
      <c r="C15" s="368"/>
      <c r="D15" s="368">
        <f>SUM(D13:D14)</f>
        <v>6591375</v>
      </c>
      <c r="E15" s="368"/>
      <c r="F15" s="368"/>
      <c r="G15" s="368"/>
      <c r="H15" s="368"/>
      <c r="I15" s="368"/>
      <c r="J15" s="368"/>
      <c r="K15" s="368"/>
      <c r="L15" s="368"/>
      <c r="M15" s="367">
        <f>SUM(M13:M14)</f>
        <v>6623102</v>
      </c>
      <c r="N15" s="348" t="s">
        <v>75</v>
      </c>
    </row>
    <row r="16" spans="1:21" x14ac:dyDescent="0.2">
      <c r="A16" s="366" t="s">
        <v>7</v>
      </c>
      <c r="B16" s="365"/>
      <c r="C16" s="365">
        <v>0</v>
      </c>
      <c r="D16" s="365"/>
      <c r="E16" s="365"/>
      <c r="F16" s="365"/>
      <c r="G16" s="365">
        <v>0</v>
      </c>
      <c r="H16" s="365"/>
      <c r="I16" s="365">
        <v>0</v>
      </c>
      <c r="J16" s="365"/>
      <c r="K16" s="365"/>
      <c r="L16" s="365">
        <f>C16+G16</f>
        <v>0</v>
      </c>
      <c r="M16" s="364"/>
      <c r="N16" s="348" t="s">
        <v>75</v>
      </c>
    </row>
    <row r="17" spans="1:14" x14ac:dyDescent="0.2">
      <c r="A17" s="363" t="s">
        <v>207</v>
      </c>
      <c r="B17" s="361"/>
      <c r="C17" s="361">
        <f>C13+C16</f>
        <v>35988</v>
      </c>
      <c r="D17" s="361"/>
      <c r="E17" s="361"/>
      <c r="F17" s="361"/>
      <c r="G17" s="361">
        <f>G13+G16</f>
        <v>0</v>
      </c>
      <c r="H17" s="361"/>
      <c r="I17" s="361">
        <f>I13+I16</f>
        <v>1727</v>
      </c>
      <c r="J17" s="361"/>
      <c r="K17" s="361"/>
      <c r="L17" s="361">
        <f>L13+L16</f>
        <v>35988</v>
      </c>
      <c r="M17" s="360"/>
      <c r="N17" s="348" t="s">
        <v>75</v>
      </c>
    </row>
    <row r="18" spans="1:14" x14ac:dyDescent="0.2">
      <c r="A18" s="363"/>
      <c r="B18" s="361"/>
      <c r="C18" s="361"/>
      <c r="D18" s="361"/>
      <c r="E18" s="361"/>
      <c r="F18" s="361"/>
      <c r="G18" s="361"/>
      <c r="H18" s="361"/>
      <c r="I18" s="361"/>
      <c r="J18" s="361"/>
      <c r="K18" s="361"/>
      <c r="L18" s="361"/>
      <c r="M18" s="360"/>
      <c r="N18" s="348" t="s">
        <v>75</v>
      </c>
    </row>
    <row r="19" spans="1:14" x14ac:dyDescent="0.2">
      <c r="A19" s="363" t="s">
        <v>208</v>
      </c>
      <c r="B19" s="361"/>
      <c r="C19" s="361"/>
      <c r="D19" s="361"/>
      <c r="E19" s="361"/>
      <c r="F19" s="361"/>
      <c r="G19" s="361"/>
      <c r="H19" s="361"/>
      <c r="I19" s="361"/>
      <c r="J19" s="361"/>
      <c r="K19" s="361"/>
      <c r="L19" s="361"/>
      <c r="M19" s="360"/>
      <c r="N19" s="348" t="s">
        <v>75</v>
      </c>
    </row>
    <row r="20" spans="1:14" x14ac:dyDescent="0.2">
      <c r="A20" s="362" t="s">
        <v>209</v>
      </c>
      <c r="B20" s="361"/>
      <c r="C20" s="361">
        <v>0</v>
      </c>
      <c r="D20" s="361"/>
      <c r="E20" s="361"/>
      <c r="F20" s="361"/>
      <c r="G20" s="361">
        <v>0</v>
      </c>
      <c r="H20" s="361"/>
      <c r="I20" s="361">
        <v>0</v>
      </c>
      <c r="J20" s="361"/>
      <c r="K20" s="361"/>
      <c r="L20" s="361">
        <f>C20+G20</f>
        <v>0</v>
      </c>
      <c r="M20" s="360"/>
      <c r="N20" s="348" t="s">
        <v>75</v>
      </c>
    </row>
    <row r="21" spans="1:14" x14ac:dyDescent="0.2">
      <c r="A21" s="359" t="s">
        <v>210</v>
      </c>
      <c r="B21" s="358"/>
      <c r="C21" s="358">
        <v>0</v>
      </c>
      <c r="D21" s="358"/>
      <c r="E21" s="358"/>
      <c r="F21" s="358"/>
      <c r="G21" s="358">
        <v>0</v>
      </c>
      <c r="H21" s="358"/>
      <c r="I21" s="358">
        <v>0</v>
      </c>
      <c r="J21" s="358"/>
      <c r="K21" s="358"/>
      <c r="L21" s="358">
        <f>C21+G21</f>
        <v>0</v>
      </c>
      <c r="M21" s="357"/>
      <c r="N21" s="348" t="s">
        <v>75</v>
      </c>
    </row>
    <row r="22" spans="1:14" ht="15" thickBot="1" x14ac:dyDescent="0.25">
      <c r="A22" s="356" t="s">
        <v>211</v>
      </c>
      <c r="B22" s="355"/>
      <c r="C22" s="355">
        <f>C17+C20+C21</f>
        <v>35988</v>
      </c>
      <c r="D22" s="355"/>
      <c r="E22" s="355"/>
      <c r="F22" s="355"/>
      <c r="G22" s="355">
        <f>G17+G20+G21</f>
        <v>0</v>
      </c>
      <c r="H22" s="355"/>
      <c r="I22" s="355">
        <f>I17+I20+I21</f>
        <v>1727</v>
      </c>
      <c r="J22" s="355"/>
      <c r="K22" s="355"/>
      <c r="L22" s="355">
        <f>SUM(L17,L20:L21)</f>
        <v>35988</v>
      </c>
      <c r="M22" s="354"/>
      <c r="N22" s="348" t="s">
        <v>75</v>
      </c>
    </row>
    <row r="23" spans="1:14" x14ac:dyDescent="0.2">
      <c r="H23" s="353"/>
      <c r="N23" s="348" t="s">
        <v>75</v>
      </c>
    </row>
    <row r="24" spans="1:14" ht="14.25" customHeight="1" x14ac:dyDescent="0.2">
      <c r="A24" s="352" t="s">
        <v>277</v>
      </c>
      <c r="B24" s="351"/>
      <c r="C24" s="351"/>
      <c r="D24" s="351"/>
      <c r="E24" s="351"/>
      <c r="F24" s="351"/>
      <c r="G24" s="351"/>
      <c r="H24" s="351"/>
      <c r="I24" s="351"/>
      <c r="J24" s="351"/>
      <c r="K24" s="350"/>
      <c r="L24" s="350"/>
      <c r="M24" s="350"/>
      <c r="N24" s="348" t="s">
        <v>75</v>
      </c>
    </row>
    <row r="25" spans="1:14" x14ac:dyDescent="0.2">
      <c r="A25" s="350"/>
      <c r="B25" s="350"/>
      <c r="C25" s="350"/>
      <c r="D25" s="350"/>
      <c r="E25" s="350"/>
      <c r="F25" s="350"/>
      <c r="G25" s="350"/>
      <c r="H25" s="350"/>
      <c r="I25" s="350"/>
      <c r="J25" s="350"/>
      <c r="K25" s="350"/>
      <c r="L25" s="350"/>
      <c r="M25" s="350"/>
      <c r="N25" s="348" t="s">
        <v>75</v>
      </c>
    </row>
    <row r="26" spans="1:14" x14ac:dyDescent="0.2">
      <c r="N26" s="348" t="s">
        <v>75</v>
      </c>
    </row>
    <row r="27" spans="1:14" ht="15" x14ac:dyDescent="0.25">
      <c r="A27" s="349" t="s">
        <v>247</v>
      </c>
      <c r="N27" s="348" t="s">
        <v>75</v>
      </c>
    </row>
    <row r="28" spans="1:14" ht="14.25" customHeight="1" x14ac:dyDescent="0.2">
      <c r="A28" s="612" t="s">
        <v>379</v>
      </c>
      <c r="B28" s="612"/>
      <c r="C28" s="612"/>
      <c r="D28" s="612"/>
      <c r="E28" s="612"/>
      <c r="F28" s="612"/>
      <c r="G28" s="612"/>
      <c r="H28" s="612"/>
      <c r="I28" s="612"/>
      <c r="J28" s="612"/>
      <c r="K28" s="612"/>
      <c r="L28" s="612"/>
      <c r="M28" s="612"/>
      <c r="N28" s="348" t="s">
        <v>75</v>
      </c>
    </row>
    <row r="29" spans="1:14" x14ac:dyDescent="0.2">
      <c r="A29" s="622"/>
      <c r="B29" s="622"/>
      <c r="C29" s="622"/>
      <c r="D29" s="622"/>
      <c r="E29" s="622"/>
      <c r="F29" s="622"/>
      <c r="G29" s="622"/>
      <c r="H29" s="622"/>
      <c r="I29" s="622"/>
      <c r="J29" s="622"/>
      <c r="K29" s="622"/>
      <c r="L29" s="622"/>
      <c r="M29" s="622"/>
      <c r="N29" s="348" t="s">
        <v>75</v>
      </c>
    </row>
    <row r="30" spans="1:14" ht="15" x14ac:dyDescent="0.25">
      <c r="A30" s="349" t="s">
        <v>313</v>
      </c>
      <c r="N30" s="348" t="s">
        <v>75</v>
      </c>
    </row>
    <row r="31" spans="1:14" x14ac:dyDescent="0.2">
      <c r="A31" s="612" t="s">
        <v>382</v>
      </c>
      <c r="B31" s="612"/>
      <c r="C31" s="612"/>
      <c r="D31" s="612"/>
      <c r="E31" s="612"/>
      <c r="F31" s="612"/>
      <c r="G31" s="612"/>
      <c r="H31" s="612"/>
      <c r="I31" s="612"/>
      <c r="J31" s="612"/>
      <c r="K31" s="612"/>
      <c r="L31" s="612"/>
      <c r="M31" s="612"/>
      <c r="N31" s="348" t="s">
        <v>75</v>
      </c>
    </row>
    <row r="32" spans="1:14" x14ac:dyDescent="0.2">
      <c r="A32" s="622"/>
      <c r="B32" s="622"/>
      <c r="C32" s="622"/>
      <c r="D32" s="622"/>
      <c r="E32" s="622"/>
      <c r="F32" s="622"/>
      <c r="G32" s="622"/>
      <c r="H32" s="622"/>
      <c r="I32" s="622"/>
      <c r="J32" s="622"/>
      <c r="K32" s="622"/>
      <c r="L32" s="622"/>
      <c r="M32" s="622"/>
      <c r="N32" s="348" t="s">
        <v>75</v>
      </c>
    </row>
    <row r="33" spans="1:14" ht="15" x14ac:dyDescent="0.25">
      <c r="A33" s="349" t="s">
        <v>312</v>
      </c>
      <c r="N33" s="348" t="s">
        <v>75</v>
      </c>
    </row>
    <row r="34" spans="1:14" x14ac:dyDescent="0.2">
      <c r="A34" s="612" t="s">
        <v>380</v>
      </c>
      <c r="B34" s="612"/>
      <c r="C34" s="612"/>
      <c r="D34" s="612"/>
      <c r="E34" s="612"/>
      <c r="F34" s="612"/>
      <c r="G34" s="612"/>
      <c r="H34" s="612"/>
      <c r="I34" s="612"/>
      <c r="J34" s="612"/>
      <c r="K34" s="612"/>
      <c r="L34" s="612"/>
      <c r="M34" s="612"/>
      <c r="N34" s="348" t="s">
        <v>75</v>
      </c>
    </row>
    <row r="35" spans="1:14" x14ac:dyDescent="0.2">
      <c r="N35" s="348" t="s">
        <v>76</v>
      </c>
    </row>
    <row r="36" spans="1:14" x14ac:dyDescent="0.2">
      <c r="N36" s="348"/>
    </row>
    <row r="39" spans="1:14" x14ac:dyDescent="0.2">
      <c r="A39" s="610" t="s">
        <v>329</v>
      </c>
      <c r="B39" s="610"/>
      <c r="C39" s="610"/>
      <c r="D39" s="610"/>
      <c r="E39" s="610"/>
      <c r="F39" s="610"/>
      <c r="G39" s="610"/>
      <c r="H39" s="610"/>
      <c r="I39" s="610"/>
      <c r="J39" s="610"/>
      <c r="K39" s="610"/>
    </row>
  </sheetData>
  <mergeCells count="14">
    <mergeCell ref="A39:K39"/>
    <mergeCell ref="A34:M34"/>
    <mergeCell ref="A1:M1"/>
    <mergeCell ref="A2:M2"/>
    <mergeCell ref="A3:M3"/>
    <mergeCell ref="A4:M4"/>
    <mergeCell ref="A7:A8"/>
    <mergeCell ref="B7:D7"/>
    <mergeCell ref="F7:H7"/>
    <mergeCell ref="K7:M7"/>
    <mergeCell ref="A28:M28"/>
    <mergeCell ref="A29:M29"/>
    <mergeCell ref="A31:M31"/>
    <mergeCell ref="A32:M32"/>
  </mergeCells>
  <printOptions horizontalCentered="1"/>
  <pageMargins left="0.7" right="0.7" top="0.66" bottom="0.66" header="0.3" footer="0.3"/>
  <pageSetup scale="75" orientation="landscape" r:id="rId1"/>
  <headerFooter>
    <oddHeader>&amp;L&amp;"Arial,Bold"&amp;12G. Crosswalk of 2013 Availability</oddHeader>
    <oddFooter>&amp;C&amp;"Arial,Regular"Exhibit G - Crosswalk of 2013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80" zoomScaleNormal="100" zoomScaleSheetLayoutView="80" workbookViewId="0">
      <selection activeCell="N28" sqref="N28"/>
    </sheetView>
  </sheetViews>
  <sheetFormatPr defaultRowHeight="14.25" x14ac:dyDescent="0.2"/>
  <cols>
    <col min="1" max="1" width="37.33203125" style="388" customWidth="1"/>
    <col min="2" max="3" width="6.44140625" style="388" customWidth="1"/>
    <col min="4" max="4" width="9.88671875" style="388" customWidth="1"/>
    <col min="5" max="6" width="6.44140625" style="388" customWidth="1"/>
    <col min="7" max="7" width="9.88671875" style="388" customWidth="1"/>
    <col min="8" max="9" width="6.44140625" style="388" customWidth="1"/>
    <col min="10" max="10" width="9.88671875" style="388" customWidth="1"/>
    <col min="11" max="12" width="6.44140625" style="388" customWidth="1"/>
    <col min="13" max="13" width="9.88671875" style="388" customWidth="1"/>
    <col min="14" max="14" width="10.88671875" style="389" bestFit="1" customWidth="1"/>
    <col min="15" max="15" width="3.5546875" style="388" customWidth="1"/>
    <col min="16" max="17" width="6.44140625" style="388" customWidth="1"/>
    <col min="18" max="18" width="9.88671875" style="388" customWidth="1"/>
    <col min="19" max="20" width="6.44140625" style="388" customWidth="1"/>
    <col min="21" max="21" width="9.88671875" style="388" customWidth="1"/>
    <col min="22" max="16384" width="8.88671875" style="388"/>
  </cols>
  <sheetData>
    <row r="1" spans="1:21" ht="18" x14ac:dyDescent="0.25">
      <c r="A1" s="604" t="s">
        <v>97</v>
      </c>
      <c r="B1" s="604"/>
      <c r="C1" s="604"/>
      <c r="D1" s="604"/>
      <c r="E1" s="604"/>
      <c r="F1" s="604"/>
      <c r="G1" s="604"/>
      <c r="H1" s="604"/>
      <c r="I1" s="604"/>
      <c r="J1" s="604"/>
      <c r="K1" s="604"/>
      <c r="L1" s="604"/>
      <c r="M1" s="604"/>
      <c r="N1" s="406" t="s">
        <v>75</v>
      </c>
      <c r="O1" s="405"/>
      <c r="P1" s="405"/>
      <c r="Q1" s="405"/>
      <c r="R1" s="405"/>
      <c r="S1" s="405"/>
      <c r="T1" s="405"/>
      <c r="U1" s="405"/>
    </row>
    <row r="2" spans="1:21" ht="15" x14ac:dyDescent="0.2">
      <c r="A2" s="605" t="s">
        <v>17</v>
      </c>
      <c r="B2" s="605"/>
      <c r="C2" s="605"/>
      <c r="D2" s="605"/>
      <c r="E2" s="605"/>
      <c r="F2" s="605"/>
      <c r="G2" s="605"/>
      <c r="H2" s="605"/>
      <c r="I2" s="605"/>
      <c r="J2" s="605"/>
      <c r="K2" s="605"/>
      <c r="L2" s="605"/>
      <c r="M2" s="605"/>
      <c r="N2" s="406" t="s">
        <v>75</v>
      </c>
      <c r="O2" s="404"/>
      <c r="P2" s="404"/>
      <c r="Q2" s="404"/>
      <c r="R2" s="404"/>
      <c r="S2" s="404"/>
      <c r="T2" s="404"/>
      <c r="U2" s="404"/>
    </row>
    <row r="3" spans="1:21" x14ac:dyDescent="0.2">
      <c r="A3" s="606" t="s">
        <v>18</v>
      </c>
      <c r="B3" s="606"/>
      <c r="C3" s="606"/>
      <c r="D3" s="606"/>
      <c r="E3" s="606"/>
      <c r="F3" s="606"/>
      <c r="G3" s="606"/>
      <c r="H3" s="606"/>
      <c r="I3" s="606"/>
      <c r="J3" s="606"/>
      <c r="K3" s="606"/>
      <c r="L3" s="606"/>
      <c r="M3" s="606"/>
      <c r="N3" s="406" t="s">
        <v>75</v>
      </c>
      <c r="O3" s="403"/>
      <c r="P3" s="403"/>
      <c r="Q3" s="403"/>
      <c r="R3" s="403"/>
      <c r="S3" s="403"/>
      <c r="T3" s="403"/>
      <c r="U3" s="403"/>
    </row>
    <row r="4" spans="1:21" x14ac:dyDescent="0.2">
      <c r="A4" s="607" t="s">
        <v>41</v>
      </c>
      <c r="B4" s="607"/>
      <c r="C4" s="607"/>
      <c r="D4" s="607"/>
      <c r="E4" s="607"/>
      <c r="F4" s="607"/>
      <c r="G4" s="607"/>
      <c r="H4" s="607"/>
      <c r="I4" s="607"/>
      <c r="J4" s="607"/>
      <c r="K4" s="607"/>
      <c r="L4" s="607"/>
      <c r="M4" s="607"/>
      <c r="N4" s="406" t="s">
        <v>75</v>
      </c>
      <c r="O4" s="402"/>
      <c r="P4" s="402"/>
      <c r="Q4" s="402"/>
      <c r="R4" s="402"/>
      <c r="S4" s="402"/>
      <c r="T4" s="402"/>
      <c r="U4" s="402"/>
    </row>
    <row r="5" spans="1:21" x14ac:dyDescent="0.2">
      <c r="A5" s="607"/>
      <c r="B5" s="607"/>
      <c r="C5" s="607"/>
      <c r="D5" s="607"/>
      <c r="E5" s="607"/>
      <c r="F5" s="607"/>
      <c r="G5" s="607"/>
      <c r="H5" s="607"/>
      <c r="I5" s="607"/>
      <c r="J5" s="607"/>
      <c r="K5" s="607"/>
      <c r="L5" s="607"/>
      <c r="M5" s="607"/>
      <c r="N5" s="406" t="s">
        <v>75</v>
      </c>
      <c r="O5" s="402"/>
      <c r="P5" s="402"/>
      <c r="Q5" s="402"/>
      <c r="R5" s="402"/>
      <c r="S5" s="402"/>
      <c r="T5" s="402"/>
      <c r="U5" s="402"/>
    </row>
    <row r="6" spans="1:21" ht="15" thickBot="1" x14ac:dyDescent="0.25">
      <c r="A6" s="607"/>
      <c r="B6" s="607"/>
      <c r="C6" s="607"/>
      <c r="D6" s="607"/>
      <c r="E6" s="607"/>
      <c r="F6" s="607"/>
      <c r="G6" s="607"/>
      <c r="H6" s="607"/>
      <c r="I6" s="607"/>
      <c r="J6" s="607"/>
      <c r="K6" s="607"/>
      <c r="L6" s="607"/>
      <c r="M6" s="607"/>
      <c r="N6" s="406" t="s">
        <v>75</v>
      </c>
      <c r="O6" s="402"/>
      <c r="P6" s="402"/>
      <c r="Q6" s="402"/>
      <c r="R6" s="402"/>
      <c r="S6" s="402"/>
      <c r="T6" s="402"/>
      <c r="U6" s="402"/>
    </row>
    <row r="7" spans="1:21" ht="15" x14ac:dyDescent="0.2">
      <c r="A7" s="602" t="s">
        <v>336</v>
      </c>
      <c r="B7" s="556" t="s">
        <v>242</v>
      </c>
      <c r="C7" s="556"/>
      <c r="D7" s="556"/>
      <c r="E7" s="556" t="s">
        <v>244</v>
      </c>
      <c r="F7" s="556"/>
      <c r="G7" s="556"/>
      <c r="H7" s="556" t="s">
        <v>112</v>
      </c>
      <c r="I7" s="556"/>
      <c r="J7" s="556"/>
      <c r="K7" s="556" t="s">
        <v>98</v>
      </c>
      <c r="L7" s="556"/>
      <c r="M7" s="559"/>
      <c r="N7" s="406" t="s">
        <v>75</v>
      </c>
    </row>
    <row r="8" spans="1:21" ht="28.5" x14ac:dyDescent="0.2">
      <c r="A8" s="603"/>
      <c r="B8" s="397" t="s">
        <v>334</v>
      </c>
      <c r="C8" s="397" t="s">
        <v>333</v>
      </c>
      <c r="D8" s="397" t="s">
        <v>11</v>
      </c>
      <c r="E8" s="397" t="s">
        <v>334</v>
      </c>
      <c r="F8" s="397" t="s">
        <v>333</v>
      </c>
      <c r="G8" s="397" t="s">
        <v>11</v>
      </c>
      <c r="H8" s="397" t="s">
        <v>334</v>
      </c>
      <c r="I8" s="397" t="s">
        <v>333</v>
      </c>
      <c r="J8" s="397" t="s">
        <v>11</v>
      </c>
      <c r="K8" s="397" t="s">
        <v>334</v>
      </c>
      <c r="L8" s="397" t="s">
        <v>333</v>
      </c>
      <c r="M8" s="396" t="s">
        <v>11</v>
      </c>
      <c r="N8" s="406" t="s">
        <v>75</v>
      </c>
    </row>
    <row r="9" spans="1:21" x14ac:dyDescent="0.2">
      <c r="A9" s="401" t="s">
        <v>99</v>
      </c>
      <c r="B9" s="395">
        <v>0</v>
      </c>
      <c r="C9" s="395">
        <v>0</v>
      </c>
      <c r="D9" s="395">
        <v>13882</v>
      </c>
      <c r="E9" s="395">
        <v>136</v>
      </c>
      <c r="F9" s="395">
        <v>0</v>
      </c>
      <c r="G9" s="395">
        <v>21500</v>
      </c>
      <c r="H9" s="395">
        <v>136</v>
      </c>
      <c r="I9" s="395">
        <v>0</v>
      </c>
      <c r="J9" s="395">
        <v>20500</v>
      </c>
      <c r="K9" s="395">
        <f t="shared" ref="K9:K19" si="0">H9-E9</f>
        <v>0</v>
      </c>
      <c r="L9" s="395">
        <f t="shared" ref="L9:L19" si="1">I9-F9</f>
        <v>0</v>
      </c>
      <c r="M9" s="394">
        <f t="shared" ref="M9:M19" si="2">J9-G9</f>
        <v>-1000</v>
      </c>
      <c r="N9" s="406" t="s">
        <v>75</v>
      </c>
    </row>
    <row r="10" spans="1:21" x14ac:dyDescent="0.2">
      <c r="A10" s="392" t="s">
        <v>100</v>
      </c>
      <c r="B10" s="391">
        <v>0</v>
      </c>
      <c r="C10" s="391">
        <v>0</v>
      </c>
      <c r="D10" s="391">
        <v>4785</v>
      </c>
      <c r="E10" s="391">
        <v>0</v>
      </c>
      <c r="F10" s="391">
        <v>0</v>
      </c>
      <c r="G10" s="391">
        <v>3700</v>
      </c>
      <c r="H10" s="391">
        <v>0</v>
      </c>
      <c r="I10" s="391">
        <v>0</v>
      </c>
      <c r="J10" s="391">
        <v>3700</v>
      </c>
      <c r="K10" s="391">
        <f t="shared" si="0"/>
        <v>0</v>
      </c>
      <c r="L10" s="391">
        <f t="shared" si="1"/>
        <v>0</v>
      </c>
      <c r="M10" s="390">
        <f t="shared" si="2"/>
        <v>0</v>
      </c>
      <c r="N10" s="406" t="s">
        <v>75</v>
      </c>
    </row>
    <row r="11" spans="1:21" x14ac:dyDescent="0.2">
      <c r="A11" s="392" t="s">
        <v>23</v>
      </c>
      <c r="B11" s="391">
        <v>0</v>
      </c>
      <c r="C11" s="391">
        <v>0</v>
      </c>
      <c r="D11" s="391">
        <v>909</v>
      </c>
      <c r="E11" s="391">
        <v>0</v>
      </c>
      <c r="F11" s="391">
        <v>0</v>
      </c>
      <c r="G11" s="391">
        <v>1400</v>
      </c>
      <c r="H11" s="391">
        <v>0</v>
      </c>
      <c r="I11" s="391">
        <v>0</v>
      </c>
      <c r="J11" s="391">
        <v>1400</v>
      </c>
      <c r="K11" s="391">
        <f t="shared" si="0"/>
        <v>0</v>
      </c>
      <c r="L11" s="391">
        <f t="shared" si="1"/>
        <v>0</v>
      </c>
      <c r="M11" s="390">
        <f t="shared" si="2"/>
        <v>0</v>
      </c>
      <c r="N11" s="406" t="s">
        <v>75</v>
      </c>
    </row>
    <row r="12" spans="1:21" x14ac:dyDescent="0.2">
      <c r="A12" s="392" t="s">
        <v>101</v>
      </c>
      <c r="B12" s="391">
        <v>0</v>
      </c>
      <c r="C12" s="391">
        <v>0</v>
      </c>
      <c r="D12" s="391">
        <v>515</v>
      </c>
      <c r="E12" s="391">
        <v>0</v>
      </c>
      <c r="F12" s="391">
        <v>0</v>
      </c>
      <c r="G12" s="391">
        <v>500</v>
      </c>
      <c r="H12" s="391">
        <v>0</v>
      </c>
      <c r="I12" s="391">
        <v>0</v>
      </c>
      <c r="J12" s="391">
        <v>500</v>
      </c>
      <c r="K12" s="391">
        <f t="shared" si="0"/>
        <v>0</v>
      </c>
      <c r="L12" s="391">
        <f t="shared" si="1"/>
        <v>0</v>
      </c>
      <c r="M12" s="390">
        <f t="shared" si="2"/>
        <v>0</v>
      </c>
      <c r="N12" s="406" t="s">
        <v>75</v>
      </c>
    </row>
    <row r="13" spans="1:21" x14ac:dyDescent="0.2">
      <c r="A13" s="392" t="s">
        <v>102</v>
      </c>
      <c r="B13" s="391">
        <v>0</v>
      </c>
      <c r="C13" s="391">
        <v>0</v>
      </c>
      <c r="D13" s="391">
        <v>1450</v>
      </c>
      <c r="E13" s="391">
        <v>0</v>
      </c>
      <c r="F13" s="391">
        <v>0</v>
      </c>
      <c r="G13" s="391">
        <v>600</v>
      </c>
      <c r="H13" s="391">
        <v>0</v>
      </c>
      <c r="I13" s="391">
        <v>0</v>
      </c>
      <c r="J13" s="391">
        <v>600</v>
      </c>
      <c r="K13" s="391">
        <f t="shared" si="0"/>
        <v>0</v>
      </c>
      <c r="L13" s="391">
        <f t="shared" si="1"/>
        <v>0</v>
      </c>
      <c r="M13" s="390">
        <f t="shared" si="2"/>
        <v>0</v>
      </c>
      <c r="N13" s="406" t="s">
        <v>75</v>
      </c>
    </row>
    <row r="14" spans="1:21" x14ac:dyDescent="0.2">
      <c r="A14" s="392" t="s">
        <v>103</v>
      </c>
      <c r="B14" s="391">
        <v>0</v>
      </c>
      <c r="C14" s="391">
        <v>0</v>
      </c>
      <c r="D14" s="391">
        <v>18097</v>
      </c>
      <c r="E14" s="391">
        <v>0</v>
      </c>
      <c r="F14" s="391">
        <v>0</v>
      </c>
      <c r="G14" s="391">
        <v>18100</v>
      </c>
      <c r="H14" s="391">
        <v>0</v>
      </c>
      <c r="I14" s="391">
        <v>0</v>
      </c>
      <c r="J14" s="391">
        <v>18100</v>
      </c>
      <c r="K14" s="391">
        <f t="shared" si="0"/>
        <v>0</v>
      </c>
      <c r="L14" s="391">
        <f t="shared" si="1"/>
        <v>0</v>
      </c>
      <c r="M14" s="390">
        <f t="shared" si="2"/>
        <v>0</v>
      </c>
      <c r="N14" s="406" t="s">
        <v>75</v>
      </c>
    </row>
    <row r="15" spans="1:21" x14ac:dyDescent="0.2">
      <c r="A15" s="392" t="s">
        <v>104</v>
      </c>
      <c r="B15" s="391">
        <v>0</v>
      </c>
      <c r="C15" s="391">
        <v>0</v>
      </c>
      <c r="D15" s="391">
        <v>441</v>
      </c>
      <c r="E15" s="391">
        <v>0</v>
      </c>
      <c r="F15" s="391">
        <v>0</v>
      </c>
      <c r="G15" s="391">
        <v>300</v>
      </c>
      <c r="H15" s="391">
        <v>0</v>
      </c>
      <c r="I15" s="391">
        <v>0</v>
      </c>
      <c r="J15" s="391">
        <v>0</v>
      </c>
      <c r="K15" s="391">
        <f t="shared" si="0"/>
        <v>0</v>
      </c>
      <c r="L15" s="391">
        <f t="shared" si="1"/>
        <v>0</v>
      </c>
      <c r="M15" s="390">
        <f t="shared" si="2"/>
        <v>-300</v>
      </c>
      <c r="N15" s="406" t="s">
        <v>75</v>
      </c>
    </row>
    <row r="16" spans="1:21" x14ac:dyDescent="0.2">
      <c r="A16" s="392" t="s">
        <v>105</v>
      </c>
      <c r="B16" s="391">
        <v>0</v>
      </c>
      <c r="C16" s="391">
        <v>0</v>
      </c>
      <c r="D16" s="391">
        <v>2104</v>
      </c>
      <c r="E16" s="391">
        <v>0</v>
      </c>
      <c r="F16" s="391">
        <v>0</v>
      </c>
      <c r="G16" s="391">
        <v>2000</v>
      </c>
      <c r="H16" s="391">
        <v>0</v>
      </c>
      <c r="I16" s="391">
        <v>0</v>
      </c>
      <c r="J16" s="391">
        <v>2000</v>
      </c>
      <c r="K16" s="391">
        <f t="shared" si="0"/>
        <v>0</v>
      </c>
      <c r="L16" s="391">
        <f t="shared" si="1"/>
        <v>0</v>
      </c>
      <c r="M16" s="390">
        <f t="shared" si="2"/>
        <v>0</v>
      </c>
      <c r="N16" s="406" t="s">
        <v>75</v>
      </c>
    </row>
    <row r="17" spans="1:14" x14ac:dyDescent="0.2">
      <c r="A17" s="392" t="s">
        <v>106</v>
      </c>
      <c r="B17" s="391">
        <v>0</v>
      </c>
      <c r="C17" s="391">
        <v>0</v>
      </c>
      <c r="D17" s="391">
        <v>1390</v>
      </c>
      <c r="E17" s="391">
        <v>0</v>
      </c>
      <c r="F17" s="391">
        <v>0</v>
      </c>
      <c r="G17" s="391">
        <v>500</v>
      </c>
      <c r="H17" s="391">
        <v>0</v>
      </c>
      <c r="I17" s="391">
        <v>0</v>
      </c>
      <c r="J17" s="391">
        <v>500</v>
      </c>
      <c r="K17" s="391">
        <f t="shared" si="0"/>
        <v>0</v>
      </c>
      <c r="L17" s="391">
        <f t="shared" si="1"/>
        <v>0</v>
      </c>
      <c r="M17" s="390">
        <f t="shared" si="2"/>
        <v>0</v>
      </c>
      <c r="N17" s="406" t="s">
        <v>75</v>
      </c>
    </row>
    <row r="18" spans="1:14" x14ac:dyDescent="0.2">
      <c r="A18" s="392" t="s">
        <v>335</v>
      </c>
      <c r="B18" s="391">
        <v>0</v>
      </c>
      <c r="C18" s="391">
        <v>0</v>
      </c>
      <c r="D18" s="391">
        <v>5876</v>
      </c>
      <c r="E18" s="391">
        <v>0</v>
      </c>
      <c r="F18" s="391">
        <v>0</v>
      </c>
      <c r="G18" s="391">
        <v>4500</v>
      </c>
      <c r="H18" s="391">
        <v>0</v>
      </c>
      <c r="I18" s="391">
        <v>0</v>
      </c>
      <c r="J18" s="391">
        <v>4500</v>
      </c>
      <c r="K18" s="391">
        <f t="shared" si="0"/>
        <v>0</v>
      </c>
      <c r="L18" s="391">
        <f t="shared" si="1"/>
        <v>0</v>
      </c>
      <c r="M18" s="390">
        <f t="shared" si="2"/>
        <v>0</v>
      </c>
      <c r="N18" s="406" t="s">
        <v>75</v>
      </c>
    </row>
    <row r="19" spans="1:14" x14ac:dyDescent="0.2">
      <c r="A19" s="392" t="s">
        <v>108</v>
      </c>
      <c r="B19" s="391">
        <v>0</v>
      </c>
      <c r="C19" s="391">
        <v>0</v>
      </c>
      <c r="D19" s="391">
        <v>551</v>
      </c>
      <c r="E19" s="391">
        <v>0</v>
      </c>
      <c r="F19" s="391">
        <v>0</v>
      </c>
      <c r="G19" s="391">
        <v>200</v>
      </c>
      <c r="H19" s="391">
        <v>0</v>
      </c>
      <c r="I19" s="391">
        <v>0</v>
      </c>
      <c r="J19" s="391">
        <v>200</v>
      </c>
      <c r="K19" s="391">
        <f t="shared" si="0"/>
        <v>0</v>
      </c>
      <c r="L19" s="391">
        <f t="shared" si="1"/>
        <v>0</v>
      </c>
      <c r="M19" s="390">
        <f t="shared" si="2"/>
        <v>0</v>
      </c>
      <c r="N19" s="406" t="s">
        <v>75</v>
      </c>
    </row>
    <row r="20" spans="1:14" ht="15" x14ac:dyDescent="0.25">
      <c r="A20" s="420" t="s">
        <v>332</v>
      </c>
      <c r="B20" s="419">
        <f t="shared" ref="B20:M20" si="3">SUM(B9:B19)</f>
        <v>0</v>
      </c>
      <c r="C20" s="419">
        <f t="shared" si="3"/>
        <v>0</v>
      </c>
      <c r="D20" s="419">
        <f t="shared" si="3"/>
        <v>50000</v>
      </c>
      <c r="E20" s="419">
        <f t="shared" si="3"/>
        <v>136</v>
      </c>
      <c r="F20" s="419">
        <f t="shared" si="3"/>
        <v>0</v>
      </c>
      <c r="G20" s="419">
        <f t="shared" si="3"/>
        <v>53300</v>
      </c>
      <c r="H20" s="419">
        <f t="shared" si="3"/>
        <v>136</v>
      </c>
      <c r="I20" s="419">
        <f t="shared" si="3"/>
        <v>0</v>
      </c>
      <c r="J20" s="419">
        <f t="shared" si="3"/>
        <v>52000</v>
      </c>
      <c r="K20" s="419">
        <f t="shared" si="3"/>
        <v>0</v>
      </c>
      <c r="L20" s="419">
        <f t="shared" si="3"/>
        <v>0</v>
      </c>
      <c r="M20" s="418">
        <f t="shared" si="3"/>
        <v>-1300</v>
      </c>
      <c r="N20" s="406" t="s">
        <v>75</v>
      </c>
    </row>
    <row r="21" spans="1:14" ht="15" thickBot="1" x14ac:dyDescent="0.25">
      <c r="N21" s="406" t="s">
        <v>75</v>
      </c>
    </row>
    <row r="22" spans="1:14" ht="18" customHeight="1" x14ac:dyDescent="0.2">
      <c r="A22" s="602" t="s">
        <v>245</v>
      </c>
      <c r="B22" s="556" t="s">
        <v>242</v>
      </c>
      <c r="C22" s="556"/>
      <c r="D22" s="556"/>
      <c r="E22" s="556" t="s">
        <v>244</v>
      </c>
      <c r="F22" s="556"/>
      <c r="G22" s="556"/>
      <c r="H22" s="556" t="s">
        <v>112</v>
      </c>
      <c r="I22" s="556"/>
      <c r="J22" s="556"/>
      <c r="K22" s="556" t="s">
        <v>98</v>
      </c>
      <c r="L22" s="556"/>
      <c r="M22" s="559"/>
      <c r="N22" s="406" t="s">
        <v>75</v>
      </c>
    </row>
    <row r="23" spans="1:14" ht="28.5" x14ac:dyDescent="0.2">
      <c r="A23" s="603"/>
      <c r="B23" s="397" t="s">
        <v>334</v>
      </c>
      <c r="C23" s="397" t="s">
        <v>333</v>
      </c>
      <c r="D23" s="397" t="s">
        <v>11</v>
      </c>
      <c r="E23" s="397" t="s">
        <v>334</v>
      </c>
      <c r="F23" s="397" t="s">
        <v>333</v>
      </c>
      <c r="G23" s="397" t="s">
        <v>11</v>
      </c>
      <c r="H23" s="397" t="s">
        <v>334</v>
      </c>
      <c r="I23" s="397" t="s">
        <v>333</v>
      </c>
      <c r="J23" s="397" t="s">
        <v>11</v>
      </c>
      <c r="K23" s="397" t="s">
        <v>334</v>
      </c>
      <c r="L23" s="397" t="s">
        <v>333</v>
      </c>
      <c r="M23" s="396" t="s">
        <v>11</v>
      </c>
      <c r="N23" s="406" t="s">
        <v>75</v>
      </c>
    </row>
    <row r="24" spans="1:14" x14ac:dyDescent="0.2">
      <c r="A24" s="401" t="s">
        <v>203</v>
      </c>
      <c r="B24" s="395">
        <v>0</v>
      </c>
      <c r="C24" s="395">
        <v>0</v>
      </c>
      <c r="D24" s="395">
        <v>50000</v>
      </c>
      <c r="E24" s="395">
        <v>136</v>
      </c>
      <c r="F24" s="395">
        <v>0</v>
      </c>
      <c r="G24" s="395">
        <v>53300</v>
      </c>
      <c r="H24" s="395">
        <v>136</v>
      </c>
      <c r="I24" s="395">
        <v>0</v>
      </c>
      <c r="J24" s="395">
        <v>52000</v>
      </c>
      <c r="K24" s="395">
        <f>H24-E24</f>
        <v>0</v>
      </c>
      <c r="L24" s="395">
        <f>I24-F24</f>
        <v>0</v>
      </c>
      <c r="M24" s="394">
        <f>J24-G24</f>
        <v>-1300</v>
      </c>
      <c r="N24" s="406" t="s">
        <v>75</v>
      </c>
    </row>
    <row r="25" spans="1:14" x14ac:dyDescent="0.2">
      <c r="A25" s="400" t="s">
        <v>48</v>
      </c>
      <c r="B25" s="399" t="s">
        <v>48</v>
      </c>
      <c r="C25" s="399" t="s">
        <v>48</v>
      </c>
      <c r="D25" s="399" t="s">
        <v>43</v>
      </c>
      <c r="E25" s="399" t="s">
        <v>48</v>
      </c>
      <c r="F25" s="399" t="s">
        <v>48</v>
      </c>
      <c r="G25" s="399" t="s">
        <v>48</v>
      </c>
      <c r="H25" s="399" t="s">
        <v>48</v>
      </c>
      <c r="I25" s="399" t="s">
        <v>48</v>
      </c>
      <c r="J25" s="399" t="s">
        <v>48</v>
      </c>
      <c r="K25" s="399" t="s">
        <v>48</v>
      </c>
      <c r="L25" s="399" t="s">
        <v>48</v>
      </c>
      <c r="M25" s="398" t="s">
        <v>48</v>
      </c>
      <c r="N25" s="406" t="s">
        <v>75</v>
      </c>
    </row>
    <row r="26" spans="1:14" ht="15" x14ac:dyDescent="0.25">
      <c r="A26" s="420" t="s">
        <v>332</v>
      </c>
      <c r="B26" s="419">
        <f t="shared" ref="B26:M26" si="4">SUM(B24:B25)</f>
        <v>0</v>
      </c>
      <c r="C26" s="419">
        <f t="shared" si="4"/>
        <v>0</v>
      </c>
      <c r="D26" s="419">
        <f t="shared" si="4"/>
        <v>50000</v>
      </c>
      <c r="E26" s="419">
        <f t="shared" si="4"/>
        <v>136</v>
      </c>
      <c r="F26" s="419">
        <f t="shared" si="4"/>
        <v>0</v>
      </c>
      <c r="G26" s="419">
        <f t="shared" si="4"/>
        <v>53300</v>
      </c>
      <c r="H26" s="419">
        <f t="shared" si="4"/>
        <v>136</v>
      </c>
      <c r="I26" s="419">
        <f t="shared" si="4"/>
        <v>0</v>
      </c>
      <c r="J26" s="419">
        <f t="shared" si="4"/>
        <v>52000</v>
      </c>
      <c r="K26" s="419">
        <f t="shared" si="4"/>
        <v>0</v>
      </c>
      <c r="L26" s="419">
        <f t="shared" si="4"/>
        <v>0</v>
      </c>
      <c r="M26" s="418">
        <f t="shared" si="4"/>
        <v>-1300</v>
      </c>
      <c r="N26" s="406" t="s">
        <v>75</v>
      </c>
    </row>
    <row r="27" spans="1:14" x14ac:dyDescent="0.2">
      <c r="N27" s="406" t="s">
        <v>76</v>
      </c>
    </row>
    <row r="28" spans="1:14" x14ac:dyDescent="0.2">
      <c r="N28" s="406"/>
    </row>
  </sheetData>
  <mergeCells count="16">
    <mergeCell ref="A7:A8"/>
    <mergeCell ref="B7:D7"/>
    <mergeCell ref="E7:G7"/>
    <mergeCell ref="H7:J7"/>
    <mergeCell ref="K7:M7"/>
    <mergeCell ref="A22:A23"/>
    <mergeCell ref="B22:D22"/>
    <mergeCell ref="E22:G22"/>
    <mergeCell ref="H22:J22"/>
    <mergeCell ref="K22:M22"/>
    <mergeCell ref="A6:M6"/>
    <mergeCell ref="A1:M1"/>
    <mergeCell ref="A2:M2"/>
    <mergeCell ref="A3:M3"/>
    <mergeCell ref="A4:M4"/>
    <mergeCell ref="A5:M5"/>
  </mergeCells>
  <printOptions horizontalCentered="1"/>
  <pageMargins left="0.7" right="0.7" top="0.75" bottom="0.75" header="0.3" footer="0.3"/>
  <pageSetup scale="79" orientation="landscape" r:id="rId1"/>
  <headerFooter>
    <oddHeader>&amp;L&amp;"Arial,Bold"&amp;12H. Summary of Reimbursable Resources</oddHeader>
    <oddFooter>&amp;C&amp;"Arial,Regular"Exhibit H - Summary of Reimbursable Resources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18</vt:i4>
      </vt:variant>
    </vt:vector>
  </HeadingPairs>
  <TitlesOfParts>
    <vt:vector size="34" baseType="lpstr">
      <vt:lpstr>A. Org. Chart</vt:lpstr>
      <vt:lpstr>B. Summ of Req.</vt:lpstr>
      <vt:lpstr>B. Summ of Req. by DU</vt:lpstr>
      <vt:lpstr>C. Program Changes by DU</vt:lpstr>
      <vt:lpstr>D. Strategic Goals &amp; Objectives</vt:lpstr>
      <vt:lpstr>E. ATB Justification</vt:lpstr>
      <vt:lpstr>F. 2012 Crosswalk </vt:lpstr>
      <vt:lpstr>G. 2013 Crosswalk </vt:lpstr>
      <vt:lpstr>H. Reimbursable Resources</vt:lpstr>
      <vt:lpstr>I. Permanent Positions</vt:lpstr>
      <vt:lpstr>J. Financial Analysis (2)</vt:lpstr>
      <vt:lpstr>K. Summary by Grade</vt:lpstr>
      <vt:lpstr>L. Summary by Object Class</vt:lpstr>
      <vt:lpstr>M. Summary by Appropriation</vt:lpstr>
      <vt:lpstr>N. Summary of Change</vt:lpstr>
      <vt:lpstr> PCA Worksheet</vt:lpstr>
      <vt:lpstr>' PCA Worksheet'!Print_Area</vt:lpstr>
      <vt:lpstr>'A. Org. Chart'!Print_Area</vt:lpstr>
      <vt:lpstr>'B. Summ of Req.'!Print_Area</vt:lpstr>
      <vt:lpstr>'B. Summ of Req. by DU'!Print_Area</vt:lpstr>
      <vt:lpstr>'C. Program Changes by DU'!Print_Area</vt:lpstr>
      <vt:lpstr>'D. Strategic Goals &amp; Objectives'!Print_Area</vt:lpstr>
      <vt:lpstr>'E. ATB Justification'!Print_Area</vt:lpstr>
      <vt:lpstr>'F. 2012 Crosswalk '!Print_Area</vt:lpstr>
      <vt:lpstr>'G. 2013 Crosswalk '!Print_Area</vt:lpstr>
      <vt:lpstr>'H. Reimbursable Resources'!Print_Area</vt:lpstr>
      <vt:lpstr>'I. Permanent Positions'!Print_Area</vt:lpstr>
      <vt:lpstr>'J. Financial Analysis (2)'!Print_Area</vt:lpstr>
      <vt:lpstr>'K. Summary by Grade'!Print_Area</vt:lpstr>
      <vt:lpstr>'L. Summary by Object Class'!Print_Area</vt:lpstr>
      <vt:lpstr>'M. Summary by Appropriation'!Print_Area</vt:lpstr>
      <vt:lpstr>'N. Summary of Change'!Print_Area</vt:lpstr>
      <vt:lpstr>'E. ATB Justification'!Print_Titles</vt:lpstr>
      <vt:lpstr>'J. Financial Analysis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bop0968</dc:creator>
  <cp:lastModifiedBy>Lyberg, Sarah (JMD)</cp:lastModifiedBy>
  <cp:lastPrinted>2013-03-27T16:16:51Z</cp:lastPrinted>
  <dcterms:created xsi:type="dcterms:W3CDTF">2006-12-18T16:48:27Z</dcterms:created>
  <dcterms:modified xsi:type="dcterms:W3CDTF">2013-04-09T22:04:31Z</dcterms:modified>
</cp:coreProperties>
</file>