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36" windowHeight="9444"/>
  </bookViews>
  <sheets>
    <sheet name="A" sheetId="1" r:id="rId1"/>
    <sheet name="B" sheetId="2" r:id="rId2"/>
  </sheets>
  <definedNames>
    <definedName name="_NBSTARTMACRO">B!$B$1</definedName>
    <definedName name="ALLOC2">A!$AQ$17:$AQ$26</definedName>
    <definedName name="ALLOC8">A!$AQ$80:$AQ$86</definedName>
    <definedName name="_AUD13">A!$BW$136:$CE$139</definedName>
    <definedName name="AUDIT">A!$BW$17:$CE$26</definedName>
    <definedName name="AUDIT8">A!$BV$80:$CE$86</definedName>
    <definedName name="BU">A!$O$154:$V$154</definedName>
    <definedName name="CASH">A!$W$29:$W$35</definedName>
    <definedName name="CASH13">A!$W$136:$W$139</definedName>
    <definedName name="CASH2">A!$W$17:$W$26</definedName>
    <definedName name="CASH8">A!$W$80:$W$86</definedName>
    <definedName name="DATA">A!$O$166:$W$178</definedName>
    <definedName name="DISB">A!$O$17:$R$26</definedName>
    <definedName name="DISB13">A!$O$136:$V$139</definedName>
    <definedName name="DISB8">A!$O$80:$R$86</definedName>
    <definedName name="DISBTOT8">A!$V$80:$V$86</definedName>
    <definedName name="ELEVEN">A!$D$122:$BX$127</definedName>
    <definedName name="EN">A!$O$156:$V$156</definedName>
    <definedName name="EXP">A!$AQ$29:$AR$35</definedName>
    <definedName name="_EXP13">A!$AQ$136:$AR$139</definedName>
    <definedName name="_EXP2">A!$AR$17:$AR$26</definedName>
    <definedName name="_EXP8">A!$AR$80:$AR$86</definedName>
    <definedName name="LO">A!$O$160:$V$164</definedName>
    <definedName name="_LO2">A!$AQ$160:$AR$164</definedName>
    <definedName name="NAMES">A!$B$12:$E$198</definedName>
    <definedName name="NINE">A!$D$87:$BX$105</definedName>
    <definedName name="_xlnm.Print_Titles" localSheetId="0">A!$A:$B,A!$3:$11</definedName>
    <definedName name="_xlnm.Print_Titles" localSheetId="1">B!$A:$B,B!$3:$11</definedName>
    <definedName name="RATIO">A!$W$12:$W$13</definedName>
    <definedName name="_REG12">A!$O$133:$V$134</definedName>
    <definedName name="_REG13">A!$O$136:$V$139</definedName>
    <definedName name="_REG17">A!$O$154:$V$164</definedName>
    <definedName name="SUMDISB">A!$O$16:$V$16</definedName>
    <definedName name="SUMEXP">A!$AQ$16:$AR$16</definedName>
    <definedName name="SUMRATIO">A!$W$16:$W$16</definedName>
    <definedName name="THIRTEEN">A!$D$136:$BX$139</definedName>
    <definedName name="TOTDISB">A!$V$17:$V$26</definedName>
  </definedNames>
  <calcPr calcId="0" fullCalcOnLoad="1" iterateCount="2"/>
</workbook>
</file>

<file path=xl/calcChain.xml><?xml version="1.0" encoding="utf-8"?>
<calcChain xmlns="http://schemas.openxmlformats.org/spreadsheetml/2006/main">
  <c r="H9" i="1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H10"/>
  <c r="I10"/>
  <c r="J10"/>
  <c r="K10"/>
  <c r="L10"/>
  <c r="M10"/>
  <c r="N10"/>
  <c r="O10"/>
  <c r="P10"/>
  <c r="Q10"/>
  <c r="R10"/>
  <c r="S10"/>
  <c r="T10"/>
  <c r="U10"/>
  <c r="V10"/>
  <c r="X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Y12"/>
  <c r="AB12"/>
  <c r="AK12"/>
  <c r="BE12"/>
  <c r="BJ12"/>
  <c r="Y13"/>
  <c r="AB13"/>
  <c r="AF13"/>
  <c r="AK13"/>
  <c r="BJ13"/>
  <c r="Y14"/>
  <c r="AB14"/>
  <c r="AK14"/>
  <c r="BJ14"/>
  <c r="Y15"/>
  <c r="AB15"/>
  <c r="AF15"/>
  <c r="AK15"/>
  <c r="BJ15"/>
  <c r="Y16"/>
  <c r="AB16"/>
  <c r="AF16"/>
  <c r="AK16"/>
  <c r="BJ16"/>
  <c r="Y17"/>
  <c r="AB17"/>
  <c r="AF17"/>
  <c r="AK17"/>
  <c r="BJ17"/>
  <c r="Y18"/>
  <c r="AB18"/>
  <c r="AF18"/>
  <c r="AK18"/>
  <c r="BJ18"/>
  <c r="Y19"/>
  <c r="AB19"/>
  <c r="AK19"/>
  <c r="BE19"/>
  <c r="BJ19"/>
  <c r="Y20"/>
  <c r="AB20"/>
  <c r="AK20"/>
  <c r="BE20"/>
  <c r="BJ20"/>
  <c r="Y21"/>
  <c r="AB21"/>
  <c r="AF21"/>
  <c r="AK21"/>
  <c r="BJ21"/>
  <c r="Y22"/>
  <c r="AB22"/>
  <c r="AF22"/>
  <c r="AK22"/>
  <c r="BJ22"/>
  <c r="Y23"/>
  <c r="AB23"/>
  <c r="AK23"/>
  <c r="BJ23"/>
  <c r="Y24"/>
  <c r="AB24"/>
  <c r="AK24"/>
  <c r="BJ24"/>
  <c r="Y25"/>
  <c r="AB25"/>
  <c r="AK25"/>
  <c r="BJ25"/>
  <c r="Y26"/>
  <c r="AB26"/>
  <c r="AK26"/>
  <c r="BJ26"/>
  <c r="Y27"/>
  <c r="AB27"/>
  <c r="AK27"/>
  <c r="BJ27"/>
  <c r="Y28"/>
  <c r="AB28"/>
  <c r="AF28"/>
  <c r="AK28"/>
  <c r="BE28"/>
  <c r="BJ28"/>
  <c r="Y29"/>
  <c r="AB29"/>
  <c r="AF29"/>
  <c r="AK29"/>
  <c r="BJ29"/>
  <c r="Y30"/>
  <c r="AB30"/>
  <c r="AK30"/>
  <c r="BJ30"/>
  <c r="Y31"/>
  <c r="AB31"/>
  <c r="AF31"/>
  <c r="AK31"/>
  <c r="BJ31"/>
  <c r="Y32"/>
  <c r="AB32"/>
  <c r="AF32"/>
  <c r="AK32"/>
  <c r="BE32"/>
  <c r="BJ32"/>
  <c r="Y33"/>
  <c r="AB33"/>
  <c r="AK33"/>
  <c r="BE33"/>
  <c r="BJ33"/>
  <c r="Y34"/>
  <c r="AB34"/>
  <c r="AF34"/>
  <c r="AK34"/>
  <c r="BC34"/>
  <c r="BE34"/>
  <c r="BJ34"/>
  <c r="Y35"/>
  <c r="AB35"/>
  <c r="AF35"/>
  <c r="AK35"/>
  <c r="BE35"/>
  <c r="BJ35"/>
  <c r="Y36"/>
  <c r="AB36"/>
  <c r="AK36"/>
  <c r="BJ36"/>
  <c r="Y37"/>
  <c r="AB37"/>
  <c r="AK37"/>
  <c r="BE37"/>
  <c r="BJ37"/>
  <c r="Y38"/>
  <c r="AB38"/>
  <c r="AK38"/>
  <c r="BJ38"/>
  <c r="Y39"/>
  <c r="AB39"/>
  <c r="AK39"/>
  <c r="BJ39"/>
  <c r="Y40"/>
  <c r="AB40"/>
  <c r="AK40"/>
  <c r="BJ40"/>
  <c r="Y41"/>
  <c r="AB41"/>
  <c r="AF41"/>
  <c r="AK41"/>
  <c r="BJ41"/>
  <c r="Y42"/>
  <c r="AB42"/>
  <c r="AK42"/>
  <c r="BJ42"/>
  <c r="Y43"/>
  <c r="AB43"/>
  <c r="AK43"/>
  <c r="BJ43"/>
  <c r="Y44"/>
  <c r="AB44"/>
  <c r="AK44"/>
  <c r="BE44"/>
  <c r="BJ44"/>
  <c r="Y45"/>
  <c r="AB45"/>
  <c r="AK45"/>
  <c r="BE45"/>
  <c r="BJ45"/>
  <c r="Y46"/>
  <c r="AB46"/>
  <c r="AF46"/>
  <c r="AK46"/>
  <c r="BJ46"/>
  <c r="Y47"/>
  <c r="AB47"/>
  <c r="AK47"/>
  <c r="BJ47"/>
  <c r="Y48"/>
  <c r="AB48"/>
  <c r="AK48"/>
  <c r="BJ48"/>
  <c r="Y49"/>
  <c r="AB49"/>
  <c r="AK49"/>
  <c r="BE49"/>
  <c r="BJ49"/>
  <c r="Y50"/>
  <c r="AB50"/>
  <c r="AF50"/>
  <c r="AK50"/>
  <c r="BE50"/>
  <c r="BJ50"/>
  <c r="Y51"/>
  <c r="AB51"/>
  <c r="AF51"/>
  <c r="AK51"/>
  <c r="BJ51"/>
  <c r="Y52"/>
  <c r="AB52"/>
  <c r="AK52"/>
  <c r="BE52"/>
  <c r="BJ52"/>
  <c r="Y53"/>
  <c r="AB53"/>
  <c r="AF53"/>
  <c r="AK53"/>
  <c r="BJ53"/>
  <c r="Y54"/>
  <c r="AB54"/>
  <c r="AF54"/>
  <c r="AK54"/>
  <c r="BJ54"/>
  <c r="Y55"/>
  <c r="AB55"/>
  <c r="AK55"/>
  <c r="BJ55"/>
  <c r="Y56"/>
  <c r="AB56"/>
  <c r="AF56"/>
  <c r="AK56"/>
  <c r="BE56"/>
  <c r="BJ56"/>
  <c r="Y57"/>
  <c r="AB57"/>
  <c r="AF57"/>
  <c r="AK57"/>
  <c r="BJ57"/>
  <c r="Y58"/>
  <c r="AB58"/>
  <c r="AK58"/>
  <c r="BJ58"/>
  <c r="X59"/>
  <c r="Y59"/>
  <c r="AB59"/>
  <c r="AF59"/>
  <c r="AK59"/>
  <c r="BJ59"/>
  <c r="X60"/>
  <c r="Y60"/>
  <c r="AB60"/>
  <c r="AK60"/>
  <c r="BJ60"/>
  <c r="Y61"/>
  <c r="AB61"/>
  <c r="AF61"/>
  <c r="AK61"/>
  <c r="BJ61"/>
  <c r="Y62"/>
  <c r="AB62"/>
  <c r="AF62"/>
  <c r="AK62"/>
  <c r="BJ62"/>
  <c r="Y63"/>
  <c r="AB63"/>
  <c r="AF63"/>
  <c r="AK63"/>
  <c r="BE63"/>
  <c r="BJ63"/>
  <c r="Y64"/>
  <c r="AB64"/>
  <c r="AK64"/>
  <c r="BJ64"/>
  <c r="Y65"/>
  <c r="AB65"/>
  <c r="AK65"/>
  <c r="BE65"/>
  <c r="BJ65"/>
  <c r="Y66"/>
  <c r="AB66"/>
  <c r="AF66"/>
  <c r="AK66"/>
  <c r="BE66"/>
  <c r="BJ66"/>
  <c r="Y67"/>
  <c r="AB67"/>
  <c r="AK67"/>
  <c r="BE67"/>
  <c r="BJ67"/>
  <c r="Y68"/>
  <c r="AB68"/>
  <c r="AK68"/>
  <c r="BE68"/>
  <c r="BJ68"/>
  <c r="Y69"/>
  <c r="AB69"/>
  <c r="AK69"/>
  <c r="BE69"/>
  <c r="BJ69"/>
  <c r="Y70"/>
  <c r="AB70"/>
  <c r="AF70"/>
  <c r="AK70"/>
  <c r="BJ70"/>
  <c r="Y71"/>
  <c r="AB71"/>
  <c r="AK71"/>
  <c r="BJ71"/>
  <c r="Y72"/>
  <c r="AB72"/>
  <c r="AK72"/>
  <c r="BE72"/>
  <c r="BJ72"/>
  <c r="Y73"/>
  <c r="AB73"/>
  <c r="AK73"/>
  <c r="BJ73"/>
  <c r="Y74"/>
  <c r="AB74"/>
  <c r="AK74"/>
  <c r="BJ74"/>
  <c r="Y75"/>
  <c r="AB75"/>
  <c r="AF75"/>
  <c r="AK75"/>
  <c r="BJ75"/>
  <c r="Y76"/>
  <c r="AB76"/>
  <c r="AK76"/>
  <c r="BJ76"/>
  <c r="Y77"/>
  <c r="AB77"/>
  <c r="AK77"/>
  <c r="BE77"/>
  <c r="BJ77"/>
  <c r="X78"/>
  <c r="Y78"/>
  <c r="AB78"/>
  <c r="AK78"/>
  <c r="BJ78"/>
  <c r="Y79"/>
  <c r="AB79"/>
  <c r="AK79"/>
  <c r="BJ79"/>
  <c r="X80"/>
  <c r="Y80"/>
  <c r="AB80"/>
  <c r="AK80"/>
  <c r="BE80"/>
  <c r="BJ80"/>
  <c r="Y81"/>
  <c r="AB81"/>
  <c r="AK81"/>
  <c r="BE81"/>
  <c r="BJ81"/>
  <c r="Y82"/>
  <c r="AB82"/>
  <c r="AK82"/>
  <c r="BJ82"/>
  <c r="X83"/>
  <c r="Y83"/>
  <c r="AB83"/>
  <c r="AK83"/>
  <c r="BJ83"/>
  <c r="Y84"/>
  <c r="AB84"/>
  <c r="AK84"/>
  <c r="BJ84"/>
  <c r="Y85"/>
  <c r="AB85"/>
  <c r="AF85"/>
  <c r="AK85"/>
  <c r="BE85"/>
  <c r="BJ85"/>
  <c r="Y86"/>
  <c r="AB86"/>
  <c r="AK86"/>
  <c r="BJ86"/>
  <c r="Y87"/>
  <c r="AB87"/>
  <c r="AF87"/>
  <c r="AK87"/>
  <c r="BE87"/>
  <c r="BJ87"/>
  <c r="Y88"/>
  <c r="AB88"/>
  <c r="AF88"/>
  <c r="AK88"/>
  <c r="BJ88"/>
  <c r="Y89"/>
  <c r="AB89"/>
  <c r="AF89"/>
  <c r="AK89"/>
  <c r="BE89"/>
  <c r="BJ89"/>
  <c r="Y90"/>
  <c r="AB90"/>
  <c r="AK90"/>
  <c r="BJ90"/>
  <c r="Y91"/>
  <c r="AB91"/>
  <c r="AF91"/>
  <c r="AK91"/>
  <c r="BJ91"/>
  <c r="Y92"/>
  <c r="AB92"/>
  <c r="AF92"/>
  <c r="AK92"/>
  <c r="BJ92"/>
  <c r="Y93"/>
  <c r="AB93"/>
  <c r="AF93"/>
  <c r="AK93"/>
  <c r="BE93"/>
  <c r="BJ93"/>
  <c r="Y94"/>
  <c r="AF94"/>
  <c r="AK94"/>
  <c r="BJ94"/>
  <c r="Y95"/>
  <c r="AF95"/>
  <c r="AK95"/>
  <c r="BJ95"/>
  <c r="Y96"/>
  <c r="AB96"/>
  <c r="AK96"/>
  <c r="BE96"/>
  <c r="BJ96"/>
  <c r="Y97"/>
  <c r="AB97"/>
  <c r="AK97"/>
  <c r="BJ97"/>
  <c r="Y98"/>
  <c r="AB98"/>
  <c r="AF98"/>
  <c r="AK98"/>
  <c r="BD98"/>
  <c r="BE98"/>
  <c r="BJ98"/>
  <c r="Y99"/>
  <c r="AB99"/>
  <c r="AK99"/>
  <c r="BJ99"/>
  <c r="Y100"/>
  <c r="AB100"/>
  <c r="AF100"/>
  <c r="AK100"/>
  <c r="BJ100"/>
  <c r="Y101"/>
  <c r="AB101"/>
  <c r="AF101"/>
  <c r="AK101"/>
  <c r="BE101"/>
  <c r="BJ101"/>
  <c r="Y102"/>
  <c r="AB102"/>
  <c r="AF102"/>
  <c r="AK102"/>
  <c r="BJ102"/>
  <c r="Y103"/>
  <c r="AB103"/>
  <c r="AK103"/>
  <c r="BE103"/>
  <c r="BJ103"/>
  <c r="Y104"/>
  <c r="AB104"/>
  <c r="AF104"/>
  <c r="AK104"/>
  <c r="BE104"/>
  <c r="BJ104"/>
  <c r="Y105"/>
  <c r="AB105"/>
  <c r="AF105"/>
  <c r="AK105"/>
  <c r="BE105"/>
  <c r="BJ105"/>
  <c r="Y106"/>
  <c r="AB106"/>
  <c r="AK106"/>
  <c r="BE106"/>
  <c r="BJ106"/>
  <c r="Y107"/>
  <c r="AB107"/>
  <c r="AF107"/>
  <c r="AK107"/>
  <c r="BE107"/>
  <c r="BJ107"/>
  <c r="Y108"/>
  <c r="AB108"/>
  <c r="AF108"/>
  <c r="AK108"/>
  <c r="BJ108"/>
  <c r="Y109"/>
  <c r="AB109"/>
  <c r="AK109"/>
  <c r="BJ109"/>
  <c r="Y110"/>
  <c r="AB110"/>
  <c r="AK110"/>
  <c r="BE110"/>
  <c r="BJ110"/>
  <c r="Y111"/>
  <c r="AB111"/>
  <c r="AF111"/>
  <c r="AK111"/>
  <c r="BJ111"/>
  <c r="Y112"/>
  <c r="AB112"/>
  <c r="AF112"/>
  <c r="AK112"/>
  <c r="BJ112"/>
  <c r="Y113"/>
  <c r="AB113"/>
  <c r="AK113"/>
  <c r="BE113"/>
  <c r="BJ113"/>
  <c r="Y114"/>
  <c r="AB114"/>
  <c r="AF114"/>
  <c r="AK114"/>
  <c r="BE114"/>
  <c r="BJ114"/>
  <c r="Y115"/>
  <c r="AB115"/>
  <c r="AF115"/>
  <c r="AK115"/>
  <c r="BE115"/>
  <c r="BJ115"/>
  <c r="Y116"/>
  <c r="AB116"/>
  <c r="AF116"/>
  <c r="AK116"/>
  <c r="BE116"/>
  <c r="BJ116"/>
  <c r="Y117"/>
  <c r="AB117"/>
  <c r="AF117"/>
  <c r="AK117"/>
  <c r="BE117"/>
  <c r="BJ117"/>
  <c r="Y118"/>
  <c r="AB118"/>
  <c r="AF118"/>
  <c r="AK118"/>
  <c r="BE118"/>
  <c r="BJ118"/>
  <c r="Y119"/>
  <c r="AF119"/>
  <c r="AK119"/>
  <c r="BJ119"/>
  <c r="Y120"/>
  <c r="AF120"/>
  <c r="AK120"/>
  <c r="BE120"/>
  <c r="BJ120"/>
  <c r="Y121"/>
  <c r="AB121"/>
  <c r="AF121"/>
  <c r="AK121"/>
  <c r="BB121"/>
  <c r="BE121"/>
  <c r="BJ121"/>
  <c r="Y122"/>
  <c r="AB122"/>
  <c r="AF122"/>
  <c r="AK122"/>
  <c r="BJ122"/>
  <c r="Y123"/>
  <c r="AB123"/>
  <c r="AF123"/>
  <c r="AK123"/>
  <c r="BJ123"/>
  <c r="Y124"/>
  <c r="AB124"/>
  <c r="AF124"/>
  <c r="AK124"/>
  <c r="BJ124"/>
  <c r="Y125"/>
  <c r="AB125"/>
  <c r="AK125"/>
  <c r="BJ125"/>
  <c r="Y126"/>
  <c r="AB126"/>
  <c r="AF126"/>
  <c r="AK126"/>
  <c r="BE126"/>
  <c r="BJ126"/>
  <c r="Y127"/>
  <c r="AF127"/>
  <c r="AK127"/>
  <c r="BJ127"/>
  <c r="Y128"/>
  <c r="AB128"/>
  <c r="AK128"/>
  <c r="BJ128"/>
  <c r="Y129"/>
  <c r="AB129"/>
  <c r="AK129"/>
  <c r="BJ129"/>
  <c r="Y130"/>
  <c r="AB130"/>
  <c r="AK130"/>
  <c r="BJ130"/>
  <c r="Y131"/>
  <c r="AB131"/>
  <c r="AK131"/>
  <c r="BJ131"/>
  <c r="Y132"/>
  <c r="AB132"/>
  <c r="AF132"/>
  <c r="AK132"/>
  <c r="BE132"/>
  <c r="BJ132"/>
  <c r="Y133"/>
  <c r="AB133"/>
  <c r="AF133"/>
  <c r="AK133"/>
  <c r="BJ133"/>
  <c r="X134"/>
  <c r="Y134"/>
  <c r="AB134"/>
  <c r="AK134"/>
  <c r="BE134"/>
  <c r="BJ134"/>
  <c r="Y135"/>
  <c r="AB135"/>
  <c r="AK135"/>
  <c r="BE135"/>
  <c r="BJ135"/>
  <c r="Y136"/>
  <c r="AB136"/>
  <c r="AK136"/>
  <c r="BE136"/>
  <c r="BJ136"/>
  <c r="Y137"/>
  <c r="AB137"/>
  <c r="AK137"/>
  <c r="BE137"/>
  <c r="BJ137"/>
  <c r="Y138"/>
  <c r="AB138"/>
  <c r="AK138"/>
  <c r="BE138"/>
  <c r="BJ138"/>
  <c r="Y139"/>
  <c r="AB139"/>
  <c r="AF139"/>
  <c r="AK139"/>
  <c r="BJ139"/>
  <c r="Y140"/>
  <c r="AB140"/>
  <c r="AK140"/>
  <c r="BJ140"/>
  <c r="Y141"/>
  <c r="AB141"/>
  <c r="AF141"/>
  <c r="AK141"/>
  <c r="BE141"/>
  <c r="BJ141"/>
  <c r="Y142"/>
  <c r="AB142"/>
  <c r="AK142"/>
  <c r="BJ142"/>
  <c r="Y143"/>
  <c r="AB143"/>
  <c r="AK143"/>
  <c r="BE143"/>
  <c r="BJ143"/>
  <c r="Y144"/>
  <c r="AB144"/>
  <c r="AK144"/>
  <c r="BJ144"/>
  <c r="Y145"/>
  <c r="AB145"/>
  <c r="AF145"/>
  <c r="AK145"/>
  <c r="BJ145"/>
  <c r="Y146"/>
  <c r="AB146"/>
  <c r="AF146"/>
  <c r="AK146"/>
  <c r="BJ146"/>
  <c r="Y147"/>
  <c r="AB147"/>
  <c r="AK147"/>
  <c r="BJ147"/>
  <c r="Y148"/>
  <c r="AB148"/>
  <c r="AK148"/>
  <c r="BE148"/>
  <c r="BJ148"/>
  <c r="Y149"/>
  <c r="AB149"/>
  <c r="AF149"/>
  <c r="AK149"/>
  <c r="BE149"/>
  <c r="BJ149"/>
  <c r="Y150"/>
  <c r="AB150"/>
  <c r="AK150"/>
  <c r="BJ150"/>
  <c r="Y151"/>
  <c r="AB151"/>
  <c r="AK151"/>
  <c r="BJ151"/>
  <c r="Y152"/>
  <c r="AB152"/>
  <c r="AK152"/>
  <c r="BJ152"/>
  <c r="Y153"/>
  <c r="AK153"/>
  <c r="BJ153"/>
  <c r="Y154"/>
  <c r="AB154"/>
  <c r="AF154"/>
  <c r="AK154"/>
  <c r="BJ154"/>
  <c r="Y155"/>
  <c r="AB155"/>
  <c r="AF155"/>
  <c r="AK155"/>
  <c r="BJ155"/>
  <c r="Y156"/>
  <c r="AB156"/>
  <c r="AK156"/>
  <c r="BE156"/>
  <c r="BJ156"/>
  <c r="Y157"/>
  <c r="AB157"/>
  <c r="AK157"/>
  <c r="BE157"/>
  <c r="BJ157"/>
  <c r="Y158"/>
  <c r="AB158"/>
  <c r="AK158"/>
  <c r="BJ158"/>
  <c r="Y159"/>
  <c r="AB159"/>
  <c r="AF159"/>
  <c r="AK159"/>
  <c r="BJ159"/>
  <c r="Y160"/>
  <c r="AB160"/>
  <c r="AF160"/>
  <c r="AK160"/>
  <c r="BJ160"/>
  <c r="Y161"/>
  <c r="AB161"/>
  <c r="AF161"/>
  <c r="AK161"/>
  <c r="BE161"/>
  <c r="BJ161"/>
  <c r="Y162"/>
  <c r="AB162"/>
  <c r="AK162"/>
  <c r="BJ162"/>
  <c r="Y163"/>
  <c r="AB163"/>
  <c r="AK163"/>
  <c r="BJ163"/>
  <c r="Y164"/>
  <c r="AB164"/>
  <c r="AK164"/>
  <c r="BJ164"/>
  <c r="Y165"/>
  <c r="AB165"/>
  <c r="AF165"/>
  <c r="AK165"/>
  <c r="BE165"/>
  <c r="BJ165"/>
  <c r="Y166"/>
  <c r="AB166"/>
  <c r="AK166"/>
  <c r="BJ166"/>
  <c r="Y167"/>
  <c r="AB167"/>
  <c r="AK167"/>
  <c r="BJ167"/>
  <c r="Y168"/>
  <c r="AB168"/>
  <c r="AK168"/>
  <c r="BE168"/>
  <c r="BJ168"/>
  <c r="Y169"/>
  <c r="AB169"/>
  <c r="AF169"/>
  <c r="AK169"/>
  <c r="BE169"/>
  <c r="BJ169"/>
  <c r="Y170"/>
  <c r="AB170"/>
  <c r="AK170"/>
  <c r="BE170"/>
  <c r="BJ170"/>
  <c r="Y171"/>
  <c r="AB171"/>
  <c r="AK171"/>
  <c r="BJ171"/>
  <c r="Y172"/>
  <c r="AB172"/>
  <c r="AF172"/>
  <c r="AK172"/>
  <c r="BJ172"/>
  <c r="Y173"/>
  <c r="AB173"/>
  <c r="AK173"/>
  <c r="BJ173"/>
  <c r="Y174"/>
  <c r="AB174"/>
  <c r="AK174"/>
  <c r="BJ174"/>
  <c r="Y175"/>
  <c r="AB175"/>
  <c r="AK175"/>
  <c r="BJ175"/>
  <c r="Y176"/>
  <c r="AB176"/>
  <c r="AK176"/>
  <c r="BE176"/>
  <c r="BJ176"/>
  <c r="Y177"/>
  <c r="AB177"/>
  <c r="AK177"/>
  <c r="BJ177"/>
  <c r="Y178"/>
  <c r="AB178"/>
  <c r="AK178"/>
  <c r="BJ178"/>
  <c r="Y179"/>
  <c r="AB179"/>
  <c r="AK179"/>
  <c r="BJ179"/>
  <c r="Y180"/>
  <c r="AB180"/>
  <c r="AK180"/>
  <c r="BJ180"/>
  <c r="Y181"/>
  <c r="AB181"/>
  <c r="AK181"/>
  <c r="BJ181"/>
  <c r="Y182"/>
  <c r="AB182"/>
  <c r="AK182"/>
  <c r="BJ182"/>
  <c r="Y183"/>
  <c r="AB183"/>
  <c r="AK183"/>
  <c r="BJ183"/>
  <c r="Y184"/>
  <c r="AB184"/>
  <c r="AF184"/>
  <c r="AK184"/>
  <c r="BJ184"/>
  <c r="Y185"/>
  <c r="AB185"/>
  <c r="AK185"/>
  <c r="BJ185"/>
  <c r="Y186"/>
  <c r="AB186"/>
  <c r="AF186"/>
  <c r="AK186"/>
  <c r="BJ186"/>
  <c r="Y187"/>
  <c r="AB187"/>
  <c r="AC187"/>
  <c r="AK187"/>
  <c r="BE187"/>
  <c r="BJ187"/>
  <c r="Y188"/>
  <c r="AB188"/>
  <c r="AF188"/>
  <c r="AK188"/>
  <c r="BE188"/>
  <c r="BJ188"/>
  <c r="N189"/>
  <c r="Y189"/>
  <c r="AB189"/>
  <c r="AK189"/>
  <c r="BE189"/>
  <c r="BJ189"/>
  <c r="Y190"/>
  <c r="AB190"/>
  <c r="AF190"/>
  <c r="AK190"/>
  <c r="BE190"/>
  <c r="BJ190"/>
  <c r="Y191"/>
  <c r="AB191"/>
  <c r="AF191"/>
  <c r="AK191"/>
  <c r="BE191"/>
  <c r="BJ191"/>
  <c r="Y192"/>
  <c r="AB192"/>
  <c r="AK192"/>
  <c r="BJ192"/>
  <c r="Y193"/>
  <c r="AB193"/>
  <c r="AF193"/>
  <c r="AK193"/>
  <c r="BJ193"/>
  <c r="Y194"/>
  <c r="AB194"/>
  <c r="AK194"/>
  <c r="BE194"/>
  <c r="BJ194"/>
  <c r="Y195"/>
  <c r="AB195"/>
  <c r="AK195"/>
  <c r="BJ195"/>
  <c r="Y196"/>
  <c r="AB196"/>
  <c r="AF196"/>
  <c r="AK196"/>
  <c r="BJ196"/>
  <c r="Y197"/>
  <c r="AB197"/>
  <c r="AK197"/>
  <c r="BE197"/>
  <c r="BJ197"/>
  <c r="Y198"/>
  <c r="AB198"/>
  <c r="AF198"/>
  <c r="AK198"/>
  <c r="BE198"/>
  <c r="BJ198"/>
  <c r="Y199"/>
  <c r="AB199"/>
  <c r="AF199"/>
  <c r="AK199"/>
  <c r="BE199"/>
  <c r="BJ199"/>
  <c r="Y200"/>
  <c r="AB200"/>
  <c r="AK200"/>
  <c r="BE200"/>
  <c r="BJ200"/>
  <c r="Y201"/>
  <c r="AB201"/>
  <c r="AF201"/>
  <c r="AK201"/>
  <c r="BJ201"/>
</calcChain>
</file>

<file path=xl/sharedStrings.xml><?xml version="1.0" encoding="utf-8"?>
<sst xmlns="http://schemas.openxmlformats.org/spreadsheetml/2006/main" count="1331" uniqueCount="719">
  <si>
    <t/>
  </si>
  <si>
    <t xml:space="preserve">            EMPLOYEE EXPENSES</t>
  </si>
  <si>
    <t xml:space="preserve">        SECURED </t>
  </si>
  <si>
    <t xml:space="preserve"> CHAPTER  13  STANDING TRUSTEE</t>
  </si>
  <si>
    <t xml:space="preserve"> Marion</t>
  </si>
  <si>
    <t xml:space="preserve"> PYMTS</t>
  </si>
  <si>
    <t>#CASES</t>
  </si>
  <si>
    <t>$ FEES</t>
  </si>
  <si>
    <t>(NON-UST)</t>
  </si>
  <si>
    <t>(UST)</t>
  </si>
  <si>
    <t>_NBSTARTMACRO</t>
  </si>
  <si>
    <t>{FILESAVE}</t>
  </si>
  <si>
    <t>&gt; 60 MOS.</t>
  </si>
  <si>
    <t>0%</t>
  </si>
  <si>
    <t>1-39%</t>
  </si>
  <si>
    <t>40%-69%</t>
  </si>
  <si>
    <t xml:space="preserve">503(b) </t>
  </si>
  <si>
    <t>70% or more</t>
  </si>
  <si>
    <t>Aberdeen</t>
  </si>
  <si>
    <t>ACCTG</t>
  </si>
  <si>
    <t>ACCUM.</t>
  </si>
  <si>
    <t>ACTIVE</t>
  </si>
  <si>
    <t>ACTUAL</t>
  </si>
  <si>
    <t>ADJUST.</t>
  </si>
  <si>
    <t>Aikman</t>
  </si>
  <si>
    <t>AK</t>
  </si>
  <si>
    <t>Akron</t>
  </si>
  <si>
    <t>Alaska</t>
  </si>
  <si>
    <t>Albany</t>
  </si>
  <si>
    <t>Albert</t>
  </si>
  <si>
    <t>Albuquerque</t>
  </si>
  <si>
    <t>Alexandria</t>
  </si>
  <si>
    <t>ALL OTHER</t>
  </si>
  <si>
    <t>ALLOC.\</t>
  </si>
  <si>
    <t>Amherst</t>
  </si>
  <si>
    <t>Amrane</t>
  </si>
  <si>
    <t>Anabelle</t>
  </si>
  <si>
    <t>Anchorage</t>
  </si>
  <si>
    <t>Anderson</t>
  </si>
  <si>
    <t>Andrea</t>
  </si>
  <si>
    <t>Andres'</t>
  </si>
  <si>
    <t>Ann</t>
  </si>
  <si>
    <t>Annette</t>
  </si>
  <si>
    <t>Anthony</t>
  </si>
  <si>
    <t>APPLIED</t>
  </si>
  <si>
    <t>APPROVED</t>
  </si>
  <si>
    <t>APPT.</t>
  </si>
  <si>
    <t>AR</t>
  </si>
  <si>
    <t>Arizona</t>
  </si>
  <si>
    <t>Arkansas</t>
  </si>
  <si>
    <t>ARREARAGES</t>
  </si>
  <si>
    <t>Atlanta</t>
  </si>
  <si>
    <t>ATTY'S</t>
  </si>
  <si>
    <t>Augusta</t>
  </si>
  <si>
    <t>Austin</t>
  </si>
  <si>
    <t>AVG % FEE</t>
  </si>
  <si>
    <t>AWARDS TO</t>
  </si>
  <si>
    <t>AZ</t>
  </si>
  <si>
    <t>Babin (8 mos.)</t>
  </si>
  <si>
    <t>BALANCE</t>
  </si>
  <si>
    <t>Balboa</t>
  </si>
  <si>
    <t>Baltimore</t>
  </si>
  <si>
    <t>Banks, Jr.</t>
  </si>
  <si>
    <t>Barkley</t>
  </si>
  <si>
    <t>Barkley, Jr.</t>
  </si>
  <si>
    <t>Barnee</t>
  </si>
  <si>
    <t>Barnesville</t>
  </si>
  <si>
    <t>Baton Rouge</t>
  </si>
  <si>
    <t>Baxter</t>
  </si>
  <si>
    <t>Beaulieu</t>
  </si>
  <si>
    <t>BEFORE ADJ.</t>
  </si>
  <si>
    <t>Bekofske</t>
  </si>
  <si>
    <t>Bell</t>
  </si>
  <si>
    <t>Bellville</t>
  </si>
  <si>
    <t>BENEFITS</t>
  </si>
  <si>
    <t>Benton</t>
  </si>
  <si>
    <t>Bernie</t>
  </si>
  <si>
    <t>Beverly</t>
  </si>
  <si>
    <t>Billingslea, Jr.</t>
  </si>
  <si>
    <t>Black, Jr.</t>
  </si>
  <si>
    <t>Boise</t>
  </si>
  <si>
    <t>Bolenbaugh</t>
  </si>
  <si>
    <t>Bone</t>
  </si>
  <si>
    <t>Bonney</t>
  </si>
  <si>
    <t>BOOKKEEP/</t>
  </si>
  <si>
    <t>Boston</t>
  </si>
  <si>
    <t>Boudloche</t>
  </si>
  <si>
    <t>Bowers</t>
  </si>
  <si>
    <t>Bowie</t>
  </si>
  <si>
    <t>Boyajian</t>
  </si>
  <si>
    <t>Bracher</t>
  </si>
  <si>
    <t>Bradenton</t>
  </si>
  <si>
    <t>Branigan</t>
  </si>
  <si>
    <t>Brett</t>
  </si>
  <si>
    <t>Bristol</t>
  </si>
  <si>
    <t>BROKEN OUT</t>
  </si>
  <si>
    <t>Bronitsky</t>
  </si>
  <si>
    <t>Brothers</t>
  </si>
  <si>
    <t>Brown</t>
  </si>
  <si>
    <t>Brunner</t>
  </si>
  <si>
    <t>Brunswick</t>
  </si>
  <si>
    <t>Buffalo</t>
  </si>
  <si>
    <t>Burchard, Jr.</t>
  </si>
  <si>
    <t>Burden</t>
  </si>
  <si>
    <t>Burks</t>
  </si>
  <si>
    <t xml:space="preserve">Burris </t>
  </si>
  <si>
    <t>C. Barry</t>
  </si>
  <si>
    <t>C. Kenneth</t>
  </si>
  <si>
    <t>CA</t>
  </si>
  <si>
    <t>California</t>
  </si>
  <si>
    <t>Camille</t>
  </si>
  <si>
    <t>Campbell</t>
  </si>
  <si>
    <t xml:space="preserve">CANNOT BE </t>
  </si>
  <si>
    <t>Canton</t>
  </si>
  <si>
    <t>Carl</t>
  </si>
  <si>
    <t>Carol</t>
  </si>
  <si>
    <t>Carrion</t>
  </si>
  <si>
    <t xml:space="preserve">Carroll </t>
  </si>
  <si>
    <t>CASES</t>
  </si>
  <si>
    <t>CASH TO</t>
  </si>
  <si>
    <t>Celli</t>
  </si>
  <si>
    <t>Central</t>
  </si>
  <si>
    <t>Chael</t>
  </si>
  <si>
    <t>Charles</t>
  </si>
  <si>
    <t>Charleston</t>
  </si>
  <si>
    <t>Charlottesville</t>
  </si>
  <si>
    <t>Chattanooga</t>
  </si>
  <si>
    <t>Chatterton</t>
  </si>
  <si>
    <t>Cherry Hill</t>
  </si>
  <si>
    <t>Cheyenne</t>
  </si>
  <si>
    <t>Chicago</t>
  </si>
  <si>
    <t>CHILD PMTS</t>
  </si>
  <si>
    <t>CHILD SUPPORT</t>
  </si>
  <si>
    <t>Cincinnati</t>
  </si>
  <si>
    <t>Cindy</t>
  </si>
  <si>
    <t>CITY</t>
  </si>
  <si>
    <t>CLAIMS</t>
  </si>
  <si>
    <t>Clark</t>
  </si>
  <si>
    <t>Cleveland</t>
  </si>
  <si>
    <t>CLOSED</t>
  </si>
  <si>
    <t>CO</t>
  </si>
  <si>
    <t>Coeur d'Alene</t>
  </si>
  <si>
    <t>Cohen</t>
  </si>
  <si>
    <t>Colorado</t>
  </si>
  <si>
    <t>Columbia</t>
  </si>
  <si>
    <t>Columbus</t>
  </si>
  <si>
    <t>COMPLETE</t>
  </si>
  <si>
    <t>COMP'N</t>
  </si>
  <si>
    <t>Compton</t>
  </si>
  <si>
    <t>COMPUTER</t>
  </si>
  <si>
    <t>CON-</t>
  </si>
  <si>
    <t>Connecticut</t>
  </si>
  <si>
    <t>Connelly</t>
  </si>
  <si>
    <t>CONSTR.</t>
  </si>
  <si>
    <t>CONTRIBUTION</t>
  </si>
  <si>
    <t>CONVERT.</t>
  </si>
  <si>
    <t>Coop</t>
  </si>
  <si>
    <t>Corpus Christi</t>
  </si>
  <si>
    <t>Cosby</t>
  </si>
  <si>
    <t>Countryman</t>
  </si>
  <si>
    <t>Crawford</t>
  </si>
  <si>
    <t>CRED'R</t>
  </si>
  <si>
    <t>CT</t>
  </si>
  <si>
    <t>Curry</t>
  </si>
  <si>
    <t>Cynthia</t>
  </si>
  <si>
    <t>Dale</t>
  </si>
  <si>
    <t>Dallas</t>
  </si>
  <si>
    <t>Daniel</t>
  </si>
  <si>
    <t>Danielson</t>
  </si>
  <si>
    <t>David</t>
  </si>
  <si>
    <t>Davidson</t>
  </si>
  <si>
    <t>Davis</t>
  </si>
  <si>
    <t>DC</t>
  </si>
  <si>
    <t>DE</t>
  </si>
  <si>
    <t>Dean</t>
  </si>
  <si>
    <t>Debra</t>
  </si>
  <si>
    <t xml:space="preserve">DEBT </t>
  </si>
  <si>
    <t>DEBTOR</t>
  </si>
  <si>
    <t>Decker</t>
  </si>
  <si>
    <t>DEDUCT.</t>
  </si>
  <si>
    <t>DEFICIT</t>
  </si>
  <si>
    <t>DeHart, III</t>
  </si>
  <si>
    <t>DeLaney (6 mos.)</t>
  </si>
  <si>
    <t>Delaware</t>
  </si>
  <si>
    <t>Denise</t>
  </si>
  <si>
    <t>Denver</t>
  </si>
  <si>
    <t>Derham-Burk</t>
  </si>
  <si>
    <t>DeRosa</t>
  </si>
  <si>
    <t>Des Moines</t>
  </si>
  <si>
    <t>Detroit</t>
  </si>
  <si>
    <t>Devin</t>
  </si>
  <si>
    <t>Dianne</t>
  </si>
  <si>
    <t>Diaz</t>
  </si>
  <si>
    <t>DiSalle</t>
  </si>
  <si>
    <t>DISBURS</t>
  </si>
  <si>
    <t>DISBURSE-</t>
  </si>
  <si>
    <t>DISBURSE.</t>
  </si>
  <si>
    <t>DISCHARGE</t>
  </si>
  <si>
    <t>DISMISS.</t>
  </si>
  <si>
    <t>DISTRICT</t>
  </si>
  <si>
    <t>District of Columbia</t>
  </si>
  <si>
    <t>Donald</t>
  </si>
  <si>
    <t>Doreen</t>
  </si>
  <si>
    <t>Dowell</t>
  </si>
  <si>
    <t xml:space="preserve">Drewes </t>
  </si>
  <si>
    <t>Drummond</t>
  </si>
  <si>
    <t>Dunbar</t>
  </si>
  <si>
    <t>Dunivent</t>
  </si>
  <si>
    <t>Eastern</t>
  </si>
  <si>
    <t>Eastern and Western</t>
  </si>
  <si>
    <t>Eck</t>
  </si>
  <si>
    <t>EDUCATION</t>
  </si>
  <si>
    <t>Edward</t>
  </si>
  <si>
    <t>Edwina</t>
  </si>
  <si>
    <t>El Paso</t>
  </si>
  <si>
    <t>Elaine</t>
  </si>
  <si>
    <t>Elizabeth</t>
  </si>
  <si>
    <t>Ellen</t>
  </si>
  <si>
    <t>Emerson, Jr.</t>
  </si>
  <si>
    <t>EMPLOYER</t>
  </si>
  <si>
    <t>END FY01</t>
  </si>
  <si>
    <t>ENDING</t>
  </si>
  <si>
    <t>Englewood</t>
  </si>
  <si>
    <t>Enmark</t>
  </si>
  <si>
    <t>EQUIP/</t>
  </si>
  <si>
    <t>Eugene</t>
  </si>
  <si>
    <t>Evansville</t>
  </si>
  <si>
    <t>EXCESS</t>
  </si>
  <si>
    <t>EXP FUND</t>
  </si>
  <si>
    <t xml:space="preserve">EXP. FUND </t>
  </si>
  <si>
    <t>EXPENSE</t>
  </si>
  <si>
    <t>EXPENSES</t>
  </si>
  <si>
    <t>Fairfield</t>
  </si>
  <si>
    <t>Fairway</t>
  </si>
  <si>
    <t>Fargo</t>
  </si>
  <si>
    <t>Farrell</t>
  </si>
  <si>
    <t>Fessenden</t>
  </si>
  <si>
    <t>FILED</t>
  </si>
  <si>
    <t>Fink</t>
  </si>
  <si>
    <t>FIRST NAME</t>
  </si>
  <si>
    <t>Fitzgerald, K.M.</t>
  </si>
  <si>
    <t xml:space="preserve">Fitzgerald, L.D. </t>
  </si>
  <si>
    <t>FL</t>
  </si>
  <si>
    <t>Flint</t>
  </si>
  <si>
    <t>Florida</t>
  </si>
  <si>
    <t>Forsythe</t>
  </si>
  <si>
    <t>Fort Wayne</t>
  </si>
  <si>
    <t>Fort Worth</t>
  </si>
  <si>
    <t>Foster City</t>
  </si>
  <si>
    <t>Frank</t>
  </si>
  <si>
    <t>Fred</t>
  </si>
  <si>
    <t>Frederick</t>
  </si>
  <si>
    <t>Fresno</t>
  </si>
  <si>
    <t>Ft. Lauderdale</t>
  </si>
  <si>
    <t>FURN</t>
  </si>
  <si>
    <t>FY  2001  AUDITED ANNUAL REPORTS</t>
  </si>
  <si>
    <t>GA</t>
  </si>
  <si>
    <t>Gallo</t>
  </si>
  <si>
    <t>Garden City</t>
  </si>
  <si>
    <t>Gary</t>
  </si>
  <si>
    <t>Geekie</t>
  </si>
  <si>
    <t>Gelberg</t>
  </si>
  <si>
    <t>George</t>
  </si>
  <si>
    <t>Georgia</t>
  </si>
  <si>
    <t>Gerald</t>
  </si>
  <si>
    <t>Germeraad</t>
  </si>
  <si>
    <t>Glen Burnie</t>
  </si>
  <si>
    <t>Glenn</t>
  </si>
  <si>
    <t xml:space="preserve">Goldberger </t>
  </si>
  <si>
    <t>Goldman (8 mos.)</t>
  </si>
  <si>
    <t>Goodwin</t>
  </si>
  <si>
    <t>Grand Rapids</t>
  </si>
  <si>
    <t>Great Falls</t>
  </si>
  <si>
    <t>Greenville</t>
  </si>
  <si>
    <t>Greer</t>
  </si>
  <si>
    <t>Griffin</t>
  </si>
  <si>
    <t>Gross</t>
  </si>
  <si>
    <t>GROSS</t>
  </si>
  <si>
    <t>Gulfport</t>
  </si>
  <si>
    <t>Gwendolyn</t>
  </si>
  <si>
    <t>H. Michael</t>
  </si>
  <si>
    <t>Hamilton</t>
  </si>
  <si>
    <t>Hamlin</t>
  </si>
  <si>
    <t>Hardeman</t>
  </si>
  <si>
    <t>HARDSHIP</t>
  </si>
  <si>
    <t>Harold</t>
  </si>
  <si>
    <t>Hart</t>
  </si>
  <si>
    <t>Hartford</t>
  </si>
  <si>
    <t>Harvalis (AUST) (5 1/2 mos)</t>
  </si>
  <si>
    <t>Hattiesburg</t>
  </si>
  <si>
    <t>Hawaii</t>
  </si>
  <si>
    <t>Hayward</t>
  </si>
  <si>
    <t>Heitkamp</t>
  </si>
  <si>
    <t>Helen</t>
  </si>
  <si>
    <t>Hendren, Jr.</t>
  </si>
  <si>
    <t>Henley, Jr.</t>
  </si>
  <si>
    <t>Henry</t>
  </si>
  <si>
    <t>Herkert</t>
  </si>
  <si>
    <t>HI</t>
  </si>
  <si>
    <t>Hialeah</t>
  </si>
  <si>
    <t>Hildebrand, III</t>
  </si>
  <si>
    <t>Holub</t>
  </si>
  <si>
    <t>Honolulu</t>
  </si>
  <si>
    <t>Hope</t>
  </si>
  <si>
    <t>Houston</t>
  </si>
  <si>
    <t>Howard</t>
  </si>
  <si>
    <t>Howe</t>
  </si>
  <si>
    <t>Hu</t>
  </si>
  <si>
    <t>Hummelstown</t>
  </si>
  <si>
    <t>Huntington</t>
  </si>
  <si>
    <t>Hyman</t>
  </si>
  <si>
    <t>IA</t>
  </si>
  <si>
    <t>ID</t>
  </si>
  <si>
    <t>Idaho</t>
  </si>
  <si>
    <t>IL</t>
  </si>
  <si>
    <t>Illinois</t>
  </si>
  <si>
    <t>IN</t>
  </si>
  <si>
    <t>IN EXCESS</t>
  </si>
  <si>
    <t>Indiana</t>
  </si>
  <si>
    <t>Indianapolis</t>
  </si>
  <si>
    <t>INSURANCE</t>
  </si>
  <si>
    <t>INTEREST</t>
  </si>
  <si>
    <t>Iowa</t>
  </si>
  <si>
    <t>Isabel</t>
  </si>
  <si>
    <t>Ivy</t>
  </si>
  <si>
    <t>J.C.</t>
  </si>
  <si>
    <t>Jackson</t>
  </si>
  <si>
    <t>Jacksonville</t>
  </si>
  <si>
    <t>James</t>
  </si>
  <si>
    <t>Jan</t>
  </si>
  <si>
    <t>Janna</t>
  </si>
  <si>
    <t>Jasmine</t>
  </si>
  <si>
    <t>Jeffery</t>
  </si>
  <si>
    <t>Jeffrey</t>
  </si>
  <si>
    <t>Jensen (5 1/2 mos.)</t>
  </si>
  <si>
    <t>Jerome</t>
  </si>
  <si>
    <t>Jo</t>
  </si>
  <si>
    <t>JoAnn</t>
  </si>
  <si>
    <t>Joel</t>
  </si>
  <si>
    <t>John</t>
  </si>
  <si>
    <t>Johnson</t>
  </si>
  <si>
    <t xml:space="preserve">Johnson </t>
  </si>
  <si>
    <t>Jones</t>
  </si>
  <si>
    <t>Jose</t>
  </si>
  <si>
    <t>Joseph</t>
  </si>
  <si>
    <t>Joy</t>
  </si>
  <si>
    <t>Joyce</t>
  </si>
  <si>
    <t>K. Michael</t>
  </si>
  <si>
    <t>Kalamazoo</t>
  </si>
  <si>
    <t>Kansas</t>
  </si>
  <si>
    <t>Kansas City</t>
  </si>
  <si>
    <t>Karla</t>
  </si>
  <si>
    <t>Kathleen</t>
  </si>
  <si>
    <t>Kearney</t>
  </si>
  <si>
    <t>Keith</t>
  </si>
  <si>
    <t>Keller</t>
  </si>
  <si>
    <t>Kelley</t>
  </si>
  <si>
    <t>Kellner (9 mos.)</t>
  </si>
  <si>
    <t>Kentucky</t>
  </si>
  <si>
    <t>Kerney</t>
  </si>
  <si>
    <t>Kerns</t>
  </si>
  <si>
    <t>Kevin</t>
  </si>
  <si>
    <t>King</t>
  </si>
  <si>
    <t>Knoxville</t>
  </si>
  <si>
    <t>Krispen</t>
  </si>
  <si>
    <t>Kristen</t>
  </si>
  <si>
    <t>Krommenhoek</t>
  </si>
  <si>
    <t>KS</t>
  </si>
  <si>
    <t>KY</t>
  </si>
  <si>
    <t>L.D.</t>
  </si>
  <si>
    <t>LA</t>
  </si>
  <si>
    <t>LaBarge, Jr.</t>
  </si>
  <si>
    <t>Lackey</t>
  </si>
  <si>
    <t>Lafayette</t>
  </si>
  <si>
    <t>Lansing</t>
  </si>
  <si>
    <t>Laporte</t>
  </si>
  <si>
    <t>Larry</t>
  </si>
  <si>
    <t>Las Vegas</t>
  </si>
  <si>
    <t>LAST NAME</t>
  </si>
  <si>
    <t>Laughlin</t>
  </si>
  <si>
    <t>Laurel</t>
  </si>
  <si>
    <t>Laurie</t>
  </si>
  <si>
    <t>Lawrence</t>
  </si>
  <si>
    <t>Ledford (3 mos.)</t>
  </si>
  <si>
    <t>Leigh</t>
  </si>
  <si>
    <t>Lexington</t>
  </si>
  <si>
    <t>Lisle</t>
  </si>
  <si>
    <t>Little Rock</t>
  </si>
  <si>
    <t>Locke</t>
  </si>
  <si>
    <t>Loheit</t>
  </si>
  <si>
    <t>Long</t>
  </si>
  <si>
    <t>Lonnie</t>
  </si>
  <si>
    <t>Lopez</t>
  </si>
  <si>
    <t>Los Angeles</t>
  </si>
  <si>
    <t>Louis</t>
  </si>
  <si>
    <t>Louisiana</t>
  </si>
  <si>
    <t>Louisville</t>
  </si>
  <si>
    <t>Lubbock</t>
  </si>
  <si>
    <t>Lydia</t>
  </si>
  <si>
    <t>M. Nelson</t>
  </si>
  <si>
    <t>M. Terre</t>
  </si>
  <si>
    <t>MA</t>
  </si>
  <si>
    <t>Macco</t>
  </si>
  <si>
    <t>Macon</t>
  </si>
  <si>
    <t>Madison</t>
  </si>
  <si>
    <t>Maine</t>
  </si>
  <si>
    <t>Mamie</t>
  </si>
  <si>
    <t>Manasquan</t>
  </si>
  <si>
    <t>Margaret</t>
  </si>
  <si>
    <t>Marianne</t>
  </si>
  <si>
    <t>Marilyn</t>
  </si>
  <si>
    <t>Mark</t>
  </si>
  <si>
    <t>Marshall (1 month)</t>
  </si>
  <si>
    <t>Martha</t>
  </si>
  <si>
    <t>Mary</t>
  </si>
  <si>
    <t>Maryland</t>
  </si>
  <si>
    <t>Massachusetts</t>
  </si>
  <si>
    <t>McDonald</t>
  </si>
  <si>
    <t>McDonald, Jr.</t>
  </si>
  <si>
    <t>McRoberts</t>
  </si>
  <si>
    <t>MD</t>
  </si>
  <si>
    <t>ME</t>
  </si>
  <si>
    <t>Memphis</t>
  </si>
  <si>
    <t>MENTS</t>
  </si>
  <si>
    <t>Merrillville</t>
  </si>
  <si>
    <t>Metairie</t>
  </si>
  <si>
    <t>Meyer</t>
  </si>
  <si>
    <t>MI</t>
  </si>
  <si>
    <t>Michael</t>
  </si>
  <si>
    <t>Michigan</t>
  </si>
  <si>
    <t>Michigan City</t>
  </si>
  <si>
    <t>Middle</t>
  </si>
  <si>
    <t>Midland</t>
  </si>
  <si>
    <t>Miller-Shlakman</t>
  </si>
  <si>
    <t>Milwaukee</t>
  </si>
  <si>
    <t>Mineola</t>
  </si>
  <si>
    <t>Minneapolis</t>
  </si>
  <si>
    <t>Minnesota</t>
  </si>
  <si>
    <t>MIS-</t>
  </si>
  <si>
    <t>Mishler</t>
  </si>
  <si>
    <t>Mississippi</t>
  </si>
  <si>
    <t>Missouri</t>
  </si>
  <si>
    <t>MN</t>
  </si>
  <si>
    <t>MO</t>
  </si>
  <si>
    <t>Modesto</t>
  </si>
  <si>
    <t>Mogavero</t>
  </si>
  <si>
    <t>Molly</t>
  </si>
  <si>
    <t>Montana</t>
  </si>
  <si>
    <t>Morris</t>
  </si>
  <si>
    <t>MORTGAGE</t>
  </si>
  <si>
    <t>MORTGAGE/</t>
  </si>
  <si>
    <t>MS</t>
  </si>
  <si>
    <t>MT</t>
  </si>
  <si>
    <t>Musgrave, II</t>
  </si>
  <si>
    <t>Muskogee</t>
  </si>
  <si>
    <t>Myron</t>
  </si>
  <si>
    <t>N.A.</t>
  </si>
  <si>
    <t>Nancy</t>
  </si>
  <si>
    <t>Nashville</t>
  </si>
  <si>
    <t>NATIONAL AVGS.</t>
  </si>
  <si>
    <t>NATIONAL TOTALS</t>
  </si>
  <si>
    <t>ND</t>
  </si>
  <si>
    <t>NE</t>
  </si>
  <si>
    <t>Neal</t>
  </si>
  <si>
    <t>Nebraska</t>
  </si>
  <si>
    <t>Nevada</t>
  </si>
  <si>
    <t>NEW</t>
  </si>
  <si>
    <t>New Hampshire</t>
  </si>
  <si>
    <t>New Jersey</t>
  </si>
  <si>
    <t>New Mexico</t>
  </si>
  <si>
    <t>New York</t>
  </si>
  <si>
    <t>NH</t>
  </si>
  <si>
    <t>Niklas</t>
  </si>
  <si>
    <t>NJ</t>
  </si>
  <si>
    <t>NM</t>
  </si>
  <si>
    <t>NO</t>
  </si>
  <si>
    <t>NON-FEE</t>
  </si>
  <si>
    <t>North Dakota and Minnesota</t>
  </si>
  <si>
    <t>North Little Rock</t>
  </si>
  <si>
    <t>Northern</t>
  </si>
  <si>
    <t>Northern and Southern</t>
  </si>
  <si>
    <t>Norwood</t>
  </si>
  <si>
    <t>NOTICING</t>
  </si>
  <si>
    <t>NV</t>
  </si>
  <si>
    <t>NY</t>
  </si>
  <si>
    <t>O'Cheskey</t>
  </si>
  <si>
    <t>O'Connell</t>
  </si>
  <si>
    <t>O'Donnell</t>
  </si>
  <si>
    <t>OF 17%</t>
  </si>
  <si>
    <t>OFFICE</t>
  </si>
  <si>
    <t>OH</t>
  </si>
  <si>
    <t>Ohio</t>
  </si>
  <si>
    <t>OK</t>
  </si>
  <si>
    <t>Oklahoma</t>
  </si>
  <si>
    <t>Oklahoma City</t>
  </si>
  <si>
    <t>Olson</t>
  </si>
  <si>
    <t>Omaha</t>
  </si>
  <si>
    <t xml:space="preserve">ONGOING </t>
  </si>
  <si>
    <t>OPER.</t>
  </si>
  <si>
    <t>OR</t>
  </si>
  <si>
    <t>Orange</t>
  </si>
  <si>
    <t>Oregon</t>
  </si>
  <si>
    <t>Orlando</t>
  </si>
  <si>
    <t>Oshkosh</t>
  </si>
  <si>
    <t>OTHER</t>
  </si>
  <si>
    <t>PA</t>
  </si>
  <si>
    <t>Pappalardo</t>
  </si>
  <si>
    <t>Paris</t>
  </si>
  <si>
    <t>Parrish</t>
  </si>
  <si>
    <t>Paul</t>
  </si>
  <si>
    <t>PAYABLE</t>
  </si>
  <si>
    <t>PAYMENTS</t>
  </si>
  <si>
    <t>PAYOUT TO NONPRIORITY UNSECUREDS - CONVERT</t>
  </si>
  <si>
    <t>PAYOUT TO NONPRIORITY UNSECUREDS - DISMISS</t>
  </si>
  <si>
    <t>PAYOUT TO NONPRIORITY UNSECUREDS - PLAN COMPLETE</t>
  </si>
  <si>
    <t>Peake</t>
  </si>
  <si>
    <t>Pees</t>
  </si>
  <si>
    <t>Pendleton</t>
  </si>
  <si>
    <t>Pennsylvania</t>
  </si>
  <si>
    <t>Peoria</t>
  </si>
  <si>
    <t>Peter</t>
  </si>
  <si>
    <t>Petersburg</t>
  </si>
  <si>
    <t>Philadelphia</t>
  </si>
  <si>
    <t>Phoenix</t>
  </si>
  <si>
    <t>Phyllis</t>
  </si>
  <si>
    <t>Pittsburgh</t>
  </si>
  <si>
    <t>PLAN</t>
  </si>
  <si>
    <t>Plano</t>
  </si>
  <si>
    <t>Pocatello</t>
  </si>
  <si>
    <t>Portland</t>
  </si>
  <si>
    <t>Portsmouth</t>
  </si>
  <si>
    <t>POSTAGE/</t>
  </si>
  <si>
    <t>Powers</t>
  </si>
  <si>
    <t>PR</t>
  </si>
  <si>
    <t>PRIORITY</t>
  </si>
  <si>
    <t>PRIORITY DEBT</t>
  </si>
  <si>
    <t>Providence</t>
  </si>
  <si>
    <t xml:space="preserve">Puerto Rico </t>
  </si>
  <si>
    <t>Puerto Rico &amp; Virgin Islands</t>
  </si>
  <si>
    <t>PURCHASE</t>
  </si>
  <si>
    <t>PYMTS.</t>
  </si>
  <si>
    <t>Rakozy</t>
  </si>
  <si>
    <t>Ralph</t>
  </si>
  <si>
    <t>Ramon</t>
  </si>
  <si>
    <t>RATIO</t>
  </si>
  <si>
    <t>Ray</t>
  </si>
  <si>
    <t>Raymond</t>
  </si>
  <si>
    <t>Reading</t>
  </si>
  <si>
    <t>Rebecca</t>
  </si>
  <si>
    <t>RECEIPTS</t>
  </si>
  <si>
    <t>REFUNDS</t>
  </si>
  <si>
    <t>REG</t>
  </si>
  <si>
    <t>Regina</t>
  </si>
  <si>
    <t>Reiber</t>
  </si>
  <si>
    <t>Reigle</t>
  </si>
  <si>
    <t>RELATED</t>
  </si>
  <si>
    <t>Reno</t>
  </si>
  <si>
    <t>RENT AND</t>
  </si>
  <si>
    <t>RENTAL</t>
  </si>
  <si>
    <t>REOPEN.</t>
  </si>
  <si>
    <t>REV TO</t>
  </si>
  <si>
    <t>Rhode Island</t>
  </si>
  <si>
    <t>RI</t>
  </si>
  <si>
    <t>Richard</t>
  </si>
  <si>
    <t>Richmond</t>
  </si>
  <si>
    <t>Rick</t>
  </si>
  <si>
    <t>Ridgway</t>
  </si>
  <si>
    <t>Riverside</t>
  </si>
  <si>
    <t>Roanoke</t>
  </si>
  <si>
    <t>Robert</t>
  </si>
  <si>
    <t>Robin</t>
  </si>
  <si>
    <t>Rochester</t>
  </si>
  <si>
    <t>Rock Island</t>
  </si>
  <si>
    <t>Rockford</t>
  </si>
  <si>
    <t>Rockville Centre</t>
  </si>
  <si>
    <t>Rodgers</t>
  </si>
  <si>
    <t>Rodney</t>
  </si>
  <si>
    <t>Rodriguez</t>
  </si>
  <si>
    <t>Rojas</t>
  </si>
  <si>
    <t>Ronda</t>
  </si>
  <si>
    <t>Rosen</t>
  </si>
  <si>
    <t>Rosenthal</t>
  </si>
  <si>
    <t>Ruskin</t>
  </si>
  <si>
    <t>Russell</t>
  </si>
  <si>
    <t>Sacramento</t>
  </si>
  <si>
    <t>Saginaw</t>
  </si>
  <si>
    <t>SALARIES</t>
  </si>
  <si>
    <t>Sally</t>
  </si>
  <si>
    <t>Salt Lake City</t>
  </si>
  <si>
    <t>San Antonio</t>
  </si>
  <si>
    <t>San Diego</t>
  </si>
  <si>
    <t>San Fernando</t>
  </si>
  <si>
    <t>San Juan</t>
  </si>
  <si>
    <t>Sanford</t>
  </si>
  <si>
    <t>Santa Rosa</t>
  </si>
  <si>
    <t>Santoro</t>
  </si>
  <si>
    <t>Sapir</t>
  </si>
  <si>
    <t>Savage</t>
  </si>
  <si>
    <t>Savannah</t>
  </si>
  <si>
    <t>SC</t>
  </si>
  <si>
    <t>Scura</t>
  </si>
  <si>
    <t>SD</t>
  </si>
  <si>
    <t>Seattle</t>
  </si>
  <si>
    <t>SECURED DEBT</t>
  </si>
  <si>
    <t>Sensenich</t>
  </si>
  <si>
    <t>SERVICES</t>
  </si>
  <si>
    <t>Seymour</t>
  </si>
  <si>
    <t>Sharon</t>
  </si>
  <si>
    <t>Shreveport</t>
  </si>
  <si>
    <t>Simmons</t>
  </si>
  <si>
    <t>Skehen</t>
  </si>
  <si>
    <t>Skelton</t>
  </si>
  <si>
    <t>Smith (Kristen)</t>
  </si>
  <si>
    <t>Smith (Terry)</t>
  </si>
  <si>
    <t>Solomon</t>
  </si>
  <si>
    <t>South Bend</t>
  </si>
  <si>
    <t>South Carolina</t>
  </si>
  <si>
    <t>South Dakota</t>
  </si>
  <si>
    <t>Southern</t>
  </si>
  <si>
    <t>Southern/Northern</t>
  </si>
  <si>
    <t>Southfield</t>
  </si>
  <si>
    <t>Sparkman</t>
  </si>
  <si>
    <t>Spokane</t>
  </si>
  <si>
    <t>St. Louis</t>
  </si>
  <si>
    <t>START '01</t>
  </si>
  <si>
    <t>STATE</t>
  </si>
  <si>
    <t>Stearns</t>
  </si>
  <si>
    <t>Stephenson, Jr.</t>
  </si>
  <si>
    <t>Sterling</t>
  </si>
  <si>
    <t>Stevenson</t>
  </si>
  <si>
    <t>Stewart</t>
  </si>
  <si>
    <t>Still</t>
  </si>
  <si>
    <t>Stuart</t>
  </si>
  <si>
    <t>SULTING</t>
  </si>
  <si>
    <t>Sumski</t>
  </si>
  <si>
    <t>SUPPLIES</t>
  </si>
  <si>
    <t>Swimelar</t>
  </si>
  <si>
    <t>Sylvia</t>
  </si>
  <si>
    <t>Syracuse</t>
  </si>
  <si>
    <t>Tacoma</t>
  </si>
  <si>
    <t>Tallahassee</t>
  </si>
  <si>
    <t>Tammy</t>
  </si>
  <si>
    <t>Tedd</t>
  </si>
  <si>
    <t>TELEPH/</t>
  </si>
  <si>
    <t>Tennessee</t>
  </si>
  <si>
    <t>Terre Haute</t>
  </si>
  <si>
    <t>Terry</t>
  </si>
  <si>
    <t xml:space="preserve">Terry </t>
  </si>
  <si>
    <t>Texas</t>
  </si>
  <si>
    <t>Thomas</t>
  </si>
  <si>
    <t>Tim</t>
  </si>
  <si>
    <t>Timothy</t>
  </si>
  <si>
    <t>TN</t>
  </si>
  <si>
    <t>TO ANTHR</t>
  </si>
  <si>
    <t>TO USTP</t>
  </si>
  <si>
    <t>Toby</t>
  </si>
  <si>
    <t>Toledo</t>
  </si>
  <si>
    <t>Topeka</t>
  </si>
  <si>
    <t>Toscano</t>
  </si>
  <si>
    <t>TOTAL</t>
  </si>
  <si>
    <t xml:space="preserve">TOTAL </t>
  </si>
  <si>
    <t>TRAINING</t>
  </si>
  <si>
    <t>TRANSFERRED</t>
  </si>
  <si>
    <t>Truman</t>
  </si>
  <si>
    <t>TRUST FUND</t>
  </si>
  <si>
    <t>TRUSTEE</t>
  </si>
  <si>
    <t>Tucson</t>
  </si>
  <si>
    <t>Tulsa</t>
  </si>
  <si>
    <t>TX</t>
  </si>
  <si>
    <t>Tyler</t>
  </si>
  <si>
    <t>UNSEC'D</t>
  </si>
  <si>
    <t>UT</t>
  </si>
  <si>
    <t>Utah</t>
  </si>
  <si>
    <t>UTILS</t>
  </si>
  <si>
    <t>VA</t>
  </si>
  <si>
    <t>Van Meter</t>
  </si>
  <si>
    <t>Vancouver</t>
  </si>
  <si>
    <t>Vardaman</t>
  </si>
  <si>
    <t>Vaughn</t>
  </si>
  <si>
    <t>Vermont</t>
  </si>
  <si>
    <t>Virginia</t>
  </si>
  <si>
    <t>VT</t>
  </si>
  <si>
    <t>WA</t>
  </si>
  <si>
    <t>Walter</t>
  </si>
  <si>
    <t>Warford</t>
  </si>
  <si>
    <t>Washington</t>
  </si>
  <si>
    <t>Wasserman</t>
  </si>
  <si>
    <t>Waterloo</t>
  </si>
  <si>
    <t>Wayne</t>
  </si>
  <si>
    <t>Weatherford</t>
  </si>
  <si>
    <t>Wein</t>
  </si>
  <si>
    <t>Weinberg (3.5 mos)</t>
  </si>
  <si>
    <t>Weiner</t>
  </si>
  <si>
    <t>West Virginia</t>
  </si>
  <si>
    <t>Western</t>
  </si>
  <si>
    <t>White Plains</t>
  </si>
  <si>
    <t>White River Jct</t>
  </si>
  <si>
    <t>Whiton</t>
  </si>
  <si>
    <t>WI</t>
  </si>
  <si>
    <t>Wichita</t>
  </si>
  <si>
    <t>Widener</t>
  </si>
  <si>
    <t>William</t>
  </si>
  <si>
    <t>Williams</t>
  </si>
  <si>
    <t>Willie</t>
  </si>
  <si>
    <t>Wilmington</t>
  </si>
  <si>
    <t>Wilson</t>
  </si>
  <si>
    <t>Winnecour</t>
  </si>
  <si>
    <t>Wisconsin</t>
  </si>
  <si>
    <t>Wood</t>
  </si>
  <si>
    <t>Worcester</t>
  </si>
  <si>
    <t>Worthington</t>
  </si>
  <si>
    <t>WV</t>
  </si>
  <si>
    <t>WY</t>
  </si>
  <si>
    <t>Wyoming</t>
  </si>
  <si>
    <t>Wyoming and Utah</t>
  </si>
  <si>
    <t>Yarnall</t>
  </si>
  <si>
    <t>Youngstown</t>
  </si>
  <si>
    <t>Zeman</t>
  </si>
  <si>
    <t>Zimmerman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</si>
</sst>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\_x0004_;;;"/>
    <numFmt numFmtId="166" formatCode="#,##0.0"/>
    <numFmt numFmtId="167" formatCode="[$$-409]\ #,##0"/>
  </numFmts>
  <fonts count="5">
    <font>
      <sz val="12"/>
      <name val="Arial"/>
    </font>
    <font>
      <sz val="10"/>
      <name val="Times New Roman"/>
    </font>
    <font>
      <sz val="10"/>
      <name val="Arial"/>
    </font>
    <font>
      <b/>
      <sz val="10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63">
    <xf numFmtId="3" fontId="0" fillId="2" borderId="0" xfId="0" applyNumberFormat="1" applyFill="1"/>
    <xf numFmtId="0" fontId="2" fillId="2" borderId="1" xfId="0" applyFont="1" applyFill="1" applyBorder="1"/>
    <xf numFmtId="3" fontId="2" fillId="2" borderId="0" xfId="0" applyNumberFormat="1" applyFont="1" applyFill="1" applyAlignment="1">
      <alignment horizontal="right"/>
    </xf>
    <xf numFmtId="3" fontId="2" fillId="2" borderId="0" xfId="0" applyNumberFormat="1" applyFont="1" applyFill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3" fontId="2" fillId="2" borderId="5" xfId="0" applyNumberFormat="1" applyFont="1" applyFill="1" applyBorder="1"/>
    <xf numFmtId="3" fontId="2" fillId="2" borderId="6" xfId="0" applyNumberFormat="1" applyFont="1" applyFill="1" applyBorder="1"/>
    <xf numFmtId="3" fontId="2" fillId="2" borderId="3" xfId="0" applyNumberFormat="1" applyFont="1" applyFill="1" applyBorder="1"/>
    <xf numFmtId="0" fontId="1" fillId="2" borderId="0" xfId="0" applyFont="1" applyFill="1"/>
    <xf numFmtId="3" fontId="2" fillId="2" borderId="1" xfId="0" applyNumberFormat="1" applyFont="1" applyFill="1" applyBorder="1"/>
    <xf numFmtId="3" fontId="4" fillId="2" borderId="0" xfId="0" applyNumberFormat="1" applyFont="1" applyFill="1"/>
    <xf numFmtId="164" fontId="2" fillId="2" borderId="1" xfId="0" applyNumberFormat="1" applyFont="1" applyFill="1" applyBorder="1"/>
    <xf numFmtId="3" fontId="2" fillId="2" borderId="7" xfId="0" applyNumberFormat="1" applyFont="1" applyFill="1" applyBorder="1"/>
    <xf numFmtId="3" fontId="2" fillId="2" borderId="8" xfId="0" applyNumberFormat="1" applyFont="1" applyFill="1" applyBorder="1" applyAlignment="1">
      <alignment horizontal="right"/>
    </xf>
    <xf numFmtId="1" fontId="2" fillId="2" borderId="1" xfId="0" applyNumberFormat="1" applyFont="1" applyFill="1" applyBorder="1"/>
    <xf numFmtId="22" fontId="4" fillId="2" borderId="0" xfId="0" applyNumberFormat="1" applyFont="1" applyFill="1"/>
    <xf numFmtId="22" fontId="1" fillId="2" borderId="0" xfId="0" applyNumberFormat="1" applyFont="1" applyFill="1"/>
    <xf numFmtId="15" fontId="2" fillId="2" borderId="0" xfId="0" applyNumberFormat="1" applyFont="1" applyFill="1"/>
    <xf numFmtId="0" fontId="2" fillId="2" borderId="0" xfId="0" applyFont="1" applyFill="1"/>
    <xf numFmtId="165" fontId="2" fillId="2" borderId="0" xfId="0" applyNumberFormat="1" applyFont="1" applyFill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3" fontId="2" fillId="2" borderId="10" xfId="0" applyNumberFormat="1" applyFont="1" applyFill="1" applyBorder="1"/>
    <xf numFmtId="10" fontId="2" fillId="2" borderId="1" xfId="0" applyNumberFormat="1" applyFont="1" applyFill="1" applyBorder="1"/>
    <xf numFmtId="166" fontId="2" fillId="2" borderId="3" xfId="0" applyNumberFormat="1" applyFont="1" applyFill="1" applyBorder="1"/>
    <xf numFmtId="166" fontId="2" fillId="2" borderId="0" xfId="0" applyNumberFormat="1" applyFont="1" applyFill="1"/>
    <xf numFmtId="10" fontId="2" fillId="2" borderId="3" xfId="0" applyNumberFormat="1" applyFont="1" applyFill="1" applyBorder="1"/>
    <xf numFmtId="3" fontId="2" fillId="2" borderId="4" xfId="0" applyNumberFormat="1" applyFont="1" applyFill="1" applyBorder="1"/>
    <xf numFmtId="10" fontId="2" fillId="2" borderId="0" xfId="0" applyNumberFormat="1" applyFont="1" applyFill="1"/>
    <xf numFmtId="0" fontId="2" fillId="2" borderId="12" xfId="0" applyFont="1" applyFill="1" applyBorder="1"/>
    <xf numFmtId="0" fontId="2" fillId="2" borderId="13" xfId="0" applyFont="1" applyFill="1" applyBorder="1"/>
    <xf numFmtId="3" fontId="2" fillId="2" borderId="9" xfId="0" applyNumberFormat="1" applyFont="1" applyFill="1" applyBorder="1"/>
    <xf numFmtId="3" fontId="0" fillId="2" borderId="6" xfId="0" applyNumberFormat="1" applyFill="1" applyBorder="1"/>
    <xf numFmtId="0" fontId="2" fillId="2" borderId="1" xfId="0" applyFont="1" applyFill="1" applyBorder="1" applyAlignment="1">
      <alignment horizontal="right"/>
    </xf>
    <xf numFmtId="3" fontId="0" fillId="2" borderId="0" xfId="0" applyNumberFormat="1" applyFill="1" applyAlignment="1">
      <alignment horizontal="right"/>
    </xf>
    <xf numFmtId="3" fontId="2" fillId="2" borderId="14" xfId="0" applyNumberFormat="1" applyFont="1" applyFill="1" applyBorder="1"/>
    <xf numFmtId="3" fontId="2" fillId="2" borderId="2" xfId="0" applyNumberFormat="1" applyFont="1" applyFill="1" applyBorder="1"/>
    <xf numFmtId="0" fontId="2" fillId="3" borderId="15" xfId="0" applyFont="1" applyFill="1" applyBorder="1"/>
    <xf numFmtId="0" fontId="2" fillId="3" borderId="12" xfId="0" applyFont="1" applyFill="1" applyBorder="1"/>
    <xf numFmtId="3" fontId="2" fillId="3" borderId="12" xfId="0" applyNumberFormat="1" applyFont="1" applyFill="1" applyBorder="1"/>
    <xf numFmtId="3" fontId="2" fillId="3" borderId="1" xfId="0" applyNumberFormat="1" applyFon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166" fontId="2" fillId="3" borderId="1" xfId="0" applyNumberFormat="1" applyFont="1" applyFill="1" applyBorder="1"/>
    <xf numFmtId="10" fontId="2" fillId="3" borderId="1" xfId="0" applyNumberFormat="1" applyFont="1" applyFill="1" applyBorder="1"/>
    <xf numFmtId="3" fontId="3" fillId="2" borderId="0" xfId="0" applyNumberFormat="1" applyFont="1" applyFill="1"/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0" fillId="2" borderId="2" xfId="0" applyNumberFormat="1" applyFill="1" applyBorder="1"/>
    <xf numFmtId="3" fontId="2" fillId="2" borderId="14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167" fontId="2" fillId="2" borderId="1" xfId="0" applyNumberFormat="1" applyFont="1" applyFill="1" applyBorder="1"/>
    <xf numFmtId="167" fontId="4" fillId="2" borderId="1" xfId="0" applyNumberFormat="1" applyFont="1" applyFill="1" applyBorder="1"/>
    <xf numFmtId="0" fontId="4" fillId="2" borderId="2" xfId="0" applyFont="1" applyFill="1" applyBorder="1"/>
    <xf numFmtId="0" fontId="4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C0C0C0"/>
      <rgbColor rgb="00000000"/>
      <rgbColor rgb="00FFFFFF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H212"/>
  <sheetViews>
    <sheetView showGridLines="0" tabSelected="1" workbookViewId="0">
      <pane xSplit="2" ySplit="11" topLeftCell="C12" activePane="bottomRight" state="frozenSplit"/>
      <selection pane="topRight"/>
      <selection pane="bottomLeft"/>
      <selection pane="bottomRight" activeCell="B12" sqref="B12"/>
    </sheetView>
  </sheetViews>
  <sheetFormatPr defaultRowHeight="15"/>
  <cols>
    <col min="1" max="1" width="5.08984375" style="3" customWidth="1"/>
    <col min="2" max="2" width="18.1796875" style="3" customWidth="1"/>
    <col min="3" max="3" width="10.453125" style="3" customWidth="1"/>
    <col min="4" max="4" width="12.26953125" style="3" customWidth="1"/>
    <col min="5" max="5" width="5.90625" style="3" customWidth="1"/>
    <col min="6" max="6" width="17.1796875" style="3" customWidth="1"/>
    <col min="7" max="7" width="16.7265625" style="3" customWidth="1"/>
    <col min="8" max="8" width="14.08984375" style="3" customWidth="1"/>
    <col min="9" max="9" width="16.08984375" style="3" customWidth="1"/>
    <col min="10" max="10" width="13.08984375" style="3" customWidth="1"/>
    <col min="11" max="11" width="11.36328125" style="2" customWidth="1"/>
    <col min="12" max="14" width="13.08984375" style="2" customWidth="1"/>
    <col min="15" max="15" width="12.453125" style="2" customWidth="1"/>
    <col min="16" max="17" width="12.1796875" style="2" customWidth="1"/>
    <col min="18" max="18" width="13.26953125" style="3" customWidth="1"/>
    <col min="19" max="19" width="12.6328125" style="3" customWidth="1"/>
    <col min="20" max="21" width="10.54296875" style="3" customWidth="1"/>
    <col min="22" max="22" width="12.453125" style="3" customWidth="1"/>
    <col min="23" max="23" width="11.54296875" style="3" customWidth="1"/>
    <col min="24" max="24" width="10.54296875" style="3" customWidth="1"/>
    <col min="25" max="25" width="13.08984375" style="3" customWidth="1"/>
    <col min="26" max="26" width="11.54296875" style="3" customWidth="1"/>
    <col min="27" max="27" width="10.90625" style="3" customWidth="1"/>
    <col min="28" max="28" width="11.7265625" style="3" customWidth="1"/>
    <col min="29" max="29" width="11.54296875" style="3" customWidth="1"/>
    <col min="30" max="30" width="12.1796875" style="3" customWidth="1"/>
    <col min="31" max="31" width="10" style="3" customWidth="1"/>
    <col min="32" max="32" width="11" style="3" customWidth="1"/>
    <col min="33" max="33" width="10.54296875" style="3" customWidth="1"/>
    <col min="34" max="34" width="12.6328125" style="3" customWidth="1"/>
    <col min="35" max="35" width="10.453125" style="3" customWidth="1"/>
    <col min="36" max="36" width="9.26953125" style="3" customWidth="1"/>
    <col min="37" max="37" width="11.7265625" style="3" customWidth="1"/>
    <col min="38" max="38" width="11.08984375" style="3" customWidth="1"/>
    <col min="39" max="39" width="8.6328125" style="3" customWidth="1"/>
    <col min="40" max="40" width="9" style="3" customWidth="1"/>
    <col min="41" max="41" width="8.7265625" style="3"/>
    <col min="42" max="42" width="11.54296875" style="3" customWidth="1"/>
    <col min="43" max="43" width="8.81640625" style="3" customWidth="1"/>
    <col min="44" max="44" width="11.54296875" style="3" customWidth="1"/>
    <col min="45" max="45" width="11.26953125" style="3" customWidth="1"/>
    <col min="46" max="47" width="10.6328125" style="3" customWidth="1"/>
    <col min="48" max="48" width="9.1796875" style="3" customWidth="1"/>
    <col min="49" max="49" width="8.81640625" style="3" customWidth="1"/>
    <col min="50" max="50" width="10.81640625" style="3" customWidth="1"/>
    <col min="51" max="51" width="9.54296875" style="3" customWidth="1"/>
    <col min="52" max="53" width="9.08984375" style="3" customWidth="1"/>
    <col min="54" max="54" width="9.1796875" style="3" customWidth="1"/>
    <col min="55" max="57" width="8.26953125" style="3" customWidth="1"/>
    <col min="58" max="58" width="10.81640625" style="3" customWidth="1"/>
    <col min="59" max="59" width="9.54296875" style="3" customWidth="1"/>
    <col min="60" max="60" width="9.1796875" style="3" customWidth="1"/>
    <col min="61" max="61" width="9.90625" style="3" customWidth="1"/>
    <col min="62" max="62" width="10.6328125" style="3" customWidth="1"/>
    <col min="63" max="63" width="7.6328125" style="3" customWidth="1"/>
    <col min="64" max="64" width="9.453125" style="3" customWidth="1"/>
    <col min="65" max="65" width="8.7265625" style="3"/>
    <col min="66" max="66" width="9.26953125" style="3" customWidth="1"/>
    <col min="67" max="67" width="9.08984375" style="3" customWidth="1"/>
    <col min="68" max="68" width="8.26953125" style="3" customWidth="1"/>
    <col min="69" max="69" width="9.6328125" style="3" customWidth="1"/>
    <col min="70" max="70" width="8.26953125" style="3" customWidth="1"/>
    <col min="71" max="71" width="6.453125" style="3" customWidth="1"/>
    <col min="72" max="72" width="6.36328125" style="3" customWidth="1"/>
    <col min="73" max="73" width="9.08984375" style="3" customWidth="1"/>
    <col min="74" max="74" width="9.7265625" style="3" customWidth="1"/>
    <col min="75" max="75" width="8.26953125" style="3" customWidth="1"/>
    <col min="76" max="76" width="7.26953125" style="3" customWidth="1"/>
    <col min="77" max="77" width="6.36328125" style="3" customWidth="1"/>
    <col min="78" max="242" width="8.26953125" style="3" customWidth="1"/>
  </cols>
  <sheetData>
    <row r="1" spans="1:78">
      <c r="A1" s="12"/>
      <c r="D1" s="20" t="s">
        <v>3</v>
      </c>
      <c r="G1" s="48"/>
      <c r="X1" s="20"/>
      <c r="Y1" s="18"/>
      <c r="AA1" s="20"/>
      <c r="AL1" s="18"/>
      <c r="AP1" s="20"/>
      <c r="AQ1" s="20"/>
      <c r="BC1" s="18"/>
      <c r="BJ1" s="20"/>
    </row>
    <row r="2" spans="1:78">
      <c r="A2" s="20"/>
      <c r="D2" s="20" t="s">
        <v>255</v>
      </c>
      <c r="G2" s="48"/>
      <c r="T2" s="18"/>
      <c r="X2" s="20"/>
      <c r="Z2" s="20"/>
      <c r="AA2" s="20"/>
      <c r="AB2" s="20"/>
      <c r="AC2" s="21"/>
      <c r="AP2" s="20"/>
      <c r="AQ2" s="20"/>
      <c r="BJ2" s="20"/>
    </row>
    <row r="3" spans="1:78">
      <c r="K3" s="54"/>
      <c r="L3" s="57" t="s">
        <v>2</v>
      </c>
      <c r="M3" s="57"/>
      <c r="N3" s="57"/>
      <c r="O3" s="54"/>
      <c r="P3" s="57" t="s">
        <v>534</v>
      </c>
      <c r="Q3" s="57"/>
      <c r="BL3" s="38" t="s">
        <v>514</v>
      </c>
      <c r="BM3" s="7"/>
      <c r="BN3" s="7"/>
      <c r="BO3" s="7"/>
      <c r="BP3" s="39"/>
      <c r="BQ3" s="38" t="s">
        <v>512</v>
      </c>
      <c r="BR3" s="7"/>
      <c r="BS3" s="7"/>
      <c r="BT3" s="7"/>
      <c r="BU3" s="39"/>
      <c r="BV3" s="38" t="s">
        <v>513</v>
      </c>
      <c r="BW3" s="7"/>
      <c r="BX3" s="7"/>
      <c r="BY3" s="7"/>
      <c r="BZ3" s="39"/>
    </row>
    <row r="4" spans="1:78">
      <c r="C4" s="19" t="s">
        <v>0</v>
      </c>
      <c r="D4" s="17"/>
      <c r="K4" s="15"/>
      <c r="L4" s="58"/>
      <c r="M4" s="58"/>
      <c r="N4" s="58"/>
      <c r="O4" s="15"/>
      <c r="P4" s="58"/>
      <c r="Q4" s="58"/>
      <c r="BL4" s="14"/>
      <c r="BP4" s="9"/>
      <c r="BQ4" s="14"/>
      <c r="BU4" s="9"/>
      <c r="BV4" s="14"/>
      <c r="BZ4" s="9"/>
    </row>
    <row r="5" spans="1:78">
      <c r="A5" s="22"/>
      <c r="B5" s="4"/>
      <c r="C5" s="4"/>
      <c r="D5" s="4"/>
      <c r="E5" s="4"/>
      <c r="F5" s="4"/>
      <c r="G5" s="4"/>
      <c r="H5" s="4" t="s">
        <v>277</v>
      </c>
      <c r="I5" s="4" t="s">
        <v>660</v>
      </c>
      <c r="J5" s="4"/>
      <c r="K5" s="49" t="s">
        <v>497</v>
      </c>
      <c r="L5" s="49"/>
      <c r="M5" s="49"/>
      <c r="N5" s="49" t="s">
        <v>176</v>
      </c>
      <c r="O5" s="49" t="s">
        <v>497</v>
      </c>
      <c r="P5" s="49"/>
      <c r="Q5" s="49" t="s">
        <v>176</v>
      </c>
      <c r="R5" s="4" t="s">
        <v>670</v>
      </c>
      <c r="S5" s="4"/>
      <c r="T5" s="4" t="s">
        <v>16</v>
      </c>
      <c r="U5" s="4" t="s">
        <v>482</v>
      </c>
      <c r="V5" s="4" t="s">
        <v>659</v>
      </c>
      <c r="W5" s="4" t="s">
        <v>119</v>
      </c>
      <c r="X5" s="4" t="s">
        <v>476</v>
      </c>
      <c r="Y5" s="4" t="s">
        <v>55</v>
      </c>
      <c r="Z5" s="4"/>
      <c r="AA5" s="4"/>
      <c r="AB5" s="4"/>
      <c r="AC5" s="32" t="s">
        <v>1</v>
      </c>
      <c r="AD5" s="32"/>
      <c r="AE5" s="33"/>
      <c r="AF5" s="4" t="s">
        <v>489</v>
      </c>
      <c r="AG5" s="4" t="s">
        <v>84</v>
      </c>
      <c r="AH5" s="4"/>
      <c r="AI5" s="4" t="s">
        <v>150</v>
      </c>
      <c r="AJ5" s="4"/>
      <c r="AK5" s="4" t="s">
        <v>643</v>
      </c>
      <c r="AL5" s="53"/>
      <c r="AM5" s="53"/>
      <c r="AN5" s="53"/>
      <c r="AO5" s="4" t="s">
        <v>224</v>
      </c>
      <c r="AP5" s="4" t="s">
        <v>224</v>
      </c>
      <c r="AQ5" s="4" t="s">
        <v>659</v>
      </c>
      <c r="AR5" s="4" t="s">
        <v>659</v>
      </c>
      <c r="AS5" s="4" t="s">
        <v>659</v>
      </c>
      <c r="AT5" s="4"/>
      <c r="AU5" s="4"/>
      <c r="AV5" s="4"/>
      <c r="AW5" s="4"/>
      <c r="AX5" s="4" t="s">
        <v>221</v>
      </c>
      <c r="AY5" s="4" t="s">
        <v>229</v>
      </c>
      <c r="AZ5" s="4" t="s">
        <v>227</v>
      </c>
      <c r="BA5" s="4" t="s">
        <v>20</v>
      </c>
      <c r="BB5" s="4" t="s">
        <v>118</v>
      </c>
      <c r="BC5" s="4" t="s">
        <v>466</v>
      </c>
      <c r="BD5" s="4"/>
      <c r="BE5" s="39"/>
      <c r="BF5" s="39" t="s">
        <v>118</v>
      </c>
      <c r="BG5" s="39"/>
      <c r="BH5" s="39" t="s">
        <v>139</v>
      </c>
      <c r="BI5" s="39" t="s">
        <v>139</v>
      </c>
      <c r="BJ5" s="4"/>
      <c r="BK5" s="22"/>
      <c r="BL5" s="4"/>
      <c r="BM5" s="4"/>
      <c r="BN5" s="4"/>
      <c r="BO5" s="4"/>
      <c r="BP5" s="4" t="s">
        <v>475</v>
      </c>
      <c r="BQ5" s="4"/>
      <c r="BR5" s="4"/>
      <c r="BS5" s="4"/>
      <c r="BT5" s="4"/>
      <c r="BU5" s="4" t="s">
        <v>475</v>
      </c>
      <c r="BV5" s="4"/>
      <c r="BW5" s="4"/>
      <c r="BX5" s="4"/>
      <c r="BY5" s="4"/>
      <c r="BZ5" s="4" t="s">
        <v>475</v>
      </c>
    </row>
    <row r="6" spans="1:78">
      <c r="A6" s="23"/>
      <c r="B6" s="5" t="s">
        <v>665</v>
      </c>
      <c r="C6" s="5" t="s">
        <v>665</v>
      </c>
      <c r="D6" s="5"/>
      <c r="E6" s="5"/>
      <c r="F6" s="5" t="s">
        <v>199</v>
      </c>
      <c r="G6" s="5" t="s">
        <v>625</v>
      </c>
      <c r="H6" s="5" t="s">
        <v>177</v>
      </c>
      <c r="I6" s="5" t="s">
        <v>664</v>
      </c>
      <c r="J6" s="5"/>
      <c r="K6" s="50" t="s">
        <v>449</v>
      </c>
      <c r="L6" s="50" t="s">
        <v>449</v>
      </c>
      <c r="M6" s="50" t="s">
        <v>32</v>
      </c>
      <c r="N6" s="50" t="s">
        <v>112</v>
      </c>
      <c r="O6" s="50" t="s">
        <v>132</v>
      </c>
      <c r="P6" s="50" t="s">
        <v>32</v>
      </c>
      <c r="Q6" s="50" t="s">
        <v>112</v>
      </c>
      <c r="R6" s="5" t="s">
        <v>161</v>
      </c>
      <c r="S6" s="5" t="s">
        <v>177</v>
      </c>
      <c r="T6" s="5" t="s">
        <v>56</v>
      </c>
      <c r="U6" s="5" t="s">
        <v>560</v>
      </c>
      <c r="V6" s="5" t="s">
        <v>195</v>
      </c>
      <c r="W6" s="5" t="s">
        <v>549</v>
      </c>
      <c r="X6" s="5" t="s">
        <v>450</v>
      </c>
      <c r="Y6" s="5" t="s">
        <v>44</v>
      </c>
      <c r="Z6" s="5" t="s">
        <v>7</v>
      </c>
      <c r="AA6" s="5" t="s">
        <v>153</v>
      </c>
      <c r="AB6" s="5"/>
      <c r="AC6" s="5"/>
      <c r="AD6" s="5" t="s">
        <v>219</v>
      </c>
      <c r="AE6" s="5"/>
      <c r="AF6" s="5" t="s">
        <v>557</v>
      </c>
      <c r="AG6" s="5" t="s">
        <v>19</v>
      </c>
      <c r="AH6" s="5" t="s">
        <v>149</v>
      </c>
      <c r="AI6" s="5" t="s">
        <v>633</v>
      </c>
      <c r="AJ6" s="5" t="s">
        <v>482</v>
      </c>
      <c r="AK6" s="5" t="s">
        <v>531</v>
      </c>
      <c r="AL6" s="5" t="s">
        <v>661</v>
      </c>
      <c r="AM6" s="5" t="s">
        <v>661</v>
      </c>
      <c r="AN6" s="5" t="s">
        <v>177</v>
      </c>
      <c r="AO6" s="5" t="s">
        <v>254</v>
      </c>
      <c r="AP6" s="5" t="s">
        <v>254</v>
      </c>
      <c r="AQ6" s="5" t="s">
        <v>33</v>
      </c>
      <c r="AR6" s="5" t="s">
        <v>22</v>
      </c>
      <c r="AS6" s="5" t="s">
        <v>45</v>
      </c>
      <c r="AT6" s="5" t="s">
        <v>438</v>
      </c>
      <c r="AU6" s="5" t="s">
        <v>320</v>
      </c>
      <c r="AV6" s="5" t="s">
        <v>22</v>
      </c>
      <c r="AW6" s="5" t="s">
        <v>227</v>
      </c>
      <c r="AX6" s="5" t="s">
        <v>229</v>
      </c>
      <c r="AY6" s="5" t="s">
        <v>317</v>
      </c>
      <c r="AZ6" s="5" t="s">
        <v>510</v>
      </c>
      <c r="BA6" s="5" t="s">
        <v>498</v>
      </c>
      <c r="BB6" s="5" t="s">
        <v>21</v>
      </c>
      <c r="BC6" s="5" t="s">
        <v>118</v>
      </c>
      <c r="BD6" s="5" t="s">
        <v>118</v>
      </c>
      <c r="BE6" s="9" t="s">
        <v>504</v>
      </c>
      <c r="BF6" s="9" t="s">
        <v>155</v>
      </c>
      <c r="BG6" s="9" t="s">
        <v>118</v>
      </c>
      <c r="BH6" s="9" t="s">
        <v>146</v>
      </c>
      <c r="BI6" s="9" t="s">
        <v>284</v>
      </c>
      <c r="BJ6" s="5" t="s">
        <v>6</v>
      </c>
      <c r="BK6" s="23" t="s">
        <v>118</v>
      </c>
      <c r="BL6" s="5"/>
      <c r="BM6" s="5"/>
      <c r="BN6" s="5"/>
      <c r="BO6" s="5"/>
      <c r="BP6" s="5" t="s">
        <v>670</v>
      </c>
      <c r="BQ6" s="5"/>
      <c r="BR6" s="5"/>
      <c r="BS6" s="5"/>
      <c r="BT6" s="5"/>
      <c r="BU6" s="5" t="s">
        <v>670</v>
      </c>
      <c r="BV6" s="5"/>
      <c r="BW6" s="5"/>
      <c r="BX6" s="5"/>
      <c r="BY6" s="5"/>
      <c r="BZ6" s="5" t="s">
        <v>670</v>
      </c>
    </row>
    <row r="7" spans="1:78">
      <c r="A7" s="24" t="s">
        <v>551</v>
      </c>
      <c r="B7" s="6" t="s">
        <v>378</v>
      </c>
      <c r="C7" s="6" t="s">
        <v>239</v>
      </c>
      <c r="D7" s="6" t="s">
        <v>135</v>
      </c>
      <c r="E7" s="6" t="s">
        <v>625</v>
      </c>
      <c r="F7" s="6" t="s">
        <v>46</v>
      </c>
      <c r="G7" s="6" t="s">
        <v>46</v>
      </c>
      <c r="H7" s="6" t="s">
        <v>511</v>
      </c>
      <c r="I7" s="6" t="s">
        <v>549</v>
      </c>
      <c r="J7" s="6" t="s">
        <v>550</v>
      </c>
      <c r="K7" s="51" t="s">
        <v>5</v>
      </c>
      <c r="L7" s="51" t="s">
        <v>50</v>
      </c>
      <c r="M7" s="51" t="s">
        <v>603</v>
      </c>
      <c r="N7" s="51" t="s">
        <v>95</v>
      </c>
      <c r="O7" s="51" t="s">
        <v>540</v>
      </c>
      <c r="P7" s="51" t="s">
        <v>535</v>
      </c>
      <c r="Q7" s="51" t="s">
        <v>95</v>
      </c>
      <c r="R7" s="6" t="s">
        <v>194</v>
      </c>
      <c r="S7" s="6" t="s">
        <v>52</v>
      </c>
      <c r="T7" s="6" t="s">
        <v>228</v>
      </c>
      <c r="U7" s="6" t="s">
        <v>228</v>
      </c>
      <c r="V7" s="6" t="s">
        <v>423</v>
      </c>
      <c r="W7" s="6" t="s">
        <v>544</v>
      </c>
      <c r="X7" s="6" t="s">
        <v>131</v>
      </c>
      <c r="Y7" s="6" t="s">
        <v>70</v>
      </c>
      <c r="Z7" s="6" t="s">
        <v>662</v>
      </c>
      <c r="AA7" s="6" t="s">
        <v>549</v>
      </c>
      <c r="AB7" s="6" t="s">
        <v>321</v>
      </c>
      <c r="AC7" s="6" t="s">
        <v>586</v>
      </c>
      <c r="AD7" s="6" t="s">
        <v>154</v>
      </c>
      <c r="AE7" s="6" t="s">
        <v>74</v>
      </c>
      <c r="AF7" s="6" t="s">
        <v>673</v>
      </c>
      <c r="AG7" s="6" t="s">
        <v>605</v>
      </c>
      <c r="AH7" s="6" t="s">
        <v>605</v>
      </c>
      <c r="AI7" s="6" t="s">
        <v>605</v>
      </c>
      <c r="AJ7" s="6" t="s">
        <v>230</v>
      </c>
      <c r="AK7" s="6" t="s">
        <v>635</v>
      </c>
      <c r="AL7" s="6" t="s">
        <v>8</v>
      </c>
      <c r="AM7" s="6" t="s">
        <v>9</v>
      </c>
      <c r="AN7" s="6" t="s">
        <v>211</v>
      </c>
      <c r="AO7" s="6" t="s">
        <v>558</v>
      </c>
      <c r="AP7" s="6" t="s">
        <v>539</v>
      </c>
      <c r="AQ7" s="6" t="s">
        <v>555</v>
      </c>
      <c r="AR7" s="6" t="s">
        <v>231</v>
      </c>
      <c r="AS7" s="6" t="s">
        <v>231</v>
      </c>
      <c r="AT7" s="6" t="s">
        <v>196</v>
      </c>
      <c r="AU7" s="6" t="s">
        <v>179</v>
      </c>
      <c r="AV7" s="6" t="s">
        <v>147</v>
      </c>
      <c r="AW7" s="6" t="s">
        <v>147</v>
      </c>
      <c r="AX7" s="6" t="s">
        <v>59</v>
      </c>
      <c r="AY7" s="6" t="s">
        <v>488</v>
      </c>
      <c r="AZ7" s="6" t="s">
        <v>654</v>
      </c>
      <c r="BA7" s="6" t="s">
        <v>180</v>
      </c>
      <c r="BB7" s="6" t="s">
        <v>624</v>
      </c>
      <c r="BC7" s="6" t="s">
        <v>237</v>
      </c>
      <c r="BD7" s="6" t="s">
        <v>559</v>
      </c>
      <c r="BE7" s="30" t="s">
        <v>23</v>
      </c>
      <c r="BF7" s="30" t="s">
        <v>653</v>
      </c>
      <c r="BG7" s="30" t="s">
        <v>198</v>
      </c>
      <c r="BH7" s="30" t="s">
        <v>526</v>
      </c>
      <c r="BI7" s="30" t="s">
        <v>197</v>
      </c>
      <c r="BJ7" s="6" t="s">
        <v>220</v>
      </c>
      <c r="BK7" s="23" t="s">
        <v>12</v>
      </c>
      <c r="BL7" s="5" t="s">
        <v>17</v>
      </c>
      <c r="BM7" s="5" t="s">
        <v>15</v>
      </c>
      <c r="BN7" s="5" t="s">
        <v>14</v>
      </c>
      <c r="BO7" s="5" t="s">
        <v>13</v>
      </c>
      <c r="BP7" s="5" t="s">
        <v>136</v>
      </c>
      <c r="BQ7" s="5" t="s">
        <v>17</v>
      </c>
      <c r="BR7" s="5" t="s">
        <v>15</v>
      </c>
      <c r="BS7" s="5" t="s">
        <v>14</v>
      </c>
      <c r="BT7" s="5" t="s">
        <v>13</v>
      </c>
      <c r="BU7" s="5" t="s">
        <v>136</v>
      </c>
      <c r="BV7" s="5" t="s">
        <v>17</v>
      </c>
      <c r="BW7" s="5" t="s">
        <v>15</v>
      </c>
      <c r="BX7" s="5" t="s">
        <v>14</v>
      </c>
      <c r="BY7" s="5" t="s">
        <v>13</v>
      </c>
      <c r="BZ7" s="5" t="s">
        <v>136</v>
      </c>
    </row>
    <row r="8" spans="1:78">
      <c r="A8" s="23"/>
      <c r="B8" s="5"/>
      <c r="C8" s="5"/>
      <c r="D8" s="5"/>
      <c r="E8" s="5"/>
      <c r="F8" s="5"/>
      <c r="G8" s="5"/>
      <c r="H8" s="5"/>
      <c r="I8" s="5"/>
      <c r="J8" s="5"/>
      <c r="K8" s="50"/>
      <c r="L8" s="50"/>
      <c r="M8" s="50"/>
      <c r="N8" s="50"/>
      <c r="O8" s="50"/>
      <c r="P8" s="50"/>
      <c r="Q8" s="50"/>
      <c r="R8" s="5"/>
      <c r="S8" s="5"/>
      <c r="T8" s="5"/>
      <c r="U8" s="5"/>
      <c r="V8" s="5"/>
      <c r="W8" s="5"/>
      <c r="X8" s="9"/>
      <c r="Y8" s="29"/>
      <c r="Z8" s="9"/>
      <c r="AA8" s="9"/>
      <c r="AB8" s="5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34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</row>
    <row r="9" spans="1:78">
      <c r="A9" s="40"/>
      <c r="B9" s="41" t="s">
        <v>459</v>
      </c>
      <c r="C9" s="41"/>
      <c r="D9" s="41"/>
      <c r="E9" s="42"/>
      <c r="F9" s="42"/>
      <c r="G9" s="42"/>
      <c r="H9" s="43">
        <f t="shared" ref="H9:AM9" si="0">AVERAGE(H12:H201)</f>
        <v>20167038.115789473</v>
      </c>
      <c r="I9" s="43">
        <f t="shared" si="0"/>
        <v>20237867.657894738</v>
      </c>
      <c r="J9" s="43">
        <f t="shared" si="0"/>
        <v>892495.21052631584</v>
      </c>
      <c r="K9" s="55">
        <f t="shared" si="0"/>
        <v>2423668.6894736844</v>
      </c>
      <c r="L9" s="55">
        <f t="shared" si="0"/>
        <v>1228785.8</v>
      </c>
      <c r="M9" s="55">
        <f t="shared" si="0"/>
        <v>4599257.884210526</v>
      </c>
      <c r="N9" s="55">
        <f t="shared" si="0"/>
        <v>2620363.9736842103</v>
      </c>
      <c r="O9" s="55">
        <f t="shared" si="0"/>
        <v>36897.136842105261</v>
      </c>
      <c r="P9" s="55">
        <f t="shared" si="0"/>
        <v>978006.55789473688</v>
      </c>
      <c r="Q9" s="55">
        <f t="shared" si="0"/>
        <v>418655.9736842105</v>
      </c>
      <c r="R9" s="43">
        <f t="shared" si="0"/>
        <v>4293933.8210526314</v>
      </c>
      <c r="S9" s="43">
        <f t="shared" si="0"/>
        <v>1431354.9</v>
      </c>
      <c r="T9" s="43">
        <f t="shared" si="0"/>
        <v>13053.021052631579</v>
      </c>
      <c r="U9" s="43">
        <f t="shared" si="0"/>
        <v>9551.1640211640206</v>
      </c>
      <c r="V9" s="43">
        <f t="shared" si="0"/>
        <v>19155462.200736843</v>
      </c>
      <c r="W9" s="45">
        <f t="shared" si="0"/>
        <v>0.11763983315736845</v>
      </c>
      <c r="X9" s="43">
        <f t="shared" si="0"/>
        <v>1029629.3792297491</v>
      </c>
      <c r="Y9" s="47">
        <f t="shared" si="0"/>
        <v>6.6786150588353813E-2</v>
      </c>
      <c r="Z9" s="43">
        <f t="shared" si="0"/>
        <v>981114.26842105261</v>
      </c>
      <c r="AA9" s="43">
        <f t="shared" si="0"/>
        <v>4205.1736842105265</v>
      </c>
      <c r="AB9" s="43">
        <f t="shared" si="0"/>
        <v>72668.541473684221</v>
      </c>
      <c r="AC9" s="43">
        <f t="shared" si="0"/>
        <v>461734.8842105263</v>
      </c>
      <c r="AD9" s="43">
        <f t="shared" si="0"/>
        <v>37720.384210526317</v>
      </c>
      <c r="AE9" s="43">
        <f t="shared" si="0"/>
        <v>90837.910526315783</v>
      </c>
      <c r="AF9" s="43">
        <f t="shared" si="0"/>
        <v>84301.368421052626</v>
      </c>
      <c r="AG9" s="43">
        <f t="shared" si="0"/>
        <v>9866.7052631578954</v>
      </c>
      <c r="AH9" s="43">
        <f t="shared" si="0"/>
        <v>33194.447368421053</v>
      </c>
      <c r="AI9" s="43">
        <f t="shared" si="0"/>
        <v>10153.721052631579</v>
      </c>
      <c r="AJ9" s="43">
        <f t="shared" si="0"/>
        <v>19490.894736842107</v>
      </c>
      <c r="AK9" s="43">
        <f t="shared" si="0"/>
        <v>67681.357894736837</v>
      </c>
      <c r="AL9" s="43">
        <f t="shared" si="0"/>
        <v>9843.3157894736851</v>
      </c>
      <c r="AM9" s="43">
        <f t="shared" si="0"/>
        <v>660.22105263157891</v>
      </c>
      <c r="AN9" s="43">
        <f t="shared" ref="AN9:BS9" si="1">AVERAGE(AN12:AN201)</f>
        <v>3020.5593220338983</v>
      </c>
      <c r="AO9" s="43">
        <f t="shared" si="1"/>
        <v>8234.0631578947377</v>
      </c>
      <c r="AP9" s="43">
        <f t="shared" si="1"/>
        <v>28981.473684210527</v>
      </c>
      <c r="AQ9" s="43">
        <f t="shared" si="1"/>
        <v>9717.6947368421061</v>
      </c>
      <c r="AR9" s="43">
        <f t="shared" si="1"/>
        <v>938156.53684210521</v>
      </c>
      <c r="AS9" s="43">
        <f t="shared" si="1"/>
        <v>1007048.2368421053</v>
      </c>
      <c r="AT9" s="43">
        <f t="shared" si="1"/>
        <v>854.48421052631579</v>
      </c>
      <c r="AU9" s="43">
        <f t="shared" si="1"/>
        <v>65.89473684210526</v>
      </c>
      <c r="AV9" s="43">
        <f t="shared" si="1"/>
        <v>134830.19576719578</v>
      </c>
      <c r="AW9" s="43">
        <f t="shared" si="1"/>
        <v>51.481481481481481</v>
      </c>
      <c r="AX9" s="43">
        <f t="shared" si="1"/>
        <v>119963.71710526316</v>
      </c>
      <c r="AY9" s="43">
        <f t="shared" si="1"/>
        <v>703.47368421052636</v>
      </c>
      <c r="AZ9" s="43">
        <f t="shared" si="1"/>
        <v>703.47368421052636</v>
      </c>
      <c r="BA9" s="43">
        <f t="shared" si="1"/>
        <v>0</v>
      </c>
      <c r="BB9" s="43">
        <f t="shared" si="1"/>
        <v>4191.121052631579</v>
      </c>
      <c r="BC9" s="43">
        <f t="shared" si="1"/>
        <v>1970.8631578947368</v>
      </c>
      <c r="BD9" s="43">
        <f t="shared" si="1"/>
        <v>70.215789473684211</v>
      </c>
      <c r="BE9" s="43">
        <f t="shared" si="1"/>
        <v>-56.742105263157896</v>
      </c>
      <c r="BF9" s="43">
        <f t="shared" si="1"/>
        <v>-224.06052631578947</v>
      </c>
      <c r="BG9" s="43">
        <f t="shared" si="1"/>
        <v>-1103.5289473684211</v>
      </c>
      <c r="BH9" s="43">
        <f t="shared" si="1"/>
        <v>-611.34736842105258</v>
      </c>
      <c r="BI9" s="43">
        <f t="shared" si="1"/>
        <v>-3.831578947368421</v>
      </c>
      <c r="BJ9" s="43">
        <f t="shared" si="1"/>
        <v>4232.6894736842105</v>
      </c>
      <c r="BK9" s="43">
        <f t="shared" si="1"/>
        <v>21.284210526315789</v>
      </c>
      <c r="BL9" s="43">
        <f t="shared" si="1"/>
        <v>171.09473684210528</v>
      </c>
      <c r="BM9" s="43">
        <f t="shared" si="1"/>
        <v>57.478947368421053</v>
      </c>
      <c r="BN9" s="43">
        <f t="shared" si="1"/>
        <v>285.88947368421054</v>
      </c>
      <c r="BO9" s="43">
        <f t="shared" si="1"/>
        <v>39.326315789473682</v>
      </c>
      <c r="BP9" s="43">
        <f t="shared" si="1"/>
        <v>26.11578947368421</v>
      </c>
      <c r="BQ9" s="43">
        <f t="shared" si="1"/>
        <v>11.291005291005291</v>
      </c>
      <c r="BR9" s="43">
        <f t="shared" si="1"/>
        <v>5.2751322751322753</v>
      </c>
      <c r="BS9" s="43">
        <f t="shared" si="1"/>
        <v>38.206349206349209</v>
      </c>
      <c r="BT9" s="43">
        <f t="shared" ref="BT9:BZ9" si="2">AVERAGE(BT12:BT201)</f>
        <v>83.306878306878303</v>
      </c>
      <c r="BU9" s="43">
        <f t="shared" si="2"/>
        <v>11.185185185185185</v>
      </c>
      <c r="BV9" s="43">
        <f t="shared" si="2"/>
        <v>46.386243386243386</v>
      </c>
      <c r="BW9" s="43">
        <f t="shared" si="2"/>
        <v>15.883597883597883</v>
      </c>
      <c r="BX9" s="43">
        <f t="shared" si="2"/>
        <v>117.34920634920636</v>
      </c>
      <c r="BY9" s="43">
        <f t="shared" si="2"/>
        <v>333.64550264550263</v>
      </c>
      <c r="BZ9" s="43">
        <f t="shared" si="2"/>
        <v>59</v>
      </c>
    </row>
    <row r="10" spans="1:78">
      <c r="A10" s="40"/>
      <c r="B10" s="41" t="s">
        <v>460</v>
      </c>
      <c r="C10" s="41"/>
      <c r="D10" s="41"/>
      <c r="E10" s="42"/>
      <c r="F10" s="42"/>
      <c r="G10" s="42"/>
      <c r="H10" s="43">
        <f t="shared" ref="H10:V10" si="3">SUM(H12:H201)</f>
        <v>3831737242</v>
      </c>
      <c r="I10" s="43">
        <f t="shared" si="3"/>
        <v>3845194855</v>
      </c>
      <c r="J10" s="43">
        <f t="shared" si="3"/>
        <v>169574090</v>
      </c>
      <c r="K10" s="55">
        <f t="shared" si="3"/>
        <v>460497051</v>
      </c>
      <c r="L10" s="55">
        <f t="shared" si="3"/>
        <v>233469302</v>
      </c>
      <c r="M10" s="55">
        <f t="shared" si="3"/>
        <v>873858998</v>
      </c>
      <c r="N10" s="55">
        <f t="shared" si="3"/>
        <v>497869155</v>
      </c>
      <c r="O10" s="55">
        <f t="shared" si="3"/>
        <v>7010456</v>
      </c>
      <c r="P10" s="55">
        <f t="shared" si="3"/>
        <v>185821246</v>
      </c>
      <c r="Q10" s="55">
        <f t="shared" si="3"/>
        <v>79544635</v>
      </c>
      <c r="R10" s="43">
        <f t="shared" si="3"/>
        <v>815847426</v>
      </c>
      <c r="S10" s="43">
        <f t="shared" si="3"/>
        <v>271957431</v>
      </c>
      <c r="T10" s="43">
        <f t="shared" si="3"/>
        <v>2480074</v>
      </c>
      <c r="U10" s="43">
        <f t="shared" si="3"/>
        <v>1805170</v>
      </c>
      <c r="V10" s="43">
        <f t="shared" si="3"/>
        <v>3639537818.1399999</v>
      </c>
      <c r="W10" s="46" t="s">
        <v>456</v>
      </c>
      <c r="X10" s="43">
        <f>SUM(X12:X201)</f>
        <v>195629582.05365232</v>
      </c>
      <c r="Y10" s="44" t="s">
        <v>456</v>
      </c>
      <c r="Z10" s="43">
        <f t="shared" ref="Z10:BE10" si="4">SUM(Z12:Z201)</f>
        <v>186411711</v>
      </c>
      <c r="AA10" s="43">
        <f t="shared" si="4"/>
        <v>798983</v>
      </c>
      <c r="AB10" s="43">
        <f t="shared" si="4"/>
        <v>13807022.880000001</v>
      </c>
      <c r="AC10" s="43">
        <f t="shared" si="4"/>
        <v>87729628</v>
      </c>
      <c r="AD10" s="43">
        <f t="shared" si="4"/>
        <v>7166873</v>
      </c>
      <c r="AE10" s="43">
        <f t="shared" si="4"/>
        <v>17259203</v>
      </c>
      <c r="AF10" s="43">
        <f t="shared" si="4"/>
        <v>16017260</v>
      </c>
      <c r="AG10" s="43">
        <f t="shared" si="4"/>
        <v>1874674</v>
      </c>
      <c r="AH10" s="43">
        <f t="shared" si="4"/>
        <v>6306945</v>
      </c>
      <c r="AI10" s="43">
        <f t="shared" si="4"/>
        <v>1929207</v>
      </c>
      <c r="AJ10" s="43">
        <f t="shared" si="4"/>
        <v>3703270</v>
      </c>
      <c r="AK10" s="43">
        <f t="shared" si="4"/>
        <v>12859458</v>
      </c>
      <c r="AL10" s="43">
        <f t="shared" si="4"/>
        <v>1870230</v>
      </c>
      <c r="AM10" s="43">
        <f t="shared" si="4"/>
        <v>125442</v>
      </c>
      <c r="AN10" s="43">
        <f t="shared" si="4"/>
        <v>534639</v>
      </c>
      <c r="AO10" s="43">
        <f t="shared" si="4"/>
        <v>1564472</v>
      </c>
      <c r="AP10" s="43">
        <f t="shared" si="4"/>
        <v>5506480</v>
      </c>
      <c r="AQ10" s="43">
        <f t="shared" si="4"/>
        <v>1846362</v>
      </c>
      <c r="AR10" s="43">
        <f t="shared" si="4"/>
        <v>178249742</v>
      </c>
      <c r="AS10" s="43">
        <f t="shared" si="4"/>
        <v>191339165</v>
      </c>
      <c r="AT10" s="43">
        <f t="shared" si="4"/>
        <v>162352</v>
      </c>
      <c r="AU10" s="43">
        <f t="shared" si="4"/>
        <v>12520</v>
      </c>
      <c r="AV10" s="43">
        <f t="shared" si="4"/>
        <v>25482907</v>
      </c>
      <c r="AW10" s="43">
        <f t="shared" si="4"/>
        <v>9730</v>
      </c>
      <c r="AX10" s="43">
        <f t="shared" si="4"/>
        <v>22793106.25</v>
      </c>
      <c r="AY10" s="43">
        <f t="shared" si="4"/>
        <v>133660</v>
      </c>
      <c r="AZ10" s="43">
        <f t="shared" si="4"/>
        <v>133660</v>
      </c>
      <c r="BA10" s="43">
        <f t="shared" si="4"/>
        <v>0</v>
      </c>
      <c r="BB10" s="43">
        <f t="shared" si="4"/>
        <v>796313</v>
      </c>
      <c r="BC10" s="43">
        <f t="shared" si="4"/>
        <v>374464</v>
      </c>
      <c r="BD10" s="43">
        <f t="shared" si="4"/>
        <v>13341</v>
      </c>
      <c r="BE10" s="43">
        <f t="shared" si="4"/>
        <v>-10781</v>
      </c>
      <c r="BF10" s="43">
        <f t="shared" ref="BF10:BZ10" si="5">SUM(BF12:BF201)</f>
        <v>-42571.5</v>
      </c>
      <c r="BG10" s="43">
        <f t="shared" si="5"/>
        <v>-209670.5</v>
      </c>
      <c r="BH10" s="43">
        <f t="shared" si="5"/>
        <v>-116156</v>
      </c>
      <c r="BI10" s="43">
        <f t="shared" si="5"/>
        <v>-728</v>
      </c>
      <c r="BJ10" s="43">
        <f t="shared" si="5"/>
        <v>804211</v>
      </c>
      <c r="BK10" s="43">
        <f t="shared" si="5"/>
        <v>4044</v>
      </c>
      <c r="BL10" s="43">
        <f t="shared" si="5"/>
        <v>32508</v>
      </c>
      <c r="BM10" s="43">
        <f t="shared" si="5"/>
        <v>10921</v>
      </c>
      <c r="BN10" s="43">
        <f t="shared" si="5"/>
        <v>54319</v>
      </c>
      <c r="BO10" s="43">
        <f t="shared" si="5"/>
        <v>7472</v>
      </c>
      <c r="BP10" s="43">
        <f t="shared" si="5"/>
        <v>4962</v>
      </c>
      <c r="BQ10" s="43">
        <f t="shared" si="5"/>
        <v>2134</v>
      </c>
      <c r="BR10" s="43">
        <f t="shared" si="5"/>
        <v>997</v>
      </c>
      <c r="BS10" s="43">
        <f t="shared" si="5"/>
        <v>7221</v>
      </c>
      <c r="BT10" s="43">
        <f t="shared" si="5"/>
        <v>15745</v>
      </c>
      <c r="BU10" s="43">
        <f t="shared" si="5"/>
        <v>2114</v>
      </c>
      <c r="BV10" s="43">
        <f t="shared" si="5"/>
        <v>8767</v>
      </c>
      <c r="BW10" s="43">
        <f t="shared" si="5"/>
        <v>3002</v>
      </c>
      <c r="BX10" s="43">
        <f t="shared" si="5"/>
        <v>22179</v>
      </c>
      <c r="BY10" s="43">
        <f t="shared" si="5"/>
        <v>63059</v>
      </c>
      <c r="BZ10" s="43">
        <f t="shared" si="5"/>
        <v>11151</v>
      </c>
    </row>
    <row r="11" spans="1:78">
      <c r="A11" s="23"/>
      <c r="B11" s="5"/>
      <c r="C11" s="5"/>
      <c r="D11" s="9"/>
      <c r="E11" s="5"/>
      <c r="F11" s="5"/>
      <c r="G11" s="5"/>
      <c r="H11" s="9"/>
      <c r="I11" s="9"/>
      <c r="J11" s="9"/>
      <c r="K11" s="56"/>
      <c r="L11" s="56"/>
      <c r="M11" s="56"/>
      <c r="N11" s="56"/>
      <c r="O11" s="56"/>
      <c r="P11" s="56"/>
      <c r="Q11" s="56"/>
      <c r="R11" s="9"/>
      <c r="S11" s="9"/>
      <c r="T11" s="9"/>
      <c r="U11" s="9"/>
      <c r="V11" s="9"/>
      <c r="W11" s="27"/>
      <c r="X11" s="9" t="s">
        <v>0</v>
      </c>
      <c r="Y11" s="2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23"/>
      <c r="BL11" s="9"/>
      <c r="BM11" s="9"/>
      <c r="BN11" s="9"/>
      <c r="BO11" s="9"/>
      <c r="BP11" s="9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>
      <c r="A12" s="16">
        <v>1</v>
      </c>
      <c r="B12" s="59" t="s">
        <v>89</v>
      </c>
      <c r="C12" s="60" t="s">
        <v>339</v>
      </c>
      <c r="D12" s="59" t="s">
        <v>536</v>
      </c>
      <c r="E12" s="59" t="s">
        <v>562</v>
      </c>
      <c r="F12" s="59"/>
      <c r="G12" s="59" t="s">
        <v>561</v>
      </c>
      <c r="H12" s="11">
        <v>3656878</v>
      </c>
      <c r="I12" s="11">
        <v>3668817</v>
      </c>
      <c r="J12" s="11">
        <v>177124</v>
      </c>
      <c r="K12" s="52">
        <v>118127</v>
      </c>
      <c r="L12" s="52">
        <v>894958</v>
      </c>
      <c r="M12" s="52">
        <v>156963</v>
      </c>
      <c r="N12" s="52">
        <v>0</v>
      </c>
      <c r="O12" s="52">
        <v>0</v>
      </c>
      <c r="P12" s="52">
        <v>700960</v>
      </c>
      <c r="Q12" s="52">
        <v>0</v>
      </c>
      <c r="R12" s="11">
        <v>1454678</v>
      </c>
      <c r="S12" s="11">
        <v>118135</v>
      </c>
      <c r="T12" s="11">
        <v>0</v>
      </c>
      <c r="U12" s="11">
        <v>0</v>
      </c>
      <c r="V12" s="11">
        <v>3704674</v>
      </c>
      <c r="W12" s="13">
        <v>8.6099999999999996E-2</v>
      </c>
      <c r="X12" s="11">
        <v>0</v>
      </c>
      <c r="Y12" s="26">
        <f>259327/3704674</f>
        <v>6.9999951412728897E-2</v>
      </c>
      <c r="Z12" s="11">
        <v>260472</v>
      </c>
      <c r="AA12" s="11">
        <v>0</v>
      </c>
      <c r="AB12" s="11">
        <f>11244+843+80</f>
        <v>12167</v>
      </c>
      <c r="AC12" s="11">
        <v>59820</v>
      </c>
      <c r="AD12" s="11">
        <v>5459</v>
      </c>
      <c r="AE12" s="11">
        <v>13299</v>
      </c>
      <c r="AF12" s="11">
        <v>11679</v>
      </c>
      <c r="AG12" s="11">
        <v>1725</v>
      </c>
      <c r="AH12" s="11">
        <v>6036</v>
      </c>
      <c r="AI12" s="11">
        <v>0</v>
      </c>
      <c r="AJ12" s="11">
        <v>0</v>
      </c>
      <c r="AK12" s="11">
        <f>1671+4773+2795</f>
        <v>9239</v>
      </c>
      <c r="AL12" s="11">
        <v>0</v>
      </c>
      <c r="AM12" s="11">
        <v>0</v>
      </c>
      <c r="AN12" s="11">
        <v>0</v>
      </c>
      <c r="AO12" s="11">
        <v>1402</v>
      </c>
      <c r="AP12" s="11">
        <v>14444</v>
      </c>
      <c r="AQ12" s="11">
        <v>101213</v>
      </c>
      <c r="AR12" s="11">
        <v>134433</v>
      </c>
      <c r="AS12" s="11">
        <v>142646</v>
      </c>
      <c r="AT12" s="11">
        <v>0</v>
      </c>
      <c r="AU12" s="11">
        <v>0</v>
      </c>
      <c r="AV12" s="11">
        <v>143628</v>
      </c>
      <c r="AW12" s="11">
        <v>0</v>
      </c>
      <c r="AX12" s="11">
        <v>1118</v>
      </c>
      <c r="AY12" s="11">
        <v>0</v>
      </c>
      <c r="AZ12" s="11">
        <v>0</v>
      </c>
      <c r="BA12" s="11">
        <v>0</v>
      </c>
      <c r="BB12" s="11">
        <v>624</v>
      </c>
      <c r="BC12" s="11">
        <v>358</v>
      </c>
      <c r="BD12" s="11">
        <v>12</v>
      </c>
      <c r="BE12" s="11">
        <f>13-1</f>
        <v>12</v>
      </c>
      <c r="BF12" s="11">
        <v>-59</v>
      </c>
      <c r="BG12" s="11">
        <v>-143</v>
      </c>
      <c r="BH12" s="11">
        <v>-93</v>
      </c>
      <c r="BI12" s="11">
        <v>0</v>
      </c>
      <c r="BJ12" s="11">
        <f t="shared" ref="BJ12:BJ43" si="6">SUM(BB12:BI12)</f>
        <v>711</v>
      </c>
      <c r="BK12" s="1">
        <v>3</v>
      </c>
      <c r="BL12" s="1">
        <v>49</v>
      </c>
      <c r="BM12" s="1">
        <v>12</v>
      </c>
      <c r="BN12" s="1">
        <v>25</v>
      </c>
      <c r="BO12" s="1">
        <v>1</v>
      </c>
      <c r="BP12" s="1">
        <v>6</v>
      </c>
      <c r="BQ12" s="1">
        <v>2</v>
      </c>
      <c r="BR12" s="1">
        <v>0</v>
      </c>
      <c r="BS12" s="1">
        <v>10</v>
      </c>
      <c r="BT12" s="1">
        <v>0</v>
      </c>
      <c r="BU12" s="1">
        <v>29</v>
      </c>
      <c r="BV12" s="1">
        <v>1</v>
      </c>
      <c r="BW12" s="1">
        <v>3</v>
      </c>
      <c r="BX12" s="1">
        <v>10</v>
      </c>
      <c r="BY12" s="1">
        <v>46</v>
      </c>
      <c r="BZ12" s="1">
        <v>4</v>
      </c>
    </row>
    <row r="13" spans="1:78">
      <c r="A13" s="16">
        <v>1</v>
      </c>
      <c r="B13" s="59" t="s">
        <v>236</v>
      </c>
      <c r="C13" s="60" t="s">
        <v>520</v>
      </c>
      <c r="D13" s="59" t="s">
        <v>100</v>
      </c>
      <c r="E13" s="59" t="s">
        <v>421</v>
      </c>
      <c r="F13" s="59"/>
      <c r="G13" s="59" t="s">
        <v>405</v>
      </c>
      <c r="H13" s="11">
        <v>5264110</v>
      </c>
      <c r="I13" s="11">
        <v>5291265</v>
      </c>
      <c r="J13" s="11">
        <v>292849</v>
      </c>
      <c r="K13" s="52">
        <v>15554</v>
      </c>
      <c r="L13" s="52">
        <v>129065</v>
      </c>
      <c r="M13" s="52">
        <v>242986</v>
      </c>
      <c r="N13" s="52">
        <v>1637791</v>
      </c>
      <c r="O13" s="52">
        <v>0</v>
      </c>
      <c r="P13" s="52">
        <v>546481</v>
      </c>
      <c r="Q13" s="52">
        <v>0</v>
      </c>
      <c r="R13" s="11">
        <v>1294777</v>
      </c>
      <c r="S13" s="11">
        <v>237356</v>
      </c>
      <c r="T13" s="11">
        <v>0</v>
      </c>
      <c r="U13" s="11">
        <v>0</v>
      </c>
      <c r="V13" s="11">
        <v>4600892</v>
      </c>
      <c r="W13" s="13">
        <v>0.26</v>
      </c>
      <c r="X13" s="11">
        <v>0</v>
      </c>
      <c r="Y13" s="26">
        <f>359435/4600380</f>
        <v>7.8131589129593643E-2</v>
      </c>
      <c r="Z13" s="11">
        <v>358560</v>
      </c>
      <c r="AA13" s="11">
        <v>0</v>
      </c>
      <c r="AB13" s="11">
        <f>5110+581+98</f>
        <v>5789</v>
      </c>
      <c r="AC13" s="11">
        <v>91772</v>
      </c>
      <c r="AD13" s="11">
        <v>8915</v>
      </c>
      <c r="AE13" s="11">
        <v>13902</v>
      </c>
      <c r="AF13" s="11">
        <f>24797+2384</f>
        <v>27181</v>
      </c>
      <c r="AG13" s="11">
        <v>0</v>
      </c>
      <c r="AH13" s="11">
        <v>8389</v>
      </c>
      <c r="AI13" s="11">
        <v>0</v>
      </c>
      <c r="AJ13" s="11">
        <v>0</v>
      </c>
      <c r="AK13" s="11">
        <f>6590+8440+6652</f>
        <v>21682</v>
      </c>
      <c r="AL13" s="11">
        <v>7012</v>
      </c>
      <c r="AM13" s="11">
        <v>0</v>
      </c>
      <c r="AN13" s="11">
        <v>1119</v>
      </c>
      <c r="AO13" s="11">
        <v>0</v>
      </c>
      <c r="AP13" s="11">
        <v>3579</v>
      </c>
      <c r="AQ13" s="11">
        <v>0</v>
      </c>
      <c r="AR13" s="11">
        <v>213678</v>
      </c>
      <c r="AS13" s="11">
        <v>235027</v>
      </c>
      <c r="AT13" s="11">
        <v>31</v>
      </c>
      <c r="AU13" s="11">
        <v>0</v>
      </c>
      <c r="AV13" s="11">
        <v>143628</v>
      </c>
      <c r="AW13" s="11">
        <v>0</v>
      </c>
      <c r="AX13" s="11">
        <v>24440</v>
      </c>
      <c r="AY13" s="11">
        <v>0</v>
      </c>
      <c r="AZ13" s="11">
        <v>0</v>
      </c>
      <c r="BA13" s="11">
        <v>0</v>
      </c>
      <c r="BB13" s="11">
        <v>911</v>
      </c>
      <c r="BC13" s="11">
        <v>317</v>
      </c>
      <c r="BD13" s="11">
        <v>0</v>
      </c>
      <c r="BE13" s="11">
        <v>3</v>
      </c>
      <c r="BF13" s="11">
        <v>-94</v>
      </c>
      <c r="BG13" s="11">
        <v>-93</v>
      </c>
      <c r="BH13" s="11">
        <v>-188</v>
      </c>
      <c r="BI13" s="11">
        <v>0</v>
      </c>
      <c r="BJ13" s="11">
        <f t="shared" si="6"/>
        <v>856</v>
      </c>
      <c r="BK13" s="1">
        <v>1</v>
      </c>
      <c r="BL13" s="1">
        <v>38</v>
      </c>
      <c r="BM13" s="1">
        <v>22</v>
      </c>
      <c r="BN13" s="1">
        <v>124</v>
      </c>
      <c r="BO13" s="1">
        <v>0</v>
      </c>
      <c r="BP13" s="1">
        <v>4</v>
      </c>
      <c r="BQ13" s="1" t="s">
        <v>456</v>
      </c>
      <c r="BR13" s="1" t="s">
        <v>456</v>
      </c>
      <c r="BS13" s="1" t="s">
        <v>456</v>
      </c>
      <c r="BT13" s="1" t="s">
        <v>456</v>
      </c>
      <c r="BU13" s="1" t="s">
        <v>456</v>
      </c>
      <c r="BV13" s="1">
        <v>1</v>
      </c>
      <c r="BW13" s="1">
        <v>1</v>
      </c>
      <c r="BX13" s="1">
        <v>6</v>
      </c>
      <c r="BY13" s="1">
        <v>28</v>
      </c>
      <c r="BZ13" s="1">
        <v>23</v>
      </c>
    </row>
    <row r="14" spans="1:78">
      <c r="A14" s="16">
        <v>1</v>
      </c>
      <c r="B14" s="59" t="s">
        <v>506</v>
      </c>
      <c r="C14" s="60" t="s">
        <v>184</v>
      </c>
      <c r="D14" s="59" t="s">
        <v>709</v>
      </c>
      <c r="E14" s="59" t="s">
        <v>401</v>
      </c>
      <c r="F14" s="59"/>
      <c r="G14" s="59" t="s">
        <v>416</v>
      </c>
      <c r="H14" s="11">
        <v>8817739</v>
      </c>
      <c r="I14" s="11">
        <v>8870282</v>
      </c>
      <c r="J14" s="11">
        <v>387944</v>
      </c>
      <c r="K14" s="52">
        <v>0</v>
      </c>
      <c r="L14" s="52">
        <v>584923</v>
      </c>
      <c r="M14" s="52">
        <v>175739</v>
      </c>
      <c r="N14" s="52">
        <v>2919483</v>
      </c>
      <c r="O14" s="52">
        <v>0</v>
      </c>
      <c r="P14" s="52">
        <v>190663</v>
      </c>
      <c r="Q14" s="52">
        <v>871953</v>
      </c>
      <c r="R14" s="11">
        <v>2631035</v>
      </c>
      <c r="S14" s="11">
        <v>466682</v>
      </c>
      <c r="T14" s="11">
        <v>30041</v>
      </c>
      <c r="U14" s="11">
        <v>0</v>
      </c>
      <c r="V14" s="11">
        <v>8486676</v>
      </c>
      <c r="W14" s="13">
        <v>0.18509999999999999</v>
      </c>
      <c r="X14" s="11">
        <v>0</v>
      </c>
      <c r="Y14" s="26">
        <f>596001/8456635</f>
        <v>7.047732342710783E-2</v>
      </c>
      <c r="Z14" s="11">
        <v>596923</v>
      </c>
      <c r="AA14" s="11">
        <v>0</v>
      </c>
      <c r="AB14" s="11">
        <f>51863+1245+346</f>
        <v>53454</v>
      </c>
      <c r="AC14" s="11">
        <v>271601</v>
      </c>
      <c r="AD14" s="11">
        <v>23827</v>
      </c>
      <c r="AE14" s="11">
        <v>32215</v>
      </c>
      <c r="AF14" s="11">
        <v>24759</v>
      </c>
      <c r="AG14" s="11">
        <v>8854</v>
      </c>
      <c r="AH14" s="11">
        <v>83419</v>
      </c>
      <c r="AI14" s="11">
        <v>0</v>
      </c>
      <c r="AJ14" s="11">
        <v>0</v>
      </c>
      <c r="AK14" s="11">
        <f>5738+10483+6461</f>
        <v>22682</v>
      </c>
      <c r="AL14" s="11">
        <v>7445</v>
      </c>
      <c r="AM14" s="11">
        <v>0</v>
      </c>
      <c r="AN14" s="11">
        <v>0</v>
      </c>
      <c r="AO14" s="11">
        <v>3077</v>
      </c>
      <c r="AP14" s="11">
        <v>1867</v>
      </c>
      <c r="AQ14" s="11">
        <v>0</v>
      </c>
      <c r="AR14" s="11">
        <v>520496</v>
      </c>
      <c r="AS14" s="11">
        <v>530579</v>
      </c>
      <c r="AT14" s="11">
        <v>44</v>
      </c>
      <c r="AU14" s="11">
        <v>0</v>
      </c>
      <c r="AV14" s="11">
        <v>143628</v>
      </c>
      <c r="AW14" s="11">
        <v>0</v>
      </c>
      <c r="AX14" s="11">
        <v>71109</v>
      </c>
      <c r="AY14" s="11">
        <v>0</v>
      </c>
      <c r="AZ14" s="11">
        <v>0</v>
      </c>
      <c r="BA14" s="11">
        <v>0</v>
      </c>
      <c r="BB14" s="11">
        <v>1909</v>
      </c>
      <c r="BC14" s="11">
        <v>1009</v>
      </c>
      <c r="BD14" s="11">
        <v>426</v>
      </c>
      <c r="BE14" s="11">
        <v>0</v>
      </c>
      <c r="BF14" s="11">
        <v>-136</v>
      </c>
      <c r="BG14" s="11">
        <v>-839</v>
      </c>
      <c r="BH14" s="11">
        <v>-504</v>
      </c>
      <c r="BI14" s="11">
        <v>-4</v>
      </c>
      <c r="BJ14" s="11">
        <f t="shared" si="6"/>
        <v>1861</v>
      </c>
      <c r="BK14" s="1">
        <v>9</v>
      </c>
      <c r="BL14" s="1">
        <v>277</v>
      </c>
      <c r="BM14" s="1">
        <v>8</v>
      </c>
      <c r="BN14" s="1">
        <v>31</v>
      </c>
      <c r="BO14" s="1">
        <v>8</v>
      </c>
      <c r="BP14" s="1">
        <v>15</v>
      </c>
      <c r="BQ14" s="1">
        <v>8</v>
      </c>
      <c r="BR14" s="1">
        <v>6</v>
      </c>
      <c r="BS14" s="1">
        <v>11</v>
      </c>
      <c r="BT14" s="1">
        <v>56</v>
      </c>
      <c r="BU14" s="1">
        <v>17</v>
      </c>
      <c r="BV14" s="1">
        <v>32</v>
      </c>
      <c r="BW14" s="1">
        <v>9</v>
      </c>
      <c r="BX14" s="1">
        <v>61</v>
      </c>
      <c r="BY14" s="1">
        <v>155</v>
      </c>
      <c r="BZ14" s="1">
        <v>40</v>
      </c>
    </row>
    <row r="15" spans="1:78">
      <c r="A15" s="16">
        <v>1</v>
      </c>
      <c r="B15" s="4" t="s">
        <v>614</v>
      </c>
      <c r="C15" s="61" t="s">
        <v>202</v>
      </c>
      <c r="D15" s="4" t="s">
        <v>85</v>
      </c>
      <c r="E15" s="4" t="s">
        <v>401</v>
      </c>
      <c r="F15" s="59"/>
      <c r="G15" s="59" t="s">
        <v>416</v>
      </c>
      <c r="H15" s="11">
        <v>17041699</v>
      </c>
      <c r="I15" s="11">
        <v>17203260</v>
      </c>
      <c r="J15" s="11">
        <v>1153557</v>
      </c>
      <c r="K15" s="52">
        <v>0</v>
      </c>
      <c r="L15" s="52">
        <v>573738</v>
      </c>
      <c r="M15" s="52">
        <v>1095570</v>
      </c>
      <c r="N15" s="52">
        <v>5250148</v>
      </c>
      <c r="O15" s="52">
        <v>0</v>
      </c>
      <c r="P15" s="52">
        <v>383907</v>
      </c>
      <c r="Q15" s="52">
        <v>1898054</v>
      </c>
      <c r="R15" s="11">
        <v>5551676</v>
      </c>
      <c r="S15" s="11">
        <v>437666</v>
      </c>
      <c r="T15" s="11">
        <v>48790</v>
      </c>
      <c r="U15" s="11">
        <v>0</v>
      </c>
      <c r="V15" s="11">
        <v>16360196</v>
      </c>
      <c r="W15" s="13">
        <v>0.25569999999999998</v>
      </c>
      <c r="X15" s="11">
        <v>0</v>
      </c>
      <c r="Y15" s="26">
        <f>931057/16311406</f>
        <v>5.7080119273592966E-2</v>
      </c>
      <c r="Z15" s="11">
        <v>935086</v>
      </c>
      <c r="AA15" s="11">
        <v>0</v>
      </c>
      <c r="AB15" s="11">
        <f>161561+1541</f>
        <v>163102</v>
      </c>
      <c r="AC15" s="11">
        <v>471208</v>
      </c>
      <c r="AD15" s="11">
        <v>39711</v>
      </c>
      <c r="AE15" s="11">
        <v>93665</v>
      </c>
      <c r="AF15" s="11">
        <f>136738+8102</f>
        <v>144840</v>
      </c>
      <c r="AG15" s="11">
        <v>2707</v>
      </c>
      <c r="AH15" s="11">
        <v>129865</v>
      </c>
      <c r="AI15" s="11">
        <v>5482</v>
      </c>
      <c r="AJ15" s="11">
        <v>0</v>
      </c>
      <c r="AK15" s="11">
        <f>9746+12427+14805</f>
        <v>36978</v>
      </c>
      <c r="AL15" s="11">
        <v>10302</v>
      </c>
      <c r="AM15" s="11">
        <v>0</v>
      </c>
      <c r="AN15" s="11">
        <v>758</v>
      </c>
      <c r="AO15" s="11">
        <v>10193</v>
      </c>
      <c r="AP15" s="11">
        <v>5256</v>
      </c>
      <c r="AQ15" s="11">
        <v>0</v>
      </c>
      <c r="AR15" s="11">
        <v>1028008</v>
      </c>
      <c r="AS15" s="11">
        <v>1111282</v>
      </c>
      <c r="AT15" s="11">
        <v>3136</v>
      </c>
      <c r="AU15" s="11">
        <v>5000</v>
      </c>
      <c r="AV15" s="11">
        <v>143628</v>
      </c>
      <c r="AW15" s="11">
        <v>0</v>
      </c>
      <c r="AX15" s="11">
        <v>135317</v>
      </c>
      <c r="AY15" s="11">
        <v>0</v>
      </c>
      <c r="AZ15" s="11">
        <v>0</v>
      </c>
      <c r="BA15" s="11">
        <v>0</v>
      </c>
      <c r="BB15" s="11">
        <v>3202</v>
      </c>
      <c r="BC15" s="11">
        <v>1338</v>
      </c>
      <c r="BD15" s="11">
        <v>332</v>
      </c>
      <c r="BE15" s="11">
        <v>0</v>
      </c>
      <c r="BF15" s="11">
        <v>-132</v>
      </c>
      <c r="BG15" s="11">
        <v>-1260</v>
      </c>
      <c r="BH15" s="11">
        <v>-478</v>
      </c>
      <c r="BI15" s="11">
        <v>-7</v>
      </c>
      <c r="BJ15" s="11">
        <f t="shared" si="6"/>
        <v>2995</v>
      </c>
      <c r="BK15" s="1">
        <v>177</v>
      </c>
      <c r="BL15" s="1">
        <v>131</v>
      </c>
      <c r="BM15" s="1">
        <v>45</v>
      </c>
      <c r="BN15" s="1">
        <v>270</v>
      </c>
      <c r="BO15" s="1">
        <v>13</v>
      </c>
      <c r="BP15" s="1">
        <v>19</v>
      </c>
      <c r="BQ15" s="1">
        <v>5</v>
      </c>
      <c r="BR15" s="1">
        <v>8</v>
      </c>
      <c r="BS15" s="1">
        <v>21</v>
      </c>
      <c r="BT15" s="1">
        <v>16</v>
      </c>
      <c r="BU15" s="1">
        <v>10</v>
      </c>
      <c r="BV15" s="1">
        <v>52</v>
      </c>
      <c r="BW15" s="1">
        <v>34</v>
      </c>
      <c r="BX15" s="1">
        <v>82</v>
      </c>
      <c r="BY15" s="1">
        <v>210</v>
      </c>
      <c r="BZ15" s="1">
        <v>49</v>
      </c>
    </row>
    <row r="16" spans="1:78">
      <c r="A16" s="16">
        <v>1</v>
      </c>
      <c r="B16" s="59" t="s">
        <v>634</v>
      </c>
      <c r="C16" s="60" t="s">
        <v>382</v>
      </c>
      <c r="D16" s="59" t="s">
        <v>34</v>
      </c>
      <c r="E16" s="59" t="s">
        <v>471</v>
      </c>
      <c r="F16" s="59"/>
      <c r="G16" s="59" t="s">
        <v>467</v>
      </c>
      <c r="H16" s="11">
        <v>3716459</v>
      </c>
      <c r="I16" s="11">
        <v>3276009</v>
      </c>
      <c r="J16" s="11">
        <v>357823</v>
      </c>
      <c r="K16" s="52">
        <v>0</v>
      </c>
      <c r="L16" s="52">
        <v>0</v>
      </c>
      <c r="M16" s="52">
        <v>109379</v>
      </c>
      <c r="N16" s="52">
        <v>953531</v>
      </c>
      <c r="O16" s="52">
        <v>0</v>
      </c>
      <c r="P16" s="52">
        <v>0</v>
      </c>
      <c r="Q16" s="52">
        <v>816885</v>
      </c>
      <c r="R16" s="11">
        <v>984723</v>
      </c>
      <c r="S16" s="11">
        <v>93625</v>
      </c>
      <c r="T16" s="11">
        <v>0</v>
      </c>
      <c r="U16" s="11">
        <v>0</v>
      </c>
      <c r="V16" s="11">
        <v>3212416</v>
      </c>
      <c r="W16" s="13">
        <v>0.18970000000000001</v>
      </c>
      <c r="X16" s="11">
        <v>0</v>
      </c>
      <c r="Y16" s="26">
        <f>253507/3212416</f>
        <v>7.8914748276686458E-2</v>
      </c>
      <c r="Z16" s="11">
        <v>252043</v>
      </c>
      <c r="AA16" s="11">
        <v>0</v>
      </c>
      <c r="AB16" s="11">
        <f>9550+171+405</f>
        <v>10126</v>
      </c>
      <c r="AC16" s="11">
        <v>49882</v>
      </c>
      <c r="AD16" s="11">
        <v>3888</v>
      </c>
      <c r="AE16" s="11">
        <v>6500</v>
      </c>
      <c r="AF16" s="11">
        <f>12050+2128</f>
        <v>14178</v>
      </c>
      <c r="AG16" s="11">
        <v>0</v>
      </c>
      <c r="AH16" s="11">
        <v>9482</v>
      </c>
      <c r="AI16" s="11">
        <v>3750</v>
      </c>
      <c r="AJ16" s="11">
        <v>0</v>
      </c>
      <c r="AK16" s="11">
        <f>3946+7020+4135</f>
        <v>15101</v>
      </c>
      <c r="AL16" s="11">
        <v>3863</v>
      </c>
      <c r="AM16" s="11">
        <v>0</v>
      </c>
      <c r="AN16" s="11">
        <v>643</v>
      </c>
      <c r="AO16" s="11">
        <v>0</v>
      </c>
      <c r="AP16" s="11">
        <v>5241</v>
      </c>
      <c r="AQ16" s="11">
        <v>0</v>
      </c>
      <c r="AR16" s="11">
        <v>126738</v>
      </c>
      <c r="AS16" s="11">
        <v>134598</v>
      </c>
      <c r="AT16" s="11">
        <v>0</v>
      </c>
      <c r="AU16" s="11">
        <v>0</v>
      </c>
      <c r="AV16" s="11">
        <v>143628</v>
      </c>
      <c r="AW16" s="11">
        <v>0</v>
      </c>
      <c r="AX16" s="11">
        <v>7866</v>
      </c>
      <c r="AY16" s="11">
        <v>0</v>
      </c>
      <c r="AZ16" s="11">
        <v>0</v>
      </c>
      <c r="BA16" s="11">
        <v>0</v>
      </c>
      <c r="BB16" s="11">
        <v>582</v>
      </c>
      <c r="BC16" s="11">
        <v>309</v>
      </c>
      <c r="BD16" s="11">
        <v>0</v>
      </c>
      <c r="BE16" s="11">
        <v>0</v>
      </c>
      <c r="BF16" s="11">
        <v>-53</v>
      </c>
      <c r="BG16" s="11">
        <v>-94</v>
      </c>
      <c r="BH16" s="11">
        <v>-75</v>
      </c>
      <c r="BI16" s="11">
        <v>0</v>
      </c>
      <c r="BJ16" s="11">
        <f t="shared" si="6"/>
        <v>669</v>
      </c>
      <c r="BK16" s="1">
        <v>0</v>
      </c>
      <c r="BL16" s="1">
        <v>17</v>
      </c>
      <c r="BM16" s="1">
        <v>11</v>
      </c>
      <c r="BN16" s="1">
        <v>47</v>
      </c>
      <c r="BO16" s="1">
        <v>0</v>
      </c>
      <c r="BP16" s="1">
        <v>0</v>
      </c>
      <c r="BQ16" s="1">
        <v>4</v>
      </c>
      <c r="BR16" s="1">
        <v>4</v>
      </c>
      <c r="BS16" s="1">
        <v>45</v>
      </c>
      <c r="BT16" s="1">
        <v>0</v>
      </c>
      <c r="BU16" s="1">
        <v>0</v>
      </c>
      <c r="BV16" s="1">
        <v>4</v>
      </c>
      <c r="BW16" s="1">
        <v>4</v>
      </c>
      <c r="BX16" s="1">
        <v>88</v>
      </c>
      <c r="BY16" s="1">
        <v>0</v>
      </c>
      <c r="BZ16" s="1">
        <v>0</v>
      </c>
    </row>
    <row r="17" spans="1:78">
      <c r="A17" s="16">
        <v>2</v>
      </c>
      <c r="B17" s="59" t="s">
        <v>120</v>
      </c>
      <c r="C17" s="60" t="s">
        <v>39</v>
      </c>
      <c r="D17" s="59" t="s">
        <v>28</v>
      </c>
      <c r="E17" s="59" t="s">
        <v>484</v>
      </c>
      <c r="F17" s="59" t="s">
        <v>479</v>
      </c>
      <c r="G17" s="59" t="s">
        <v>470</v>
      </c>
      <c r="H17" s="11">
        <v>20294592</v>
      </c>
      <c r="I17" s="11">
        <v>20509791</v>
      </c>
      <c r="J17" s="11">
        <v>1300913</v>
      </c>
      <c r="K17" s="52">
        <v>0</v>
      </c>
      <c r="L17" s="52">
        <v>0</v>
      </c>
      <c r="M17" s="52">
        <v>0</v>
      </c>
      <c r="N17" s="52">
        <v>6481486</v>
      </c>
      <c r="O17" s="52">
        <v>0</v>
      </c>
      <c r="P17" s="52">
        <v>0</v>
      </c>
      <c r="Q17" s="52">
        <v>1234636</v>
      </c>
      <c r="R17" s="11">
        <v>5571081</v>
      </c>
      <c r="S17" s="11">
        <v>1445741</v>
      </c>
      <c r="T17" s="11">
        <v>960</v>
      </c>
      <c r="U17" s="11">
        <v>0</v>
      </c>
      <c r="V17" s="11">
        <v>15600842</v>
      </c>
      <c r="W17" s="13">
        <v>0.43</v>
      </c>
      <c r="X17" s="11">
        <v>0</v>
      </c>
      <c r="Y17" s="26">
        <f>856627/15478048</f>
        <v>5.5344640357750538E-2</v>
      </c>
      <c r="Z17" s="11">
        <v>866977</v>
      </c>
      <c r="AA17" s="11">
        <v>0</v>
      </c>
      <c r="AB17" s="11">
        <f>215199+1055</f>
        <v>216254</v>
      </c>
      <c r="AC17" s="11">
        <v>445580</v>
      </c>
      <c r="AD17" s="11">
        <v>36346</v>
      </c>
      <c r="AE17" s="11">
        <v>105934</v>
      </c>
      <c r="AF17" s="11">
        <f>60908+4905</f>
        <v>65813</v>
      </c>
      <c r="AG17" s="11">
        <v>13050</v>
      </c>
      <c r="AH17" s="11">
        <v>24233</v>
      </c>
      <c r="AI17" s="11">
        <v>17238</v>
      </c>
      <c r="AJ17" s="11">
        <v>0</v>
      </c>
      <c r="AK17" s="11">
        <f>16337+29529+23252</f>
        <v>69118</v>
      </c>
      <c r="AL17" s="11">
        <v>7925</v>
      </c>
      <c r="AM17" s="11">
        <v>1088</v>
      </c>
      <c r="AN17" s="11">
        <v>0</v>
      </c>
      <c r="AO17" s="11">
        <v>5889</v>
      </c>
      <c r="AP17" s="11">
        <v>22829</v>
      </c>
      <c r="AQ17" s="11">
        <v>0</v>
      </c>
      <c r="AR17" s="11">
        <v>888303</v>
      </c>
      <c r="AS17" s="11">
        <v>938716</v>
      </c>
      <c r="AT17" s="11">
        <v>0</v>
      </c>
      <c r="AU17" s="11">
        <v>0</v>
      </c>
      <c r="AV17" s="11">
        <v>143628</v>
      </c>
      <c r="AW17" s="11">
        <v>0</v>
      </c>
      <c r="AX17" s="11">
        <v>99378</v>
      </c>
      <c r="AY17" s="11">
        <v>0</v>
      </c>
      <c r="AZ17" s="11">
        <v>0</v>
      </c>
      <c r="BA17" s="11">
        <v>0</v>
      </c>
      <c r="BB17" s="11">
        <v>4813</v>
      </c>
      <c r="BC17" s="11">
        <v>1601</v>
      </c>
      <c r="BD17" s="11">
        <v>114</v>
      </c>
      <c r="BE17" s="11">
        <v>-1</v>
      </c>
      <c r="BF17" s="11">
        <v>-247</v>
      </c>
      <c r="BG17" s="11">
        <v>-623</v>
      </c>
      <c r="BH17" s="11">
        <v>-545</v>
      </c>
      <c r="BI17" s="11">
        <v>0</v>
      </c>
      <c r="BJ17" s="11">
        <f t="shared" si="6"/>
        <v>5112</v>
      </c>
      <c r="BK17" s="1">
        <v>96</v>
      </c>
      <c r="BL17" s="1">
        <v>129</v>
      </c>
      <c r="BM17" s="1">
        <v>71</v>
      </c>
      <c r="BN17" s="1">
        <v>281</v>
      </c>
      <c r="BO17" s="1">
        <v>1</v>
      </c>
      <c r="BP17" s="1">
        <v>63</v>
      </c>
      <c r="BQ17" s="1">
        <v>3</v>
      </c>
      <c r="BR17" s="1">
        <v>3</v>
      </c>
      <c r="BS17" s="1">
        <v>37</v>
      </c>
      <c r="BT17" s="1">
        <v>97</v>
      </c>
      <c r="BU17" s="1">
        <v>0</v>
      </c>
      <c r="BV17" s="1">
        <v>3</v>
      </c>
      <c r="BW17" s="1">
        <v>12</v>
      </c>
      <c r="BX17" s="1">
        <v>40</v>
      </c>
      <c r="BY17" s="1">
        <v>186</v>
      </c>
      <c r="BZ17" s="1">
        <v>0</v>
      </c>
    </row>
    <row r="18" spans="1:78">
      <c r="A18" s="16">
        <v>2</v>
      </c>
      <c r="B18" s="59" t="s">
        <v>187</v>
      </c>
      <c r="C18" s="60" t="s">
        <v>409</v>
      </c>
      <c r="D18" s="59" t="s">
        <v>435</v>
      </c>
      <c r="E18" s="59" t="s">
        <v>484</v>
      </c>
      <c r="F18" s="59" t="s">
        <v>208</v>
      </c>
      <c r="G18" s="59" t="s">
        <v>470</v>
      </c>
      <c r="H18" s="11">
        <v>17662029</v>
      </c>
      <c r="I18" s="11">
        <v>17748905</v>
      </c>
      <c r="J18" s="11">
        <v>1281467</v>
      </c>
      <c r="K18" s="52">
        <v>0</v>
      </c>
      <c r="L18" s="52">
        <v>1007870</v>
      </c>
      <c r="M18" s="52">
        <v>3625322</v>
      </c>
      <c r="N18" s="52">
        <v>5486000</v>
      </c>
      <c r="O18" s="52">
        <v>0</v>
      </c>
      <c r="P18" s="52">
        <v>864713</v>
      </c>
      <c r="Q18" s="52">
        <v>267002</v>
      </c>
      <c r="R18" s="11">
        <v>4376882</v>
      </c>
      <c r="S18" s="11">
        <v>345818</v>
      </c>
      <c r="T18" s="11">
        <v>17500</v>
      </c>
      <c r="U18" s="11">
        <v>0</v>
      </c>
      <c r="V18" s="11">
        <v>16844671</v>
      </c>
      <c r="W18" s="13">
        <v>0.1275</v>
      </c>
      <c r="X18" s="11">
        <v>0</v>
      </c>
      <c r="Y18" s="26">
        <f>899638/16827171</f>
        <v>5.346341342819895E-2</v>
      </c>
      <c r="Z18" s="11">
        <v>853564</v>
      </c>
      <c r="AA18" s="11">
        <v>0</v>
      </c>
      <c r="AB18" s="11">
        <f>86876+833</f>
        <v>87709</v>
      </c>
      <c r="AC18" s="11">
        <v>368941</v>
      </c>
      <c r="AD18" s="11">
        <v>30601</v>
      </c>
      <c r="AE18" s="11">
        <v>41736</v>
      </c>
      <c r="AF18" s="11">
        <f>96521+3570</f>
        <v>100091</v>
      </c>
      <c r="AG18" s="11">
        <v>20659</v>
      </c>
      <c r="AH18" s="11">
        <v>112201</v>
      </c>
      <c r="AI18" s="11">
        <v>20961</v>
      </c>
      <c r="AJ18" s="11">
        <v>0</v>
      </c>
      <c r="AK18" s="11">
        <f>7513+9897+10429</f>
        <v>27839</v>
      </c>
      <c r="AL18" s="11">
        <v>5615</v>
      </c>
      <c r="AM18" s="11">
        <v>0</v>
      </c>
      <c r="AN18" s="11">
        <v>0</v>
      </c>
      <c r="AO18" s="11">
        <v>15155</v>
      </c>
      <c r="AP18" s="11">
        <v>32797</v>
      </c>
      <c r="AQ18" s="11">
        <v>0</v>
      </c>
      <c r="AR18" s="11">
        <v>811185</v>
      </c>
      <c r="AS18" s="11">
        <v>855605</v>
      </c>
      <c r="AT18" s="11">
        <v>0</v>
      </c>
      <c r="AU18" s="11">
        <v>0</v>
      </c>
      <c r="AV18" s="11">
        <v>143628</v>
      </c>
      <c r="AW18" s="11">
        <v>0</v>
      </c>
      <c r="AX18" s="11">
        <v>80227</v>
      </c>
      <c r="AY18" s="11">
        <v>0</v>
      </c>
      <c r="AZ18" s="11">
        <v>0</v>
      </c>
      <c r="BA18" s="11">
        <v>0</v>
      </c>
      <c r="BB18" s="11">
        <v>2356</v>
      </c>
      <c r="BC18" s="11">
        <v>1917</v>
      </c>
      <c r="BD18" s="11">
        <v>511</v>
      </c>
      <c r="BE18" s="11">
        <v>-6</v>
      </c>
      <c r="BF18" s="11">
        <v>-51</v>
      </c>
      <c r="BG18" s="11">
        <v>-1809</v>
      </c>
      <c r="BH18" s="11">
        <v>-489</v>
      </c>
      <c r="BI18" s="11">
        <v>0</v>
      </c>
      <c r="BJ18" s="11">
        <f t="shared" si="6"/>
        <v>2429</v>
      </c>
      <c r="BK18" s="1">
        <v>1</v>
      </c>
      <c r="BL18" s="1">
        <v>111</v>
      </c>
      <c r="BM18" s="1">
        <v>21</v>
      </c>
      <c r="BN18" s="1">
        <v>160</v>
      </c>
      <c r="BO18" s="1">
        <v>4</v>
      </c>
      <c r="BP18" s="1">
        <v>193</v>
      </c>
      <c r="BQ18" s="1">
        <v>1</v>
      </c>
      <c r="BR18" s="1">
        <v>0</v>
      </c>
      <c r="BS18" s="1">
        <v>6</v>
      </c>
      <c r="BT18" s="1">
        <v>21</v>
      </c>
      <c r="BU18" s="1">
        <v>1</v>
      </c>
      <c r="BV18" s="1">
        <v>128</v>
      </c>
      <c r="BW18" s="1">
        <v>1</v>
      </c>
      <c r="BX18" s="1">
        <v>43</v>
      </c>
      <c r="BY18" s="1">
        <v>120</v>
      </c>
      <c r="BZ18" s="1">
        <v>62</v>
      </c>
    </row>
    <row r="19" spans="1:78">
      <c r="A19" s="16">
        <v>2</v>
      </c>
      <c r="B19" s="59" t="s">
        <v>261</v>
      </c>
      <c r="C19" s="60" t="s">
        <v>632</v>
      </c>
      <c r="D19" s="59" t="s">
        <v>258</v>
      </c>
      <c r="E19" s="59" t="s">
        <v>484</v>
      </c>
      <c r="F19" s="59" t="s">
        <v>208</v>
      </c>
      <c r="G19" s="59" t="s">
        <v>470</v>
      </c>
      <c r="H19" s="11">
        <v>7013626</v>
      </c>
      <c r="I19" s="11">
        <v>7042603</v>
      </c>
      <c r="J19" s="11">
        <v>1073063</v>
      </c>
      <c r="K19" s="52">
        <v>0</v>
      </c>
      <c r="L19" s="52">
        <v>1602808</v>
      </c>
      <c r="M19" s="52">
        <v>1676896</v>
      </c>
      <c r="N19" s="52">
        <v>0</v>
      </c>
      <c r="O19" s="52">
        <v>0</v>
      </c>
      <c r="P19" s="52">
        <v>195070</v>
      </c>
      <c r="Q19" s="52">
        <v>0</v>
      </c>
      <c r="R19" s="11">
        <v>1665799</v>
      </c>
      <c r="S19" s="11">
        <v>138777</v>
      </c>
      <c r="T19" s="11">
        <v>32003</v>
      </c>
      <c r="U19" s="11">
        <v>0</v>
      </c>
      <c r="V19" s="11">
        <v>5864098</v>
      </c>
      <c r="W19" s="13">
        <v>0.15</v>
      </c>
      <c r="X19" s="11">
        <v>0</v>
      </c>
      <c r="Y19" s="26">
        <f>554475/5820643</f>
        <v>9.5260094116749641E-2</v>
      </c>
      <c r="Z19" s="11">
        <v>552730</v>
      </c>
      <c r="AA19" s="11">
        <v>0</v>
      </c>
      <c r="AB19" s="11">
        <f>28135+7659+469</f>
        <v>36263</v>
      </c>
      <c r="AC19" s="11">
        <v>211981</v>
      </c>
      <c r="AD19" s="11">
        <v>15913</v>
      </c>
      <c r="AE19" s="11">
        <v>43237</v>
      </c>
      <c r="AF19" s="11">
        <v>54823</v>
      </c>
      <c r="AG19" s="11">
        <v>17675</v>
      </c>
      <c r="AH19" s="11">
        <v>17823</v>
      </c>
      <c r="AI19" s="11">
        <v>18326</v>
      </c>
      <c r="AJ19" s="11">
        <v>0</v>
      </c>
      <c r="AK19" s="11">
        <f>10112+18683+10865</f>
        <v>39660</v>
      </c>
      <c r="AL19" s="11">
        <v>6444</v>
      </c>
      <c r="AM19" s="11">
        <v>0</v>
      </c>
      <c r="AN19" s="11">
        <v>168</v>
      </c>
      <c r="AO19" s="11">
        <v>12757</v>
      </c>
      <c r="AP19" s="11">
        <v>21526</v>
      </c>
      <c r="AQ19" s="11">
        <v>0</v>
      </c>
      <c r="AR19" s="11">
        <v>500086</v>
      </c>
      <c r="AS19" s="11">
        <v>489560</v>
      </c>
      <c r="AT19" s="11">
        <v>0</v>
      </c>
      <c r="AU19" s="11">
        <v>0</v>
      </c>
      <c r="AV19" s="11">
        <v>143628</v>
      </c>
      <c r="AW19" s="11">
        <v>0</v>
      </c>
      <c r="AX19" s="11">
        <v>53977</v>
      </c>
      <c r="AY19" s="11">
        <v>0</v>
      </c>
      <c r="AZ19" s="11">
        <v>0</v>
      </c>
      <c r="BA19" s="11">
        <v>0</v>
      </c>
      <c r="BB19" s="11">
        <v>1250</v>
      </c>
      <c r="BC19" s="11">
        <v>1604</v>
      </c>
      <c r="BD19" s="11">
        <v>9</v>
      </c>
      <c r="BE19" s="11">
        <f>8-10</f>
        <v>-2</v>
      </c>
      <c r="BF19" s="11">
        <v>-59</v>
      </c>
      <c r="BG19" s="11">
        <v>-1496</v>
      </c>
      <c r="BH19" s="11">
        <v>-109</v>
      </c>
      <c r="BI19" s="11">
        <v>0</v>
      </c>
      <c r="BJ19" s="11">
        <f t="shared" si="6"/>
        <v>1197</v>
      </c>
      <c r="BK19" s="1">
        <v>6</v>
      </c>
      <c r="BL19" s="1">
        <v>42</v>
      </c>
      <c r="BM19" s="1">
        <v>7</v>
      </c>
      <c r="BN19" s="1">
        <v>12</v>
      </c>
      <c r="BO19" s="1">
        <v>2</v>
      </c>
      <c r="BP19" s="1">
        <v>51</v>
      </c>
      <c r="BQ19" s="1">
        <v>0</v>
      </c>
      <c r="BR19" s="1">
        <v>2</v>
      </c>
      <c r="BS19" s="1">
        <v>2</v>
      </c>
      <c r="BT19" s="1">
        <v>1</v>
      </c>
      <c r="BU19" s="1">
        <v>46</v>
      </c>
      <c r="BV19" s="1">
        <v>22</v>
      </c>
      <c r="BW19" s="1">
        <v>25</v>
      </c>
      <c r="BX19" s="1">
        <v>61</v>
      </c>
      <c r="BY19" s="1">
        <v>2</v>
      </c>
      <c r="BZ19" s="1">
        <v>42</v>
      </c>
    </row>
    <row r="20" spans="1:78">
      <c r="A20" s="16">
        <v>2</v>
      </c>
      <c r="B20" s="59" t="s">
        <v>402</v>
      </c>
      <c r="C20" s="60" t="s">
        <v>428</v>
      </c>
      <c r="D20" s="59" t="s">
        <v>309</v>
      </c>
      <c r="E20" s="59" t="s">
        <v>484</v>
      </c>
      <c r="F20" s="59" t="s">
        <v>208</v>
      </c>
      <c r="G20" s="59" t="s">
        <v>470</v>
      </c>
      <c r="H20" s="11">
        <v>12787812</v>
      </c>
      <c r="I20" s="11">
        <v>13130943</v>
      </c>
      <c r="J20" s="11">
        <v>1425794</v>
      </c>
      <c r="K20" s="52">
        <v>0</v>
      </c>
      <c r="L20" s="52">
        <v>229652</v>
      </c>
      <c r="M20" s="52">
        <v>7000494</v>
      </c>
      <c r="N20" s="52">
        <v>0</v>
      </c>
      <c r="O20" s="52">
        <v>0</v>
      </c>
      <c r="P20" s="52">
        <v>489670</v>
      </c>
      <c r="Q20" s="52">
        <v>0</v>
      </c>
      <c r="R20" s="11">
        <v>2935709</v>
      </c>
      <c r="S20" s="11">
        <v>268453</v>
      </c>
      <c r="T20" s="11">
        <v>39000</v>
      </c>
      <c r="U20" s="11">
        <v>0</v>
      </c>
      <c r="V20" s="11">
        <v>11681936</v>
      </c>
      <c r="W20" s="13">
        <v>0.1021</v>
      </c>
      <c r="X20" s="11">
        <v>0</v>
      </c>
      <c r="Y20" s="26">
        <f>701866/11642936</f>
        <v>6.0282561030997682E-2</v>
      </c>
      <c r="Z20" s="11">
        <v>718958</v>
      </c>
      <c r="AA20" s="11">
        <v>0</v>
      </c>
      <c r="AB20" s="11">
        <f>24377+312</f>
        <v>24689</v>
      </c>
      <c r="AC20" s="11">
        <v>305461</v>
      </c>
      <c r="AD20" s="11">
        <v>26350</v>
      </c>
      <c r="AE20" s="11">
        <v>42519</v>
      </c>
      <c r="AF20" s="11">
        <v>63277</v>
      </c>
      <c r="AG20" s="11">
        <v>33090</v>
      </c>
      <c r="AH20" s="11">
        <v>39107</v>
      </c>
      <c r="AI20" s="11">
        <v>3358</v>
      </c>
      <c r="AJ20" s="11">
        <v>0</v>
      </c>
      <c r="AK20" s="11">
        <f>9724+21150+20588</f>
        <v>51462</v>
      </c>
      <c r="AL20" s="11">
        <v>8900</v>
      </c>
      <c r="AM20" s="11">
        <v>0</v>
      </c>
      <c r="AN20" s="11">
        <v>0</v>
      </c>
      <c r="AO20" s="11">
        <v>760</v>
      </c>
      <c r="AP20" s="11">
        <v>15997</v>
      </c>
      <c r="AQ20" s="11">
        <v>56330</v>
      </c>
      <c r="AR20" s="11">
        <v>630319</v>
      </c>
      <c r="AS20" s="11">
        <v>725688</v>
      </c>
      <c r="AT20" s="11">
        <v>0</v>
      </c>
      <c r="AU20" s="11">
        <v>0</v>
      </c>
      <c r="AV20" s="11">
        <v>143628</v>
      </c>
      <c r="AW20" s="11">
        <v>0</v>
      </c>
      <c r="AX20" s="11">
        <v>79330</v>
      </c>
      <c r="AY20" s="11">
        <v>0</v>
      </c>
      <c r="AZ20" s="11">
        <v>0</v>
      </c>
      <c r="BA20" s="11">
        <v>0</v>
      </c>
      <c r="BB20" s="11">
        <v>1595</v>
      </c>
      <c r="BC20" s="11">
        <v>1760</v>
      </c>
      <c r="BD20" s="11">
        <v>36</v>
      </c>
      <c r="BE20" s="11">
        <f>510-92</f>
        <v>418</v>
      </c>
      <c r="BF20" s="11">
        <v>-38</v>
      </c>
      <c r="BG20" s="11">
        <v>-1692</v>
      </c>
      <c r="BH20" s="11">
        <v>-209</v>
      </c>
      <c r="BI20" s="11">
        <v>0</v>
      </c>
      <c r="BJ20" s="11">
        <f t="shared" si="6"/>
        <v>1870</v>
      </c>
      <c r="BK20" s="1">
        <v>0</v>
      </c>
      <c r="BL20" s="1">
        <v>76</v>
      </c>
      <c r="BM20" s="1">
        <v>23</v>
      </c>
      <c r="BN20" s="1">
        <v>55</v>
      </c>
      <c r="BO20" s="1">
        <v>2</v>
      </c>
      <c r="BP20" s="1">
        <v>53</v>
      </c>
      <c r="BQ20" s="1">
        <v>0</v>
      </c>
      <c r="BR20" s="1">
        <v>0</v>
      </c>
      <c r="BS20" s="1">
        <v>4</v>
      </c>
      <c r="BT20" s="1">
        <v>0</v>
      </c>
      <c r="BU20" s="1">
        <v>34</v>
      </c>
      <c r="BV20" s="1">
        <v>8</v>
      </c>
      <c r="BW20" s="1">
        <v>7</v>
      </c>
      <c r="BX20" s="1">
        <v>32</v>
      </c>
      <c r="BY20" s="1">
        <v>118</v>
      </c>
      <c r="BZ20" s="1">
        <v>1527</v>
      </c>
    </row>
    <row r="21" spans="1:78">
      <c r="A21" s="16">
        <v>2</v>
      </c>
      <c r="B21" s="59" t="s">
        <v>445</v>
      </c>
      <c r="C21" s="60" t="s">
        <v>29</v>
      </c>
      <c r="D21" s="59" t="s">
        <v>101</v>
      </c>
      <c r="E21" s="59" t="s">
        <v>484</v>
      </c>
      <c r="F21" s="59" t="s">
        <v>694</v>
      </c>
      <c r="G21" s="59" t="s">
        <v>470</v>
      </c>
      <c r="H21" s="11">
        <v>24042910</v>
      </c>
      <c r="I21" s="11">
        <v>24081729</v>
      </c>
      <c r="J21" s="11">
        <v>703351</v>
      </c>
      <c r="K21" s="52">
        <v>0</v>
      </c>
      <c r="L21" s="52">
        <v>1028586</v>
      </c>
      <c r="M21" s="52">
        <v>3868106</v>
      </c>
      <c r="N21" s="52">
        <v>7005169</v>
      </c>
      <c r="O21" s="52">
        <v>0</v>
      </c>
      <c r="P21" s="52">
        <v>168559</v>
      </c>
      <c r="Q21" s="52">
        <v>963319</v>
      </c>
      <c r="R21" s="11">
        <v>7975531</v>
      </c>
      <c r="S21" s="11">
        <v>1456941</v>
      </c>
      <c r="T21" s="11">
        <v>0</v>
      </c>
      <c r="U21" s="11">
        <v>0</v>
      </c>
      <c r="V21" s="11">
        <v>23671846</v>
      </c>
      <c r="W21" s="13">
        <v>0.05</v>
      </c>
      <c r="X21" s="11">
        <v>0</v>
      </c>
      <c r="Y21" s="26">
        <f>1207175/23671846</f>
        <v>5.099623409175609E-2</v>
      </c>
      <c r="Z21" s="11">
        <v>1205126</v>
      </c>
      <c r="AA21" s="11">
        <v>0</v>
      </c>
      <c r="AB21" s="11">
        <f>38819+770</f>
        <v>39589</v>
      </c>
      <c r="AC21" s="11">
        <v>510093</v>
      </c>
      <c r="AD21" s="11">
        <v>40801</v>
      </c>
      <c r="AE21" s="11">
        <v>75087</v>
      </c>
      <c r="AF21" s="11">
        <f>66361+7825</f>
        <v>74186</v>
      </c>
      <c r="AG21" s="11">
        <v>27875</v>
      </c>
      <c r="AH21" s="11">
        <v>151231</v>
      </c>
      <c r="AI21" s="11">
        <v>18850</v>
      </c>
      <c r="AJ21" s="11">
        <v>53278</v>
      </c>
      <c r="AK21" s="11">
        <f>4191+43365+23215</f>
        <v>70771</v>
      </c>
      <c r="AL21" s="11">
        <v>8898</v>
      </c>
      <c r="AM21" s="11">
        <v>2008</v>
      </c>
      <c r="AN21" s="11">
        <v>0</v>
      </c>
      <c r="AO21" s="11">
        <v>0</v>
      </c>
      <c r="AP21" s="11">
        <v>7161</v>
      </c>
      <c r="AQ21" s="11">
        <v>0</v>
      </c>
      <c r="AR21" s="11">
        <v>1083581</v>
      </c>
      <c r="AS21" s="11">
        <v>1102146</v>
      </c>
      <c r="AT21" s="11">
        <v>0</v>
      </c>
      <c r="AU21" s="11">
        <v>0</v>
      </c>
      <c r="AV21" s="11">
        <v>143628</v>
      </c>
      <c r="AW21" s="11">
        <v>0</v>
      </c>
      <c r="AX21" s="11">
        <v>143126</v>
      </c>
      <c r="AY21" s="11">
        <v>0</v>
      </c>
      <c r="AZ21" s="11">
        <v>0</v>
      </c>
      <c r="BA21" s="11">
        <v>0</v>
      </c>
      <c r="BB21" s="11">
        <v>6082</v>
      </c>
      <c r="BC21" s="11">
        <v>2000</v>
      </c>
      <c r="BD21" s="11">
        <v>62</v>
      </c>
      <c r="BE21" s="11">
        <v>-2</v>
      </c>
      <c r="BF21" s="11">
        <v>-350</v>
      </c>
      <c r="BG21" s="11">
        <v>-722</v>
      </c>
      <c r="BH21" s="11">
        <v>-1150</v>
      </c>
      <c r="BI21" s="11">
        <v>-1</v>
      </c>
      <c r="BJ21" s="11">
        <f t="shared" si="6"/>
        <v>5919</v>
      </c>
      <c r="BK21" s="1">
        <v>69</v>
      </c>
      <c r="BL21" s="1">
        <v>105</v>
      </c>
      <c r="BM21" s="1">
        <v>79</v>
      </c>
      <c r="BN21" s="1">
        <v>953</v>
      </c>
      <c r="BO21" s="1">
        <v>0</v>
      </c>
      <c r="BP21" s="1">
        <v>9</v>
      </c>
      <c r="BQ21" s="1">
        <v>23</v>
      </c>
      <c r="BR21" s="1">
        <v>16</v>
      </c>
      <c r="BS21" s="1">
        <v>227</v>
      </c>
      <c r="BT21" s="1">
        <v>0</v>
      </c>
      <c r="BU21" s="1">
        <v>1</v>
      </c>
      <c r="BV21" s="1">
        <v>135</v>
      </c>
      <c r="BW21" s="1">
        <v>26</v>
      </c>
      <c r="BX21" s="1">
        <v>384</v>
      </c>
      <c r="BY21" s="1">
        <v>0</v>
      </c>
      <c r="BZ21" s="1">
        <v>12</v>
      </c>
    </row>
    <row r="22" spans="1:78">
      <c r="A22" s="16">
        <v>2</v>
      </c>
      <c r="B22" s="59" t="s">
        <v>553</v>
      </c>
      <c r="C22" s="60" t="s">
        <v>262</v>
      </c>
      <c r="D22" s="59" t="s">
        <v>571</v>
      </c>
      <c r="E22" s="59" t="s">
        <v>484</v>
      </c>
      <c r="F22" s="59" t="s">
        <v>694</v>
      </c>
      <c r="G22" s="59" t="s">
        <v>470</v>
      </c>
      <c r="H22" s="11">
        <v>13649852</v>
      </c>
      <c r="I22" s="11">
        <v>13707764</v>
      </c>
      <c r="J22" s="11">
        <v>248505</v>
      </c>
      <c r="K22" s="52">
        <v>681</v>
      </c>
      <c r="L22" s="52">
        <v>49161</v>
      </c>
      <c r="M22" s="52">
        <v>216124</v>
      </c>
      <c r="N22" s="52">
        <v>5164158</v>
      </c>
      <c r="O22" s="52">
        <v>0</v>
      </c>
      <c r="P22" s="52">
        <v>164635</v>
      </c>
      <c r="Q22" s="52">
        <v>512678</v>
      </c>
      <c r="R22" s="11">
        <v>5759884</v>
      </c>
      <c r="S22" s="11">
        <v>456358</v>
      </c>
      <c r="T22" s="11">
        <v>0</v>
      </c>
      <c r="U22" s="11">
        <v>0</v>
      </c>
      <c r="V22" s="11">
        <v>13046600</v>
      </c>
      <c r="W22" s="13">
        <v>0.12920000000000001</v>
      </c>
      <c r="X22" s="11">
        <v>0</v>
      </c>
      <c r="Y22" s="26">
        <f>717563/13046600</f>
        <v>5.5E-2</v>
      </c>
      <c r="Z22" s="11">
        <v>716415</v>
      </c>
      <c r="AA22" s="11">
        <v>0</v>
      </c>
      <c r="AB22" s="11">
        <f>57912+625</f>
        <v>58537</v>
      </c>
      <c r="AC22" s="11">
        <v>310977</v>
      </c>
      <c r="AD22" s="11">
        <v>26218</v>
      </c>
      <c r="AE22" s="11">
        <v>54651</v>
      </c>
      <c r="AF22" s="11">
        <f>43735+3126</f>
        <v>46861</v>
      </c>
      <c r="AG22" s="11">
        <v>9586</v>
      </c>
      <c r="AH22" s="11">
        <v>31381</v>
      </c>
      <c r="AI22" s="11">
        <v>0</v>
      </c>
      <c r="AJ22" s="11">
        <v>15060</v>
      </c>
      <c r="AK22" s="11">
        <f>7733+21217+50134</f>
        <v>79084</v>
      </c>
      <c r="AL22" s="11">
        <v>10815</v>
      </c>
      <c r="AM22" s="11">
        <v>303</v>
      </c>
      <c r="AN22" s="11">
        <v>6664</v>
      </c>
      <c r="AO22" s="11">
        <v>1557</v>
      </c>
      <c r="AP22" s="11">
        <v>4771</v>
      </c>
      <c r="AQ22" s="11">
        <v>0</v>
      </c>
      <c r="AR22" s="11">
        <v>636587</v>
      </c>
      <c r="AS22" s="11">
        <v>691133</v>
      </c>
      <c r="AT22" s="11">
        <v>69</v>
      </c>
      <c r="AU22" s="11">
        <v>0</v>
      </c>
      <c r="AV22" s="11">
        <v>143585</v>
      </c>
      <c r="AW22" s="11">
        <v>0</v>
      </c>
      <c r="AX22" s="11">
        <v>71081</v>
      </c>
      <c r="AY22" s="11">
        <v>0</v>
      </c>
      <c r="AZ22" s="11">
        <v>0</v>
      </c>
      <c r="BA22" s="11">
        <v>0</v>
      </c>
      <c r="BB22" s="11">
        <v>2422</v>
      </c>
      <c r="BC22" s="11">
        <v>905</v>
      </c>
      <c r="BD22" s="11">
        <v>16</v>
      </c>
      <c r="BE22" s="11">
        <v>8</v>
      </c>
      <c r="BF22" s="11">
        <v>-146</v>
      </c>
      <c r="BG22" s="11">
        <v>-218</v>
      </c>
      <c r="BH22" s="11">
        <v>-462</v>
      </c>
      <c r="BI22" s="11">
        <v>0</v>
      </c>
      <c r="BJ22" s="11">
        <f t="shared" si="6"/>
        <v>2525</v>
      </c>
      <c r="BK22" s="1">
        <v>16</v>
      </c>
      <c r="BL22" s="1">
        <v>78</v>
      </c>
      <c r="BM22" s="1">
        <v>70</v>
      </c>
      <c r="BN22" s="1">
        <v>222</v>
      </c>
      <c r="BO22" s="1">
        <v>0</v>
      </c>
      <c r="BP22" s="1">
        <v>3</v>
      </c>
      <c r="BQ22" s="1">
        <v>29</v>
      </c>
      <c r="BR22" s="1">
        <v>3</v>
      </c>
      <c r="BS22" s="1">
        <v>17</v>
      </c>
      <c r="BT22" s="1">
        <v>0</v>
      </c>
      <c r="BU22" s="1">
        <v>2</v>
      </c>
      <c r="BV22" s="1">
        <v>75</v>
      </c>
      <c r="BW22" s="1">
        <v>5</v>
      </c>
      <c r="BX22" s="1">
        <v>18</v>
      </c>
      <c r="BY22" s="1">
        <v>0</v>
      </c>
      <c r="BZ22" s="1">
        <v>1</v>
      </c>
    </row>
    <row r="23" spans="1:78">
      <c r="A23" s="16">
        <v>2</v>
      </c>
      <c r="B23" s="59" t="s">
        <v>596</v>
      </c>
      <c r="C23" s="60" t="s">
        <v>332</v>
      </c>
      <c r="D23" s="59" t="s">
        <v>695</v>
      </c>
      <c r="E23" s="59" t="s">
        <v>484</v>
      </c>
      <c r="F23" s="59" t="s">
        <v>619</v>
      </c>
      <c r="G23" s="59" t="s">
        <v>470</v>
      </c>
      <c r="H23" s="11">
        <v>12970389</v>
      </c>
      <c r="I23" s="11">
        <v>12994955</v>
      </c>
      <c r="J23" s="11">
        <v>2074505</v>
      </c>
      <c r="K23" s="52">
        <v>0</v>
      </c>
      <c r="L23" s="52">
        <v>3390426</v>
      </c>
      <c r="M23" s="52">
        <v>2403360</v>
      </c>
      <c r="N23" s="52">
        <v>0</v>
      </c>
      <c r="O23" s="52">
        <v>0</v>
      </c>
      <c r="P23" s="52">
        <v>1480364</v>
      </c>
      <c r="Q23" s="52">
        <v>0</v>
      </c>
      <c r="R23" s="11">
        <v>3925233</v>
      </c>
      <c r="S23" s="11">
        <v>75028</v>
      </c>
      <c r="T23" s="11">
        <v>4833</v>
      </c>
      <c r="U23" s="11">
        <v>0</v>
      </c>
      <c r="V23" s="11">
        <v>12023198</v>
      </c>
      <c r="W23" s="13">
        <v>0.16</v>
      </c>
      <c r="X23" s="11">
        <v>0</v>
      </c>
      <c r="Y23" s="26">
        <f>619929/11821552</f>
        <v>5.2440576330417529E-2</v>
      </c>
      <c r="Z23" s="11">
        <v>621456</v>
      </c>
      <c r="AA23" s="11">
        <v>0</v>
      </c>
      <c r="AB23" s="11">
        <f>24566+5+635</f>
        <v>25206</v>
      </c>
      <c r="AC23" s="11">
        <v>232770</v>
      </c>
      <c r="AD23" s="11">
        <v>22052</v>
      </c>
      <c r="AE23" s="11">
        <v>13028</v>
      </c>
      <c r="AF23" s="11">
        <v>74385</v>
      </c>
      <c r="AG23" s="11">
        <v>32000</v>
      </c>
      <c r="AH23" s="11">
        <v>10566</v>
      </c>
      <c r="AI23" s="11">
        <v>1400</v>
      </c>
      <c r="AJ23" s="11">
        <v>0</v>
      </c>
      <c r="AK23" s="11">
        <f>22014+10158+8890</f>
        <v>41062</v>
      </c>
      <c r="AL23" s="11">
        <v>3054</v>
      </c>
      <c r="AM23" s="11">
        <v>0</v>
      </c>
      <c r="AN23" s="11"/>
      <c r="AO23" s="11">
        <v>2090</v>
      </c>
      <c r="AP23" s="11">
        <v>2604</v>
      </c>
      <c r="AQ23" s="11">
        <v>0</v>
      </c>
      <c r="AR23" s="11">
        <v>486391</v>
      </c>
      <c r="AS23" s="11">
        <v>535000</v>
      </c>
      <c r="AT23" s="11">
        <v>0</v>
      </c>
      <c r="AU23" s="11">
        <v>0</v>
      </c>
      <c r="AV23" s="11">
        <v>143628</v>
      </c>
      <c r="AW23" s="11">
        <v>0</v>
      </c>
      <c r="AX23" s="11">
        <v>43709</v>
      </c>
      <c r="AY23" s="11">
        <v>0</v>
      </c>
      <c r="AZ23" s="11">
        <v>0</v>
      </c>
      <c r="BA23" s="11">
        <v>0</v>
      </c>
      <c r="BB23" s="11">
        <v>1970</v>
      </c>
      <c r="BC23" s="11">
        <v>1543</v>
      </c>
      <c r="BD23" s="11">
        <v>0</v>
      </c>
      <c r="BE23" s="11">
        <v>0</v>
      </c>
      <c r="BF23" s="11">
        <v>-9</v>
      </c>
      <c r="BG23" s="11">
        <v>-1332</v>
      </c>
      <c r="BH23" s="11">
        <v>-322</v>
      </c>
      <c r="BI23" s="11">
        <v>0</v>
      </c>
      <c r="BJ23" s="11">
        <f t="shared" si="6"/>
        <v>1850</v>
      </c>
      <c r="BK23" s="1">
        <v>5</v>
      </c>
      <c r="BL23" s="1">
        <v>101</v>
      </c>
      <c r="BM23" s="1">
        <v>31</v>
      </c>
      <c r="BN23" s="1">
        <v>162</v>
      </c>
      <c r="BO23" s="1">
        <v>0</v>
      </c>
      <c r="BP23" s="1">
        <v>28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9</v>
      </c>
      <c r="BW23" s="1">
        <v>6</v>
      </c>
      <c r="BX23" s="1">
        <v>28</v>
      </c>
      <c r="BY23" s="1">
        <v>62</v>
      </c>
      <c r="BZ23" s="1">
        <v>30</v>
      </c>
    </row>
    <row r="24" spans="1:78">
      <c r="A24" s="16">
        <v>2</v>
      </c>
      <c r="B24" s="59" t="s">
        <v>604</v>
      </c>
      <c r="C24" s="60" t="s">
        <v>329</v>
      </c>
      <c r="D24" s="59" t="s">
        <v>696</v>
      </c>
      <c r="E24" s="59" t="s">
        <v>681</v>
      </c>
      <c r="F24" s="59"/>
      <c r="G24" s="59" t="s">
        <v>679</v>
      </c>
      <c r="H24" s="11">
        <v>3477206</v>
      </c>
      <c r="I24" s="11">
        <v>3482063</v>
      </c>
      <c r="J24" s="11">
        <v>223329</v>
      </c>
      <c r="K24" s="52">
        <v>0</v>
      </c>
      <c r="L24" s="52">
        <v>0</v>
      </c>
      <c r="M24" s="52">
        <v>0</v>
      </c>
      <c r="N24" s="52">
        <v>1262303</v>
      </c>
      <c r="O24" s="52">
        <v>0</v>
      </c>
      <c r="P24" s="52">
        <v>0</v>
      </c>
      <c r="Q24" s="52">
        <v>364003</v>
      </c>
      <c r="R24" s="11">
        <v>569270</v>
      </c>
      <c r="S24" s="11">
        <v>187103</v>
      </c>
      <c r="T24" s="11">
        <v>100</v>
      </c>
      <c r="U24" s="11">
        <v>0</v>
      </c>
      <c r="V24" s="11">
        <v>2625370</v>
      </c>
      <c r="W24" s="13">
        <v>0.23</v>
      </c>
      <c r="X24" s="11">
        <v>0</v>
      </c>
      <c r="Y24" s="26">
        <f>190411/1904110</f>
        <v>0.1</v>
      </c>
      <c r="Z24" s="11">
        <v>190411</v>
      </c>
      <c r="AA24" s="11">
        <v>0</v>
      </c>
      <c r="AB24" s="11">
        <f>3590+253+222</f>
        <v>4065</v>
      </c>
      <c r="AC24" s="11">
        <v>24885</v>
      </c>
      <c r="AD24" s="11">
        <v>2162</v>
      </c>
      <c r="AE24" s="11">
        <v>2700</v>
      </c>
      <c r="AF24" s="11">
        <v>5499</v>
      </c>
      <c r="AG24" s="11">
        <v>5550</v>
      </c>
      <c r="AH24" s="11">
        <v>6259</v>
      </c>
      <c r="AI24" s="11">
        <v>487</v>
      </c>
      <c r="AJ24" s="11">
        <v>0</v>
      </c>
      <c r="AK24" s="11">
        <f>4381+3069+2399</f>
        <v>9849</v>
      </c>
      <c r="AL24" s="11">
        <v>1750</v>
      </c>
      <c r="AM24" s="11">
        <v>408</v>
      </c>
      <c r="AN24" s="11">
        <v>0</v>
      </c>
      <c r="AO24" s="11">
        <v>1595</v>
      </c>
      <c r="AP24" s="11">
        <v>998</v>
      </c>
      <c r="AQ24" s="11">
        <v>17402</v>
      </c>
      <c r="AR24" s="11">
        <v>72285</v>
      </c>
      <c r="AS24" s="11">
        <v>84196</v>
      </c>
      <c r="AT24" s="11">
        <v>0</v>
      </c>
      <c r="AU24" s="11">
        <v>0</v>
      </c>
      <c r="AV24" s="11">
        <v>131802</v>
      </c>
      <c r="AW24" s="11">
        <v>0</v>
      </c>
      <c r="AX24" s="11">
        <v>1903</v>
      </c>
      <c r="AY24" s="11">
        <v>0</v>
      </c>
      <c r="AZ24" s="11">
        <v>0</v>
      </c>
      <c r="BA24" s="11">
        <v>0</v>
      </c>
      <c r="BB24" s="11">
        <v>377</v>
      </c>
      <c r="BC24" s="11">
        <v>172</v>
      </c>
      <c r="BD24" s="11">
        <v>0</v>
      </c>
      <c r="BE24" s="11">
        <v>0</v>
      </c>
      <c r="BF24" s="11">
        <v>-23</v>
      </c>
      <c r="BG24" s="11">
        <v>-20</v>
      </c>
      <c r="BH24" s="11">
        <v>-72</v>
      </c>
      <c r="BI24" s="11">
        <v>-1</v>
      </c>
      <c r="BJ24" s="11">
        <f t="shared" si="6"/>
        <v>433</v>
      </c>
      <c r="BK24" s="1">
        <v>21</v>
      </c>
      <c r="BL24" s="1">
        <v>7</v>
      </c>
      <c r="BM24" s="1">
        <v>5</v>
      </c>
      <c r="BN24" s="1">
        <v>33</v>
      </c>
      <c r="BO24" s="1">
        <v>27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</row>
    <row r="25" spans="1:78">
      <c r="A25" s="16">
        <v>2</v>
      </c>
      <c r="B25" s="59" t="s">
        <v>636</v>
      </c>
      <c r="C25" s="60" t="s">
        <v>411</v>
      </c>
      <c r="D25" s="59" t="s">
        <v>638</v>
      </c>
      <c r="E25" s="59" t="s">
        <v>484</v>
      </c>
      <c r="F25" s="59" t="s">
        <v>479</v>
      </c>
      <c r="G25" s="59" t="s">
        <v>470</v>
      </c>
      <c r="H25" s="11">
        <v>11381193</v>
      </c>
      <c r="I25" s="11">
        <v>11424278</v>
      </c>
      <c r="J25" s="11">
        <v>353900</v>
      </c>
      <c r="K25" s="52">
        <v>302694</v>
      </c>
      <c r="L25" s="52">
        <v>692854</v>
      </c>
      <c r="M25" s="52">
        <v>1259910</v>
      </c>
      <c r="N25" s="52">
        <v>2267910</v>
      </c>
      <c r="O25" s="52">
        <v>0</v>
      </c>
      <c r="P25" s="52">
        <v>265839</v>
      </c>
      <c r="Q25" s="52">
        <v>490298</v>
      </c>
      <c r="R25" s="11">
        <v>3849754</v>
      </c>
      <c r="S25" s="11">
        <v>847168</v>
      </c>
      <c r="T25" s="11">
        <v>0</v>
      </c>
      <c r="U25" s="11">
        <v>0</v>
      </c>
      <c r="V25" s="11">
        <v>10726901</v>
      </c>
      <c r="W25" s="13">
        <v>0.14000000000000001</v>
      </c>
      <c r="X25" s="11">
        <v>0</v>
      </c>
      <c r="Y25" s="26">
        <f>740682/10726901</f>
        <v>6.9049019842729972E-2</v>
      </c>
      <c r="Z25" s="11">
        <v>739734</v>
      </c>
      <c r="AA25" s="11">
        <v>0</v>
      </c>
      <c r="AB25" s="11">
        <f>43085+729</f>
        <v>43814</v>
      </c>
      <c r="AC25" s="11">
        <v>258348</v>
      </c>
      <c r="AD25" s="11">
        <v>23919</v>
      </c>
      <c r="AE25" s="11">
        <v>76412</v>
      </c>
      <c r="AF25" s="11">
        <v>75828</v>
      </c>
      <c r="AG25" s="11">
        <v>16460</v>
      </c>
      <c r="AH25" s="11">
        <v>74761</v>
      </c>
      <c r="AI25" s="11">
        <v>0</v>
      </c>
      <c r="AJ25" s="11">
        <v>41255</v>
      </c>
      <c r="AK25" s="11">
        <f>6884+20614+10066</f>
        <v>37564</v>
      </c>
      <c r="AL25" s="11">
        <v>6200</v>
      </c>
      <c r="AM25" s="11">
        <v>2181</v>
      </c>
      <c r="AN25" s="11">
        <v>0</v>
      </c>
      <c r="AO25" s="11">
        <v>0</v>
      </c>
      <c r="AP25" s="11">
        <v>3628</v>
      </c>
      <c r="AQ25" s="11">
        <v>0</v>
      </c>
      <c r="AR25" s="11">
        <v>651845</v>
      </c>
      <c r="AS25" s="11">
        <v>662262</v>
      </c>
      <c r="AT25" s="11">
        <v>2768</v>
      </c>
      <c r="AU25" s="11">
        <v>0</v>
      </c>
      <c r="AV25" s="11">
        <v>143628</v>
      </c>
      <c r="AW25" s="11">
        <v>0</v>
      </c>
      <c r="AX25" s="11">
        <v>51497</v>
      </c>
      <c r="AY25" s="11">
        <v>0</v>
      </c>
      <c r="AZ25" s="11">
        <v>0</v>
      </c>
      <c r="BA25" s="11">
        <v>0</v>
      </c>
      <c r="BB25" s="11">
        <v>2111</v>
      </c>
      <c r="BC25" s="11">
        <v>1157</v>
      </c>
      <c r="BD25" s="11">
        <v>393</v>
      </c>
      <c r="BE25" s="11">
        <v>0</v>
      </c>
      <c r="BF25" s="11">
        <v>-199</v>
      </c>
      <c r="BG25" s="11">
        <v>-455</v>
      </c>
      <c r="BH25" s="11">
        <v>-552</v>
      </c>
      <c r="BI25" s="11">
        <v>-19</v>
      </c>
      <c r="BJ25" s="11">
        <f t="shared" si="6"/>
        <v>2436</v>
      </c>
      <c r="BK25" s="1">
        <v>7</v>
      </c>
      <c r="BL25" s="1">
        <v>170</v>
      </c>
      <c r="BM25" s="1">
        <v>74</v>
      </c>
      <c r="BN25" s="1">
        <v>156</v>
      </c>
      <c r="BO25" s="1">
        <v>6</v>
      </c>
      <c r="BP25" s="1">
        <v>14</v>
      </c>
      <c r="BQ25" s="1">
        <v>3</v>
      </c>
      <c r="BR25" s="1">
        <v>8</v>
      </c>
      <c r="BS25" s="1">
        <v>54</v>
      </c>
      <c r="BT25" s="1">
        <v>57</v>
      </c>
      <c r="BU25" s="1">
        <v>0</v>
      </c>
      <c r="BV25" s="1">
        <v>17</v>
      </c>
      <c r="BW25" s="1">
        <v>8</v>
      </c>
      <c r="BX25" s="1">
        <v>35</v>
      </c>
      <c r="BY25" s="1">
        <v>132</v>
      </c>
      <c r="BZ25" s="1">
        <v>10</v>
      </c>
    </row>
    <row r="26" spans="1:78">
      <c r="A26" s="16">
        <v>2</v>
      </c>
      <c r="B26" s="59" t="s">
        <v>691</v>
      </c>
      <c r="C26" s="60" t="s">
        <v>593</v>
      </c>
      <c r="D26" s="59" t="s">
        <v>574</v>
      </c>
      <c r="E26" s="59" t="s">
        <v>484</v>
      </c>
      <c r="F26" s="59" t="s">
        <v>208</v>
      </c>
      <c r="G26" s="59" t="s">
        <v>470</v>
      </c>
      <c r="H26" s="11">
        <v>1219261</v>
      </c>
      <c r="I26" s="11">
        <v>1220975</v>
      </c>
      <c r="J26" s="11">
        <v>59869</v>
      </c>
      <c r="K26" s="52">
        <v>0</v>
      </c>
      <c r="L26" s="52">
        <v>0</v>
      </c>
      <c r="M26" s="52">
        <v>0</v>
      </c>
      <c r="N26" s="52">
        <v>666733</v>
      </c>
      <c r="O26" s="52">
        <v>0</v>
      </c>
      <c r="P26" s="52">
        <v>0</v>
      </c>
      <c r="Q26" s="52">
        <v>34046</v>
      </c>
      <c r="R26" s="11">
        <v>230330</v>
      </c>
      <c r="S26" s="11">
        <v>0</v>
      </c>
      <c r="T26" s="11">
        <v>0</v>
      </c>
      <c r="U26" s="11">
        <v>0</v>
      </c>
      <c r="V26" s="11">
        <v>1036876</v>
      </c>
      <c r="W26" s="13">
        <v>0.26140000000000002</v>
      </c>
      <c r="X26" s="11">
        <v>0</v>
      </c>
      <c r="Y26" s="26">
        <f>103687/1036876</f>
        <v>9.9999421338713604E-2</v>
      </c>
      <c r="Z26" s="11">
        <v>107142</v>
      </c>
      <c r="AA26" s="11">
        <v>0</v>
      </c>
      <c r="AB26" s="11">
        <f>1714+53</f>
        <v>1767</v>
      </c>
      <c r="AC26" s="11">
        <v>49457</v>
      </c>
      <c r="AD26" s="11">
        <v>6185</v>
      </c>
      <c r="AE26" s="11">
        <v>2051</v>
      </c>
      <c r="AF26" s="11">
        <v>5149</v>
      </c>
      <c r="AG26" s="11">
        <v>3950</v>
      </c>
      <c r="AH26" s="11">
        <v>1053</v>
      </c>
      <c r="AI26" s="11">
        <v>0</v>
      </c>
      <c r="AJ26" s="11">
        <v>476</v>
      </c>
      <c r="AK26" s="11">
        <f>1018+822+1543</f>
        <v>3383</v>
      </c>
      <c r="AL26" s="11">
        <v>16</v>
      </c>
      <c r="AM26" s="11">
        <v>150</v>
      </c>
      <c r="AN26" s="11"/>
      <c r="AO26" s="11">
        <v>1244</v>
      </c>
      <c r="AP26" s="11">
        <v>0</v>
      </c>
      <c r="AQ26" s="11">
        <v>5149</v>
      </c>
      <c r="AR26" s="11">
        <v>85502</v>
      </c>
      <c r="AS26" s="11">
        <v>251645</v>
      </c>
      <c r="AT26" s="11">
        <v>0</v>
      </c>
      <c r="AU26" s="11">
        <v>0</v>
      </c>
      <c r="AV26" s="11">
        <v>42465</v>
      </c>
      <c r="AW26" s="11">
        <v>0</v>
      </c>
      <c r="AX26" s="11">
        <v>18449</v>
      </c>
      <c r="AY26" s="11">
        <v>0</v>
      </c>
      <c r="AZ26" s="11">
        <v>0</v>
      </c>
      <c r="BA26" s="11">
        <v>0</v>
      </c>
      <c r="BB26" s="11">
        <v>582</v>
      </c>
      <c r="BC26" s="11">
        <v>0</v>
      </c>
      <c r="BD26" s="11">
        <v>0</v>
      </c>
      <c r="BE26" s="11">
        <v>0</v>
      </c>
      <c r="BF26" s="11">
        <v>0</v>
      </c>
      <c r="BG26" s="11">
        <v>-74</v>
      </c>
      <c r="BH26" s="11">
        <v>0</v>
      </c>
      <c r="BI26" s="11">
        <v>0</v>
      </c>
      <c r="BJ26" s="11">
        <f t="shared" si="6"/>
        <v>508</v>
      </c>
      <c r="BK26" s="1">
        <v>0</v>
      </c>
      <c r="BL26" s="1">
        <v>13</v>
      </c>
      <c r="BM26" s="1">
        <v>5</v>
      </c>
      <c r="BN26" s="1">
        <v>26</v>
      </c>
      <c r="BO26" s="1">
        <v>5</v>
      </c>
      <c r="BP26" s="1">
        <v>19</v>
      </c>
      <c r="BQ26" s="1" t="s">
        <v>456</v>
      </c>
      <c r="BR26" s="1" t="s">
        <v>456</v>
      </c>
      <c r="BS26" s="1" t="s">
        <v>456</v>
      </c>
      <c r="BT26" s="1" t="s">
        <v>456</v>
      </c>
      <c r="BU26" s="1" t="s">
        <v>456</v>
      </c>
      <c r="BV26" s="1" t="s">
        <v>456</v>
      </c>
      <c r="BW26" s="1" t="s">
        <v>456</v>
      </c>
      <c r="BX26" s="1" t="s">
        <v>456</v>
      </c>
      <c r="BY26" s="1" t="s">
        <v>456</v>
      </c>
      <c r="BZ26" s="1" t="s">
        <v>456</v>
      </c>
    </row>
    <row r="27" spans="1:78">
      <c r="A27" s="16">
        <v>2</v>
      </c>
      <c r="B27" s="59" t="s">
        <v>697</v>
      </c>
      <c r="C27" s="60" t="s">
        <v>446</v>
      </c>
      <c r="D27" s="59" t="s">
        <v>287</v>
      </c>
      <c r="E27" s="59" t="s">
        <v>162</v>
      </c>
      <c r="F27" s="59"/>
      <c r="G27" s="59" t="s">
        <v>151</v>
      </c>
      <c r="H27" s="11">
        <v>14182799</v>
      </c>
      <c r="I27" s="11">
        <v>14232209</v>
      </c>
      <c r="J27" s="11">
        <v>1254950</v>
      </c>
      <c r="K27" s="52">
        <v>163922</v>
      </c>
      <c r="L27" s="52">
        <v>1592485</v>
      </c>
      <c r="M27" s="52">
        <v>7490847</v>
      </c>
      <c r="N27" s="52">
        <v>0</v>
      </c>
      <c r="O27" s="52">
        <v>4587</v>
      </c>
      <c r="P27" s="52">
        <v>1267995</v>
      </c>
      <c r="Q27" s="52">
        <v>0</v>
      </c>
      <c r="R27" s="11">
        <v>1343336</v>
      </c>
      <c r="S27" s="11">
        <v>304102</v>
      </c>
      <c r="T27" s="11">
        <v>34275</v>
      </c>
      <c r="U27" s="11">
        <v>0</v>
      </c>
      <c r="V27" s="11">
        <v>12895354</v>
      </c>
      <c r="W27" s="13">
        <v>0.12609999999999999</v>
      </c>
      <c r="X27" s="11">
        <v>0</v>
      </c>
      <c r="Y27" s="26">
        <f>691772/12861079</f>
        <v>5.3788021984780596E-2</v>
      </c>
      <c r="Z27" s="11">
        <v>693658</v>
      </c>
      <c r="AA27" s="11">
        <v>0</v>
      </c>
      <c r="AB27" s="11">
        <f>49410+1639</f>
        <v>51049</v>
      </c>
      <c r="AC27" s="11">
        <v>347818</v>
      </c>
      <c r="AD27" s="11">
        <v>26587</v>
      </c>
      <c r="AE27" s="11">
        <v>74305</v>
      </c>
      <c r="AF27" s="11">
        <v>61866</v>
      </c>
      <c r="AG27" s="11">
        <v>26780</v>
      </c>
      <c r="AH27" s="11">
        <v>16003</v>
      </c>
      <c r="AI27" s="11">
        <v>2910</v>
      </c>
      <c r="AJ27" s="11">
        <v>0</v>
      </c>
      <c r="AK27" s="11">
        <f>7164+11660+14174</f>
        <v>32998</v>
      </c>
      <c r="AL27" s="11">
        <v>6897</v>
      </c>
      <c r="AM27" s="11">
        <v>0</v>
      </c>
      <c r="AN27" s="11">
        <v>0</v>
      </c>
      <c r="AO27" s="11">
        <v>712</v>
      </c>
      <c r="AP27" s="11">
        <v>27598</v>
      </c>
      <c r="AQ27" s="11">
        <v>0</v>
      </c>
      <c r="AR27" s="11">
        <v>662716</v>
      </c>
      <c r="AS27" s="11">
        <v>702122</v>
      </c>
      <c r="AT27" s="11">
        <v>1879</v>
      </c>
      <c r="AU27" s="11">
        <v>0</v>
      </c>
      <c r="AV27" s="11">
        <v>143628</v>
      </c>
      <c r="AW27" s="11">
        <v>0</v>
      </c>
      <c r="AX27" s="11">
        <v>64135</v>
      </c>
      <c r="AY27" s="11">
        <v>0</v>
      </c>
      <c r="AZ27" s="11">
        <v>0</v>
      </c>
      <c r="BA27" s="11">
        <v>0</v>
      </c>
      <c r="BB27" s="11">
        <v>1754</v>
      </c>
      <c r="BC27" s="11">
        <v>1526</v>
      </c>
      <c r="BD27" s="11">
        <v>0</v>
      </c>
      <c r="BE27" s="11">
        <v>0</v>
      </c>
      <c r="BF27" s="11">
        <v>-197</v>
      </c>
      <c r="BG27" s="11">
        <v>-947</v>
      </c>
      <c r="BH27" s="11">
        <v>-260</v>
      </c>
      <c r="BI27" s="11">
        <v>0</v>
      </c>
      <c r="BJ27" s="11">
        <f t="shared" si="6"/>
        <v>1876</v>
      </c>
      <c r="BK27" s="1">
        <v>0</v>
      </c>
      <c r="BL27" s="1">
        <v>76</v>
      </c>
      <c r="BM27" s="1">
        <v>15</v>
      </c>
      <c r="BN27" s="1">
        <v>36</v>
      </c>
      <c r="BO27" s="1">
        <v>10</v>
      </c>
      <c r="BP27" s="1">
        <v>120</v>
      </c>
      <c r="BQ27" s="1">
        <v>2</v>
      </c>
      <c r="BR27" s="1">
        <v>2</v>
      </c>
      <c r="BS27" s="1">
        <v>7</v>
      </c>
      <c r="BT27" s="1">
        <v>32</v>
      </c>
      <c r="BU27" s="1">
        <v>29</v>
      </c>
      <c r="BV27" s="1">
        <v>12</v>
      </c>
      <c r="BW27" s="1">
        <v>2</v>
      </c>
      <c r="BX27" s="1">
        <v>13</v>
      </c>
      <c r="BY27" s="1">
        <v>91</v>
      </c>
      <c r="BZ27" s="1">
        <v>92</v>
      </c>
    </row>
    <row r="28" spans="1:78">
      <c r="A28" s="16">
        <v>3</v>
      </c>
      <c r="B28" s="59" t="s">
        <v>60</v>
      </c>
      <c r="C28" s="60" t="s">
        <v>323</v>
      </c>
      <c r="D28" s="59" t="s">
        <v>128</v>
      </c>
      <c r="E28" s="59" t="s">
        <v>473</v>
      </c>
      <c r="F28" s="59"/>
      <c r="G28" s="59" t="s">
        <v>468</v>
      </c>
      <c r="H28" s="11">
        <v>31635865</v>
      </c>
      <c r="I28" s="11">
        <v>31757788</v>
      </c>
      <c r="J28" s="11">
        <v>1657254</v>
      </c>
      <c r="K28" s="52">
        <v>56463</v>
      </c>
      <c r="L28" s="52">
        <v>3685471</v>
      </c>
      <c r="M28" s="52">
        <v>2193825</v>
      </c>
      <c r="N28" s="52">
        <v>9746834</v>
      </c>
      <c r="O28" s="52">
        <v>0</v>
      </c>
      <c r="P28" s="52">
        <v>3137032</v>
      </c>
      <c r="Q28" s="52">
        <v>0</v>
      </c>
      <c r="R28" s="11">
        <v>5410174</v>
      </c>
      <c r="S28" s="11">
        <v>3255908</v>
      </c>
      <c r="T28" s="11">
        <v>0</v>
      </c>
      <c r="U28" s="11">
        <v>0</v>
      </c>
      <c r="V28" s="11">
        <v>29928507</v>
      </c>
      <c r="W28" s="13">
        <v>0.15</v>
      </c>
      <c r="X28" s="11">
        <v>0</v>
      </c>
      <c r="Y28" s="26">
        <f>1477088/28962502</f>
        <v>5.1000013741906693E-2</v>
      </c>
      <c r="Z28" s="11">
        <v>1476795</v>
      </c>
      <c r="AA28" s="11">
        <v>0</v>
      </c>
      <c r="AB28" s="11">
        <f>121923+1342</f>
        <v>123265</v>
      </c>
      <c r="AC28" s="11">
        <v>818423</v>
      </c>
      <c r="AD28" s="11">
        <v>73794</v>
      </c>
      <c r="AE28" s="11">
        <v>139151</v>
      </c>
      <c r="AF28" s="11">
        <f>124754+21298</f>
        <v>146052</v>
      </c>
      <c r="AG28" s="11">
        <v>3230</v>
      </c>
      <c r="AH28" s="11">
        <v>36524</v>
      </c>
      <c r="AI28" s="11">
        <v>977</v>
      </c>
      <c r="AJ28" s="11">
        <v>0</v>
      </c>
      <c r="AK28" s="11">
        <f>20124+56539+46245</f>
        <v>122908</v>
      </c>
      <c r="AL28" s="11">
        <v>10900</v>
      </c>
      <c r="AM28" s="11">
        <v>0</v>
      </c>
      <c r="AN28" s="11">
        <v>1020</v>
      </c>
      <c r="AO28" s="11">
        <v>9389</v>
      </c>
      <c r="AP28" s="11">
        <v>18525</v>
      </c>
      <c r="AQ28" s="11">
        <v>0</v>
      </c>
      <c r="AR28" s="11">
        <v>1441274</v>
      </c>
      <c r="AS28" s="11">
        <v>1486086</v>
      </c>
      <c r="AT28" s="11">
        <v>1088</v>
      </c>
      <c r="AU28" s="11">
        <v>0</v>
      </c>
      <c r="AV28" s="11">
        <v>143628</v>
      </c>
      <c r="AW28" s="11">
        <v>0</v>
      </c>
      <c r="AX28" s="11">
        <v>176188</v>
      </c>
      <c r="AY28" s="11">
        <v>0</v>
      </c>
      <c r="AZ28" s="11">
        <v>0</v>
      </c>
      <c r="BA28" s="11">
        <v>0</v>
      </c>
      <c r="BB28" s="11">
        <v>10299</v>
      </c>
      <c r="BC28" s="11">
        <v>6096</v>
      </c>
      <c r="BD28" s="11">
        <v>0</v>
      </c>
      <c r="BE28" s="11">
        <f>12-2</f>
        <v>10</v>
      </c>
      <c r="BF28" s="11">
        <v>-432</v>
      </c>
      <c r="BG28" s="11">
        <v>-4017</v>
      </c>
      <c r="BH28" s="11">
        <v>-1438</v>
      </c>
      <c r="BI28" s="11">
        <v>0</v>
      </c>
      <c r="BJ28" s="11">
        <f t="shared" si="6"/>
        <v>10518</v>
      </c>
      <c r="BK28" s="1">
        <v>4</v>
      </c>
      <c r="BL28" s="1">
        <v>141</v>
      </c>
      <c r="BM28" s="1">
        <v>58</v>
      </c>
      <c r="BN28" s="1">
        <v>534</v>
      </c>
      <c r="BO28" s="1">
        <v>152</v>
      </c>
      <c r="BP28" s="1">
        <v>553</v>
      </c>
      <c r="BQ28" s="1">
        <v>3</v>
      </c>
      <c r="BR28" s="1">
        <v>3</v>
      </c>
      <c r="BS28" s="1">
        <v>23</v>
      </c>
      <c r="BT28" s="1">
        <v>98</v>
      </c>
      <c r="BU28" s="1">
        <v>121</v>
      </c>
      <c r="BV28" s="1">
        <v>22</v>
      </c>
      <c r="BW28" s="1">
        <v>22</v>
      </c>
      <c r="BX28" s="1">
        <v>116</v>
      </c>
      <c r="BY28" s="1">
        <v>541</v>
      </c>
      <c r="BZ28" s="1">
        <v>676</v>
      </c>
    </row>
    <row r="29" spans="1:78">
      <c r="A29" s="16">
        <v>3</v>
      </c>
      <c r="B29" s="59" t="s">
        <v>181</v>
      </c>
      <c r="C29" s="60" t="s">
        <v>123</v>
      </c>
      <c r="D29" s="59" t="s">
        <v>308</v>
      </c>
      <c r="E29" s="59" t="s">
        <v>505</v>
      </c>
      <c r="F29" s="59" t="s">
        <v>431</v>
      </c>
      <c r="G29" s="59" t="s">
        <v>518</v>
      </c>
      <c r="H29" s="11">
        <v>14759672</v>
      </c>
      <c r="I29" s="11">
        <v>14846281</v>
      </c>
      <c r="J29" s="11">
        <v>655315</v>
      </c>
      <c r="K29" s="52">
        <v>0</v>
      </c>
      <c r="L29" s="52">
        <v>75624</v>
      </c>
      <c r="M29" s="52">
        <v>74694</v>
      </c>
      <c r="N29" s="52">
        <v>4060748</v>
      </c>
      <c r="O29" s="52">
        <v>0</v>
      </c>
      <c r="P29" s="52">
        <v>2241679</v>
      </c>
      <c r="Q29" s="52">
        <v>0</v>
      </c>
      <c r="R29" s="11">
        <v>4082716</v>
      </c>
      <c r="S29" s="11">
        <v>2153222</v>
      </c>
      <c r="T29" s="11">
        <v>30093</v>
      </c>
      <c r="U29" s="11">
        <v>0</v>
      </c>
      <c r="V29" s="11">
        <v>13290588</v>
      </c>
      <c r="W29" s="13">
        <v>0.23</v>
      </c>
      <c r="X29" s="11">
        <v>0</v>
      </c>
      <c r="Y29" s="26">
        <f>572080/13260495</f>
        <v>4.3141677591975264E-2</v>
      </c>
      <c r="Z29" s="11">
        <v>571812</v>
      </c>
      <c r="AA29" s="11">
        <v>0</v>
      </c>
      <c r="AB29" s="11">
        <f>81224+8504+165</f>
        <v>89893</v>
      </c>
      <c r="AC29" s="11">
        <v>257950</v>
      </c>
      <c r="AD29" s="11">
        <v>21852</v>
      </c>
      <c r="AE29" s="11">
        <v>59543</v>
      </c>
      <c r="AF29" s="11">
        <f>34838+3823</f>
        <v>38661</v>
      </c>
      <c r="AG29" s="11">
        <v>14405</v>
      </c>
      <c r="AH29" s="11">
        <v>32095</v>
      </c>
      <c r="AI29" s="11">
        <v>545</v>
      </c>
      <c r="AJ29" s="11">
        <v>0</v>
      </c>
      <c r="AK29" s="11">
        <f>5019+19913+16694</f>
        <v>41626</v>
      </c>
      <c r="AL29" s="11">
        <v>3765</v>
      </c>
      <c r="AM29" s="11">
        <v>0</v>
      </c>
      <c r="AN29" s="11">
        <v>2074</v>
      </c>
      <c r="AO29" s="11">
        <v>0</v>
      </c>
      <c r="AP29" s="11">
        <v>11375</v>
      </c>
      <c r="AQ29" s="11">
        <v>0</v>
      </c>
      <c r="AR29" s="11">
        <v>527135</v>
      </c>
      <c r="AS29" s="11">
        <v>555862</v>
      </c>
      <c r="AT29" s="11">
        <v>0</v>
      </c>
      <c r="AU29" s="11">
        <v>0</v>
      </c>
      <c r="AV29" s="11">
        <v>143628</v>
      </c>
      <c r="AW29" s="11">
        <v>0</v>
      </c>
      <c r="AX29" s="11">
        <v>46705</v>
      </c>
      <c r="AY29" s="11">
        <v>0</v>
      </c>
      <c r="AZ29" s="11">
        <v>0</v>
      </c>
      <c r="BA29" s="11">
        <v>0</v>
      </c>
      <c r="BB29" s="11">
        <v>3703</v>
      </c>
      <c r="BC29" s="11">
        <v>2438</v>
      </c>
      <c r="BD29" s="11">
        <v>0</v>
      </c>
      <c r="BE29" s="11">
        <v>-11</v>
      </c>
      <c r="BF29" s="11">
        <v>-309</v>
      </c>
      <c r="BG29" s="11">
        <v>-775</v>
      </c>
      <c r="BH29" s="11">
        <v>-560</v>
      </c>
      <c r="BI29" s="11">
        <v>-1</v>
      </c>
      <c r="BJ29" s="11">
        <f t="shared" si="6"/>
        <v>4485</v>
      </c>
      <c r="BK29" s="1">
        <v>1</v>
      </c>
      <c r="BL29" s="1">
        <v>99</v>
      </c>
      <c r="BM29" s="1">
        <v>31</v>
      </c>
      <c r="BN29" s="1">
        <v>258</v>
      </c>
      <c r="BO29" s="1">
        <v>37</v>
      </c>
      <c r="BP29" s="1">
        <v>0</v>
      </c>
      <c r="BQ29" s="1">
        <v>0</v>
      </c>
      <c r="BR29" s="1">
        <v>3</v>
      </c>
      <c r="BS29" s="1">
        <v>19</v>
      </c>
      <c r="BT29" s="1">
        <v>117</v>
      </c>
      <c r="BU29" s="1">
        <v>0</v>
      </c>
      <c r="BV29" s="1">
        <v>2</v>
      </c>
      <c r="BW29" s="1">
        <v>7</v>
      </c>
      <c r="BX29" s="1">
        <v>25</v>
      </c>
      <c r="BY29" s="1">
        <v>231</v>
      </c>
      <c r="BZ29" s="1">
        <v>0</v>
      </c>
    </row>
    <row r="30" spans="1:78">
      <c r="A30" s="16">
        <v>3</v>
      </c>
      <c r="B30" s="59" t="s">
        <v>344</v>
      </c>
      <c r="C30" s="60" t="s">
        <v>428</v>
      </c>
      <c r="D30" s="59" t="s">
        <v>704</v>
      </c>
      <c r="E30" s="59" t="s">
        <v>173</v>
      </c>
      <c r="F30" s="59"/>
      <c r="G30" s="59" t="s">
        <v>183</v>
      </c>
      <c r="H30" s="11">
        <v>8715066</v>
      </c>
      <c r="I30" s="11">
        <v>8748800</v>
      </c>
      <c r="J30" s="11">
        <v>435361</v>
      </c>
      <c r="K30" s="52">
        <v>6540</v>
      </c>
      <c r="L30" s="52">
        <v>951329</v>
      </c>
      <c r="M30" s="52">
        <v>2672186</v>
      </c>
      <c r="N30" s="52">
        <v>0</v>
      </c>
      <c r="O30" s="52">
        <v>0</v>
      </c>
      <c r="P30" s="52">
        <v>1144865</v>
      </c>
      <c r="Q30" s="52">
        <v>0</v>
      </c>
      <c r="R30" s="11">
        <v>2214752</v>
      </c>
      <c r="S30" s="11">
        <v>326863</v>
      </c>
      <c r="T30" s="11">
        <v>0</v>
      </c>
      <c r="U30" s="11">
        <v>0</v>
      </c>
      <c r="V30" s="11">
        <v>7751296</v>
      </c>
      <c r="W30" s="13">
        <v>0.1734</v>
      </c>
      <c r="X30" s="11">
        <v>0</v>
      </c>
      <c r="Y30" s="26">
        <f>434315/7751296</f>
        <v>5.6031275286094091E-2</v>
      </c>
      <c r="Z30" s="11">
        <v>434761</v>
      </c>
      <c r="AA30" s="11">
        <v>0</v>
      </c>
      <c r="AB30" s="11">
        <f>33734+573</f>
        <v>34307</v>
      </c>
      <c r="AC30" s="11">
        <v>161043</v>
      </c>
      <c r="AD30" s="11">
        <v>13855</v>
      </c>
      <c r="AE30" s="11">
        <v>18768</v>
      </c>
      <c r="AF30" s="11">
        <v>33485</v>
      </c>
      <c r="AG30" s="11">
        <v>17460</v>
      </c>
      <c r="AH30" s="11">
        <v>14482</v>
      </c>
      <c r="AI30" s="11">
        <v>1881</v>
      </c>
      <c r="AJ30" s="11">
        <v>0</v>
      </c>
      <c r="AK30" s="11">
        <f>3966+10591+9030</f>
        <v>23587</v>
      </c>
      <c r="AL30" s="11">
        <v>4764</v>
      </c>
      <c r="AM30" s="11">
        <v>0</v>
      </c>
      <c r="AN30" s="11">
        <v>47</v>
      </c>
      <c r="AO30" s="11">
        <v>4304</v>
      </c>
      <c r="AP30" s="11">
        <v>9785</v>
      </c>
      <c r="AQ30" s="11">
        <v>0</v>
      </c>
      <c r="AR30" s="11">
        <v>319695</v>
      </c>
      <c r="AS30" s="11">
        <v>333355</v>
      </c>
      <c r="AT30" s="11">
        <v>0</v>
      </c>
      <c r="AU30" s="11">
        <v>0</v>
      </c>
      <c r="AV30" s="11">
        <v>143166</v>
      </c>
      <c r="AW30" s="11">
        <v>0</v>
      </c>
      <c r="AX30" s="11">
        <v>26272</v>
      </c>
      <c r="AY30" s="11">
        <v>0</v>
      </c>
      <c r="AZ30" s="11">
        <v>0</v>
      </c>
      <c r="BA30" s="11">
        <v>0</v>
      </c>
      <c r="BB30" s="11">
        <v>2132</v>
      </c>
      <c r="BC30" s="11">
        <v>1008</v>
      </c>
      <c r="BD30" s="11">
        <v>0</v>
      </c>
      <c r="BE30" s="11">
        <v>0</v>
      </c>
      <c r="BF30" s="11">
        <v>-95</v>
      </c>
      <c r="BG30" s="11">
        <v>-351</v>
      </c>
      <c r="BH30" s="11">
        <v>-210</v>
      </c>
      <c r="BI30" s="11">
        <v>-7</v>
      </c>
      <c r="BJ30" s="11">
        <f t="shared" si="6"/>
        <v>2477</v>
      </c>
      <c r="BK30" s="1">
        <v>4</v>
      </c>
      <c r="BL30" s="1">
        <v>35</v>
      </c>
      <c r="BM30" s="1">
        <v>21</v>
      </c>
      <c r="BN30" s="1">
        <v>135</v>
      </c>
      <c r="BO30" s="1">
        <v>16</v>
      </c>
      <c r="BP30" s="1">
        <v>3</v>
      </c>
      <c r="BQ30" s="1">
        <v>0</v>
      </c>
      <c r="BR30" s="1">
        <v>0</v>
      </c>
      <c r="BS30" s="1">
        <v>4</v>
      </c>
      <c r="BT30" s="1">
        <v>51</v>
      </c>
      <c r="BU30" s="1">
        <v>6</v>
      </c>
      <c r="BV30" s="1">
        <v>2</v>
      </c>
      <c r="BW30" s="1">
        <v>2</v>
      </c>
      <c r="BX30" s="1">
        <v>20</v>
      </c>
      <c r="BY30" s="1">
        <v>116</v>
      </c>
      <c r="BZ30" s="1">
        <v>14</v>
      </c>
    </row>
    <row r="31" spans="1:78">
      <c r="A31" s="16">
        <v>3</v>
      </c>
      <c r="B31" s="59" t="s">
        <v>554</v>
      </c>
      <c r="C31" s="60" t="s">
        <v>251</v>
      </c>
      <c r="D31" s="59" t="s">
        <v>547</v>
      </c>
      <c r="E31" s="59" t="s">
        <v>505</v>
      </c>
      <c r="F31" s="59" t="s">
        <v>208</v>
      </c>
      <c r="G31" s="59" t="s">
        <v>518</v>
      </c>
      <c r="H31" s="11">
        <v>15424554</v>
      </c>
      <c r="I31" s="11">
        <v>15491263</v>
      </c>
      <c r="J31" s="11">
        <v>1020714</v>
      </c>
      <c r="K31" s="52">
        <v>7416</v>
      </c>
      <c r="L31" s="52">
        <v>0</v>
      </c>
      <c r="M31" s="52">
        <v>7853913</v>
      </c>
      <c r="N31" s="52">
        <v>0</v>
      </c>
      <c r="O31" s="52">
        <v>0</v>
      </c>
      <c r="P31" s="52">
        <v>1718242</v>
      </c>
      <c r="Q31" s="52">
        <v>0</v>
      </c>
      <c r="R31" s="11">
        <v>2810034</v>
      </c>
      <c r="S31" s="11">
        <v>1009150</v>
      </c>
      <c r="T31" s="11">
        <v>66759</v>
      </c>
      <c r="U31" s="11">
        <v>17777</v>
      </c>
      <c r="V31" s="11">
        <v>14273573</v>
      </c>
      <c r="W31" s="13">
        <v>0.16250000000000001</v>
      </c>
      <c r="X31" s="11">
        <v>0</v>
      </c>
      <c r="Y31" s="26">
        <f>791843/14206814</f>
        <v>5.5736845713613203E-2</v>
      </c>
      <c r="Z31" s="11">
        <v>790282</v>
      </c>
      <c r="AA31" s="11">
        <v>0</v>
      </c>
      <c r="AB31" s="11">
        <f>63574+6508+1132</f>
        <v>71214</v>
      </c>
      <c r="AC31" s="11">
        <v>402625</v>
      </c>
      <c r="AD31" s="11">
        <v>35892</v>
      </c>
      <c r="AE31" s="11">
        <v>60312</v>
      </c>
      <c r="AF31" s="11">
        <f>119921+8147</f>
        <v>128068</v>
      </c>
      <c r="AG31" s="11">
        <v>5417</v>
      </c>
      <c r="AH31" s="11">
        <v>31010</v>
      </c>
      <c r="AI31" s="11">
        <v>875</v>
      </c>
      <c r="AJ31" s="11">
        <v>27458</v>
      </c>
      <c r="AK31" s="11">
        <f>5395+23224+20048</f>
        <v>48667</v>
      </c>
      <c r="AL31" s="11">
        <v>2404</v>
      </c>
      <c r="AM31" s="11">
        <v>0</v>
      </c>
      <c r="AN31" s="11">
        <v>1733</v>
      </c>
      <c r="AO31" s="11">
        <v>11473</v>
      </c>
      <c r="AP31" s="11">
        <v>15730</v>
      </c>
      <c r="AQ31" s="11">
        <v>0</v>
      </c>
      <c r="AR31" s="11">
        <v>803910</v>
      </c>
      <c r="AS31" s="11">
        <v>821277</v>
      </c>
      <c r="AT31" s="11">
        <v>0</v>
      </c>
      <c r="AU31" s="11">
        <v>0</v>
      </c>
      <c r="AV31" s="11">
        <v>143397</v>
      </c>
      <c r="AW31" s="11">
        <v>0</v>
      </c>
      <c r="AX31" s="11">
        <v>62352</v>
      </c>
      <c r="AY31" s="11">
        <v>0</v>
      </c>
      <c r="AZ31" s="11">
        <v>0</v>
      </c>
      <c r="BA31" s="11">
        <v>0</v>
      </c>
      <c r="BB31" s="11">
        <v>4536</v>
      </c>
      <c r="BC31" s="11">
        <v>3277</v>
      </c>
      <c r="BD31" s="11">
        <v>133</v>
      </c>
      <c r="BE31" s="11">
        <v>-15</v>
      </c>
      <c r="BF31" s="11">
        <v>-256</v>
      </c>
      <c r="BG31" s="11">
        <v>-2191</v>
      </c>
      <c r="BH31" s="11">
        <v>-627</v>
      </c>
      <c r="BI31" s="11">
        <v>0</v>
      </c>
      <c r="BJ31" s="11">
        <f t="shared" si="6"/>
        <v>4857</v>
      </c>
      <c r="BK31" s="1">
        <v>0</v>
      </c>
      <c r="BL31" s="1">
        <v>81</v>
      </c>
      <c r="BM31" s="1">
        <v>35</v>
      </c>
      <c r="BN31" s="1">
        <v>341</v>
      </c>
      <c r="BO31" s="1">
        <v>76</v>
      </c>
      <c r="BP31" s="1">
        <v>98</v>
      </c>
      <c r="BQ31" s="1">
        <v>0</v>
      </c>
      <c r="BR31" s="1">
        <v>1</v>
      </c>
      <c r="BS31" s="1">
        <v>7</v>
      </c>
      <c r="BT31" s="1">
        <v>68</v>
      </c>
      <c r="BU31" s="1">
        <v>3</v>
      </c>
      <c r="BV31" s="1">
        <v>14</v>
      </c>
      <c r="BW31" s="1">
        <v>8</v>
      </c>
      <c r="BX31" s="1">
        <v>56</v>
      </c>
      <c r="BY31" s="1">
        <v>511</v>
      </c>
      <c r="BZ31" s="1">
        <v>47</v>
      </c>
    </row>
    <row r="32" spans="1:78">
      <c r="A32" s="16">
        <v>3</v>
      </c>
      <c r="B32" s="59" t="s">
        <v>600</v>
      </c>
      <c r="C32" s="60" t="s">
        <v>339</v>
      </c>
      <c r="D32" s="59" t="s">
        <v>232</v>
      </c>
      <c r="E32" s="59" t="s">
        <v>473</v>
      </c>
      <c r="F32" s="59"/>
      <c r="G32" s="59" t="s">
        <v>468</v>
      </c>
      <c r="H32" s="11">
        <v>23754283</v>
      </c>
      <c r="I32" s="11">
        <v>23813552</v>
      </c>
      <c r="J32" s="11">
        <v>2323920</v>
      </c>
      <c r="K32" s="52">
        <v>0</v>
      </c>
      <c r="L32" s="52">
        <v>2389879</v>
      </c>
      <c r="M32" s="52">
        <v>9494464</v>
      </c>
      <c r="N32" s="52">
        <v>50367</v>
      </c>
      <c r="O32" s="52">
        <v>0</v>
      </c>
      <c r="P32" s="52">
        <v>2661021</v>
      </c>
      <c r="Q32" s="52">
        <v>0</v>
      </c>
      <c r="R32" s="11">
        <v>4448492</v>
      </c>
      <c r="S32" s="11">
        <v>1496583</v>
      </c>
      <c r="T32" s="11">
        <v>0</v>
      </c>
      <c r="U32" s="11">
        <v>0</v>
      </c>
      <c r="V32" s="11">
        <v>21566471</v>
      </c>
      <c r="W32" s="13">
        <v>0.1628</v>
      </c>
      <c r="X32" s="11">
        <v>0</v>
      </c>
      <c r="Y32" s="26">
        <f>1042764/21083817</f>
        <v>4.9458027452998668E-2</v>
      </c>
      <c r="Z32" s="11">
        <v>1025038</v>
      </c>
      <c r="AA32" s="11">
        <v>0</v>
      </c>
      <c r="AB32" s="11">
        <f>56735+875</f>
        <v>57610</v>
      </c>
      <c r="AC32" s="11">
        <v>525854</v>
      </c>
      <c r="AD32" s="11">
        <v>53276</v>
      </c>
      <c r="AE32" s="11">
        <v>60149</v>
      </c>
      <c r="AF32" s="11">
        <f>101175+6576</f>
        <v>107751</v>
      </c>
      <c r="AG32" s="11">
        <v>7165</v>
      </c>
      <c r="AH32">
        <v>20280</v>
      </c>
      <c r="AI32" s="11">
        <v>2011</v>
      </c>
      <c r="AJ32" s="11">
        <v>0</v>
      </c>
      <c r="AK32" s="11">
        <f>6466+26690+21859</f>
        <v>55015</v>
      </c>
      <c r="AL32" s="11">
        <v>9357</v>
      </c>
      <c r="AM32" s="11">
        <v>0</v>
      </c>
      <c r="AN32" s="11">
        <v>6985</v>
      </c>
      <c r="AO32" s="11">
        <v>0</v>
      </c>
      <c r="AP32" s="11">
        <v>23649</v>
      </c>
      <c r="AQ32" s="11">
        <v>2738</v>
      </c>
      <c r="AR32" s="11">
        <v>955234</v>
      </c>
      <c r="AS32" s="11">
        <v>966480</v>
      </c>
      <c r="AT32" s="11">
        <v>1048</v>
      </c>
      <c r="AU32" s="11">
        <v>0</v>
      </c>
      <c r="AV32" s="11">
        <v>143628</v>
      </c>
      <c r="AW32" s="11">
        <v>0</v>
      </c>
      <c r="AX32" s="11">
        <v>81632</v>
      </c>
      <c r="AY32" s="11">
        <v>0</v>
      </c>
      <c r="AZ32" s="11">
        <v>0</v>
      </c>
      <c r="BA32" s="11">
        <v>0</v>
      </c>
      <c r="BB32" s="11">
        <v>4612</v>
      </c>
      <c r="BC32" s="11">
        <v>3160</v>
      </c>
      <c r="BD32" s="11">
        <v>0</v>
      </c>
      <c r="BE32" s="11">
        <f>-2-234</f>
        <v>-236</v>
      </c>
      <c r="BF32" s="11">
        <v>-83</v>
      </c>
      <c r="BG32" s="11">
        <v>-2110</v>
      </c>
      <c r="BH32" s="11">
        <v>-699</v>
      </c>
      <c r="BI32" s="11">
        <v>0</v>
      </c>
      <c r="BJ32" s="11">
        <f t="shared" si="6"/>
        <v>4644</v>
      </c>
      <c r="BK32" s="1">
        <v>8</v>
      </c>
      <c r="BL32" s="1">
        <v>103</v>
      </c>
      <c r="BM32" s="1">
        <v>36</v>
      </c>
      <c r="BN32" s="1">
        <v>456</v>
      </c>
      <c r="BO32" s="1">
        <v>6</v>
      </c>
      <c r="BP32" s="1">
        <v>98</v>
      </c>
      <c r="BQ32" s="1">
        <v>0</v>
      </c>
      <c r="BR32" s="1">
        <v>1</v>
      </c>
      <c r="BS32" s="1">
        <v>9</v>
      </c>
      <c r="BT32" s="1">
        <v>25</v>
      </c>
      <c r="BU32" s="1">
        <v>3</v>
      </c>
      <c r="BV32" s="1">
        <v>5</v>
      </c>
      <c r="BW32" s="1">
        <v>7</v>
      </c>
      <c r="BX32" s="1">
        <v>80</v>
      </c>
      <c r="BY32" s="1">
        <v>392</v>
      </c>
      <c r="BZ32" s="1">
        <v>152</v>
      </c>
    </row>
    <row r="33" spans="1:78">
      <c r="A33" s="16">
        <v>3</v>
      </c>
      <c r="B33" s="59" t="s">
        <v>621</v>
      </c>
      <c r="C33" s="60" t="s">
        <v>212</v>
      </c>
      <c r="D33" s="59" t="s">
        <v>522</v>
      </c>
      <c r="E33" s="59" t="s">
        <v>505</v>
      </c>
      <c r="F33" s="59" t="s">
        <v>208</v>
      </c>
      <c r="G33" s="59" t="s">
        <v>518</v>
      </c>
      <c r="H33" s="11">
        <v>26429620</v>
      </c>
      <c r="I33" s="11">
        <v>26569465</v>
      </c>
      <c r="J33" s="11">
        <v>2707811</v>
      </c>
      <c r="K33" s="52">
        <v>0</v>
      </c>
      <c r="L33" s="52">
        <v>2789359</v>
      </c>
      <c r="M33" s="52">
        <v>0</v>
      </c>
      <c r="N33" s="52">
        <v>11743003</v>
      </c>
      <c r="O33" s="52">
        <v>0</v>
      </c>
      <c r="P33" s="52">
        <v>1898754</v>
      </c>
      <c r="Q33" s="52">
        <v>0</v>
      </c>
      <c r="R33" s="11">
        <v>4282483</v>
      </c>
      <c r="S33" s="11">
        <v>1634959</v>
      </c>
      <c r="T33" s="11">
        <v>110605</v>
      </c>
      <c r="U33" s="11">
        <v>0</v>
      </c>
      <c r="V33" s="11">
        <v>23585977</v>
      </c>
      <c r="W33" s="13">
        <v>0.2</v>
      </c>
      <c r="X33" s="11">
        <v>0</v>
      </c>
      <c r="Y33" s="26">
        <f>1126818/23475372</f>
        <v>4.80000061340881E-2</v>
      </c>
      <c r="Z33" s="11">
        <v>1126814</v>
      </c>
      <c r="AA33" s="11">
        <v>0</v>
      </c>
      <c r="AB33" s="11">
        <f>131866+14384+1072</f>
        <v>147322</v>
      </c>
      <c r="AC33" s="11">
        <v>643582</v>
      </c>
      <c r="AD33" s="11">
        <v>52521</v>
      </c>
      <c r="AE33" s="11">
        <v>160154</v>
      </c>
      <c r="AF33" s="11">
        <v>123234</v>
      </c>
      <c r="AG33" s="11">
        <v>2156</v>
      </c>
      <c r="AH33" s="11">
        <v>52400</v>
      </c>
      <c r="AI33" s="11">
        <v>0</v>
      </c>
      <c r="AJ33" s="11">
        <v>43471</v>
      </c>
      <c r="AK33" s="11">
        <f>7692+33585+30013</f>
        <v>71290</v>
      </c>
      <c r="AL33" s="11">
        <v>5945</v>
      </c>
      <c r="AM33" s="11">
        <v>0</v>
      </c>
      <c r="AN33" s="11">
        <v>1166</v>
      </c>
      <c r="AO33" s="11">
        <v>6384</v>
      </c>
      <c r="AP33" s="11">
        <v>43599</v>
      </c>
      <c r="AQ33" s="11">
        <v>0</v>
      </c>
      <c r="AR33" s="11">
        <v>1257546</v>
      </c>
      <c r="AS33" s="11">
        <v>1260874</v>
      </c>
      <c r="AT33" s="11">
        <v>0</v>
      </c>
      <c r="AU33" s="11">
        <v>0</v>
      </c>
      <c r="AV33" s="11">
        <v>143628</v>
      </c>
      <c r="AW33" s="11">
        <v>0</v>
      </c>
      <c r="AX33" s="11">
        <v>111781</v>
      </c>
      <c r="AY33" s="11">
        <v>0</v>
      </c>
      <c r="AZ33" s="11">
        <v>0</v>
      </c>
      <c r="BA33" s="11">
        <v>0</v>
      </c>
      <c r="BB33" s="11">
        <v>9010</v>
      </c>
      <c r="BC33" s="11">
        <v>6254</v>
      </c>
      <c r="BD33" s="11">
        <v>213</v>
      </c>
      <c r="BE33" s="11">
        <f>14+42-4</f>
        <v>52</v>
      </c>
      <c r="BF33" s="11">
        <v>-274</v>
      </c>
      <c r="BG33" s="11">
        <v>-5180</v>
      </c>
      <c r="BH33" s="11">
        <v>-946</v>
      </c>
      <c r="BI33" s="11">
        <v>-3</v>
      </c>
      <c r="BJ33" s="11">
        <f t="shared" si="6"/>
        <v>9126</v>
      </c>
      <c r="BK33" s="1">
        <v>4</v>
      </c>
      <c r="BL33" s="1">
        <v>126</v>
      </c>
      <c r="BM33" s="1">
        <v>59</v>
      </c>
      <c r="BN33" s="1">
        <v>556</v>
      </c>
      <c r="BO33" s="1">
        <v>190</v>
      </c>
      <c r="BP33" s="1">
        <v>15</v>
      </c>
      <c r="BQ33" s="1">
        <v>2</v>
      </c>
      <c r="BR33" s="1">
        <v>1</v>
      </c>
      <c r="BS33" s="1">
        <v>17</v>
      </c>
      <c r="BT33" s="1">
        <v>64</v>
      </c>
      <c r="BU33" s="1">
        <v>1</v>
      </c>
      <c r="BV33" s="1">
        <v>36</v>
      </c>
      <c r="BW33" s="1">
        <v>19</v>
      </c>
      <c r="BX33" s="1">
        <v>132</v>
      </c>
      <c r="BY33" s="1">
        <v>1378</v>
      </c>
      <c r="BZ33" s="1">
        <v>53</v>
      </c>
    </row>
    <row r="34" spans="1:78">
      <c r="A34" s="16">
        <v>3</v>
      </c>
      <c r="B34" s="59" t="s">
        <v>706</v>
      </c>
      <c r="C34" s="60" t="s">
        <v>579</v>
      </c>
      <c r="D34" s="59" t="s">
        <v>525</v>
      </c>
      <c r="E34" s="59" t="s">
        <v>505</v>
      </c>
      <c r="F34" s="59" t="s">
        <v>694</v>
      </c>
      <c r="G34" s="59" t="s">
        <v>518</v>
      </c>
      <c r="H34" s="11">
        <v>31984278</v>
      </c>
      <c r="I34" s="11">
        <v>32131305</v>
      </c>
      <c r="J34" s="11">
        <v>1165801</v>
      </c>
      <c r="K34" s="52">
        <v>15960486</v>
      </c>
      <c r="L34" s="52">
        <v>2112583</v>
      </c>
      <c r="M34" s="52">
        <v>4935847</v>
      </c>
      <c r="N34" s="52">
        <v>0</v>
      </c>
      <c r="O34" s="52">
        <v>22410</v>
      </c>
      <c r="P34" s="52">
        <v>1933190</v>
      </c>
      <c r="Q34" s="52">
        <v>0</v>
      </c>
      <c r="R34" s="11">
        <v>2887199</v>
      </c>
      <c r="S34" s="11">
        <v>1082252</v>
      </c>
      <c r="T34" s="11">
        <v>7191</v>
      </c>
      <c r="U34" s="11">
        <v>0</v>
      </c>
      <c r="V34" s="11">
        <v>29984425</v>
      </c>
      <c r="W34" s="13">
        <v>0.13270000000000001</v>
      </c>
      <c r="X34" s="11">
        <v>0</v>
      </c>
      <c r="Y34" s="26">
        <f>976918/29813160</f>
        <v>3.2768012515278486E-2</v>
      </c>
      <c r="Z34" s="11">
        <v>977430</v>
      </c>
      <c r="AA34" s="11">
        <v>0</v>
      </c>
      <c r="AB34" s="11">
        <f>138233+11551+4418</f>
        <v>154202</v>
      </c>
      <c r="AC34" s="11">
        <v>502477</v>
      </c>
      <c r="AD34" s="11">
        <v>42092</v>
      </c>
      <c r="AE34" s="11">
        <v>75849</v>
      </c>
      <c r="AF34" s="11">
        <f>160685+1826</f>
        <v>162511</v>
      </c>
      <c r="AG34" s="11">
        <v>5518</v>
      </c>
      <c r="AH34" s="11">
        <v>29651</v>
      </c>
      <c r="AI34" s="11">
        <v>668</v>
      </c>
      <c r="AJ34" s="11">
        <v>0</v>
      </c>
      <c r="AK34" s="11">
        <f>13168+21882+44859</f>
        <v>79909</v>
      </c>
      <c r="AL34" s="11">
        <v>12981</v>
      </c>
      <c r="AM34" s="11">
        <v>0</v>
      </c>
      <c r="AN34" s="11">
        <v>1324</v>
      </c>
      <c r="AO34" s="11">
        <v>2555</v>
      </c>
      <c r="AP34" s="11">
        <v>13110</v>
      </c>
      <c r="AQ34" s="11">
        <v>0</v>
      </c>
      <c r="AR34" s="11">
        <v>984554</v>
      </c>
      <c r="AS34" s="11">
        <v>1020416</v>
      </c>
      <c r="AT34" s="11">
        <v>0</v>
      </c>
      <c r="AU34" s="11">
        <v>0</v>
      </c>
      <c r="AV34" s="11">
        <v>143628</v>
      </c>
      <c r="AW34" s="11">
        <v>0</v>
      </c>
      <c r="AX34" s="11">
        <v>116543</v>
      </c>
      <c r="AY34" s="11">
        <v>0</v>
      </c>
      <c r="AZ34" s="11">
        <v>0</v>
      </c>
      <c r="BA34" s="11">
        <v>0</v>
      </c>
      <c r="BB34" s="11">
        <v>3273</v>
      </c>
      <c r="BC34" s="11">
        <f>2132+1</f>
        <v>2133</v>
      </c>
      <c r="BD34" s="11">
        <v>0</v>
      </c>
      <c r="BE34" s="11">
        <f>45-1</f>
        <v>44</v>
      </c>
      <c r="BF34" s="11">
        <v>-366</v>
      </c>
      <c r="BG34" s="11">
        <v>-1034</v>
      </c>
      <c r="BH34" s="11">
        <v>-180</v>
      </c>
      <c r="BI34" s="11">
        <v>-2</v>
      </c>
      <c r="BJ34" s="11">
        <f t="shared" si="6"/>
        <v>3868</v>
      </c>
      <c r="BK34" s="1">
        <v>15</v>
      </c>
      <c r="BL34" s="1">
        <v>67</v>
      </c>
      <c r="BM34" s="1">
        <v>23</v>
      </c>
      <c r="BN34" s="1">
        <v>60</v>
      </c>
      <c r="BO34" s="1">
        <v>26</v>
      </c>
      <c r="BP34" s="1">
        <v>4</v>
      </c>
      <c r="BQ34" s="1">
        <v>41</v>
      </c>
      <c r="BR34" s="1">
        <v>17</v>
      </c>
      <c r="BS34" s="1">
        <v>59</v>
      </c>
      <c r="BT34" s="1">
        <v>67</v>
      </c>
      <c r="BU34" s="1">
        <v>1</v>
      </c>
      <c r="BV34" s="1">
        <v>177</v>
      </c>
      <c r="BW34" s="1">
        <v>28</v>
      </c>
      <c r="BX34" s="1">
        <v>136</v>
      </c>
      <c r="BY34" s="1">
        <v>143</v>
      </c>
      <c r="BZ34" s="1">
        <v>10</v>
      </c>
    </row>
    <row r="35" spans="1:78">
      <c r="A35" s="16">
        <v>3</v>
      </c>
      <c r="B35" s="59" t="s">
        <v>708</v>
      </c>
      <c r="C35" s="60" t="s">
        <v>569</v>
      </c>
      <c r="D35" s="59" t="s">
        <v>407</v>
      </c>
      <c r="E35" s="59" t="s">
        <v>473</v>
      </c>
      <c r="F35" s="59"/>
      <c r="G35" s="59" t="s">
        <v>468</v>
      </c>
      <c r="H35" s="11">
        <v>33405634</v>
      </c>
      <c r="I35" s="11">
        <v>33499765</v>
      </c>
      <c r="J35" s="11">
        <v>1736512</v>
      </c>
      <c r="K35" s="52">
        <v>0</v>
      </c>
      <c r="L35" s="52">
        <v>14514870</v>
      </c>
      <c r="M35" s="52">
        <v>3108251</v>
      </c>
      <c r="N35" s="52">
        <v>0</v>
      </c>
      <c r="O35" s="52">
        <v>0</v>
      </c>
      <c r="P35" s="52">
        <v>3683199</v>
      </c>
      <c r="Q35" s="52">
        <v>0</v>
      </c>
      <c r="R35" s="11">
        <v>5419729</v>
      </c>
      <c r="S35" s="11">
        <v>1956444</v>
      </c>
      <c r="T35" s="11">
        <v>0</v>
      </c>
      <c r="U35" s="11">
        <v>0</v>
      </c>
      <c r="V35" s="11">
        <v>30551569</v>
      </c>
      <c r="W35" s="13">
        <v>0.1268130999</v>
      </c>
      <c r="X35" s="11">
        <v>0</v>
      </c>
      <c r="Y35" s="26">
        <f>1414917/30104614</f>
        <v>4.7000004716884924E-2</v>
      </c>
      <c r="Z35" s="11">
        <v>1414850</v>
      </c>
      <c r="AA35" s="11">
        <v>0</v>
      </c>
      <c r="AB35" s="11">
        <f>85725+15742+4123</f>
        <v>105590</v>
      </c>
      <c r="AC35" s="11">
        <v>668528</v>
      </c>
      <c r="AD35" s="11">
        <v>55438</v>
      </c>
      <c r="AE35" s="11">
        <v>108768</v>
      </c>
      <c r="AF35" s="11">
        <f>142930+11776</f>
        <v>154706</v>
      </c>
      <c r="AG35" s="11">
        <v>6858</v>
      </c>
      <c r="AH35" s="11">
        <v>29993</v>
      </c>
      <c r="AI35" s="11">
        <v>3208</v>
      </c>
      <c r="AJ35" s="11">
        <v>0</v>
      </c>
      <c r="AK35" s="11">
        <f>11324+61050+36304</f>
        <v>108678</v>
      </c>
      <c r="AL35" s="11">
        <v>6140</v>
      </c>
      <c r="AM35" s="11">
        <v>0</v>
      </c>
      <c r="AN35" s="11">
        <v>1717</v>
      </c>
      <c r="AO35" s="11">
        <v>38710</v>
      </c>
      <c r="AP35" s="11">
        <v>17197</v>
      </c>
      <c r="AQ35" s="11">
        <v>0</v>
      </c>
      <c r="AR35" s="11">
        <v>1262226</v>
      </c>
      <c r="AS35" s="11">
        <v>1291167</v>
      </c>
      <c r="AT35" s="11">
        <v>0</v>
      </c>
      <c r="AU35" s="11">
        <v>0</v>
      </c>
      <c r="AV35" s="11">
        <v>143628</v>
      </c>
      <c r="AW35" s="11">
        <v>0</v>
      </c>
      <c r="AX35" s="11">
        <v>212735</v>
      </c>
      <c r="AY35" s="11">
        <v>0</v>
      </c>
      <c r="AZ35" s="11">
        <v>0</v>
      </c>
      <c r="BA35" s="11">
        <v>0</v>
      </c>
      <c r="BB35" s="11">
        <v>8131</v>
      </c>
      <c r="BC35" s="11">
        <v>5083</v>
      </c>
      <c r="BD35" s="11">
        <v>220</v>
      </c>
      <c r="BE35" s="11">
        <f>52-3</f>
        <v>49</v>
      </c>
      <c r="BF35" s="11">
        <v>-296</v>
      </c>
      <c r="BG35" s="11">
        <v>-3549</v>
      </c>
      <c r="BH35" s="11">
        <v>-1181</v>
      </c>
      <c r="BI35" s="11">
        <v>0</v>
      </c>
      <c r="BJ35" s="11">
        <f t="shared" si="6"/>
        <v>8457</v>
      </c>
      <c r="BK35" s="1">
        <v>32</v>
      </c>
      <c r="BL35" s="1">
        <v>92</v>
      </c>
      <c r="BM35" s="1">
        <v>57</v>
      </c>
      <c r="BN35" s="1">
        <v>471</v>
      </c>
      <c r="BO35" s="1">
        <v>60</v>
      </c>
      <c r="BP35" s="1">
        <v>497</v>
      </c>
      <c r="BQ35" s="1">
        <v>0</v>
      </c>
      <c r="BR35" s="1">
        <v>1</v>
      </c>
      <c r="BS35" s="1">
        <v>8</v>
      </c>
      <c r="BT35" s="1">
        <v>27</v>
      </c>
      <c r="BU35" s="1">
        <v>93</v>
      </c>
      <c r="BV35" s="1">
        <v>2</v>
      </c>
      <c r="BW35" s="1">
        <v>10</v>
      </c>
      <c r="BX35" s="1">
        <v>81</v>
      </c>
      <c r="BY35" s="1">
        <v>254</v>
      </c>
      <c r="BZ35" s="1">
        <v>843</v>
      </c>
    </row>
    <row r="36" spans="1:78">
      <c r="A36" s="16">
        <v>4</v>
      </c>
      <c r="B36" s="59" t="s">
        <v>92</v>
      </c>
      <c r="C36" s="60" t="s">
        <v>651</v>
      </c>
      <c r="D36" s="59" t="s">
        <v>380</v>
      </c>
      <c r="E36" s="59" t="s">
        <v>420</v>
      </c>
      <c r="F36" s="59"/>
      <c r="G36" s="59" t="s">
        <v>415</v>
      </c>
      <c r="H36" s="11">
        <v>10050447</v>
      </c>
      <c r="I36" s="11">
        <v>10225159</v>
      </c>
      <c r="J36" s="11">
        <v>651170</v>
      </c>
      <c r="K36" s="52">
        <v>0</v>
      </c>
      <c r="L36" s="52">
        <v>3789644</v>
      </c>
      <c r="M36" s="52">
        <v>0</v>
      </c>
      <c r="N36" s="52">
        <v>0</v>
      </c>
      <c r="O36" s="52">
        <v>0</v>
      </c>
      <c r="P36" s="52">
        <v>980263</v>
      </c>
      <c r="Q36" s="52">
        <v>0</v>
      </c>
      <c r="R36" s="11">
        <v>2449693</v>
      </c>
      <c r="S36" s="11">
        <v>269063</v>
      </c>
      <c r="T36" s="11">
        <v>7287</v>
      </c>
      <c r="U36" s="11">
        <v>0</v>
      </c>
      <c r="V36" s="11">
        <v>8229416</v>
      </c>
      <c r="W36" s="13">
        <v>0.16139999999999999</v>
      </c>
      <c r="X36" s="11">
        <v>0</v>
      </c>
      <c r="Y36" s="26">
        <f>733466/8222129</f>
        <v>8.9206335731292954E-2</v>
      </c>
      <c r="Z36" s="11">
        <v>733466</v>
      </c>
      <c r="AA36" s="11">
        <v>0</v>
      </c>
      <c r="AB36" s="11">
        <f>25593+466</f>
        <v>26059</v>
      </c>
      <c r="AC36" s="11">
        <v>272330</v>
      </c>
      <c r="AD36" s="11">
        <v>24192</v>
      </c>
      <c r="AE36" s="11">
        <v>24824</v>
      </c>
      <c r="AF36" s="11">
        <v>59049</v>
      </c>
      <c r="AG36" s="11">
        <v>31501</v>
      </c>
      <c r="AH36" s="11">
        <v>33668</v>
      </c>
      <c r="AI36" s="11">
        <v>308</v>
      </c>
      <c r="AJ36" s="11">
        <v>0</v>
      </c>
      <c r="AK36" s="11">
        <f>5118+17424+11363</f>
        <v>33905</v>
      </c>
      <c r="AL36" s="11">
        <v>753</v>
      </c>
      <c r="AM36" s="11">
        <v>100</v>
      </c>
      <c r="AN36" s="11">
        <v>0</v>
      </c>
      <c r="AO36" s="11">
        <v>6060</v>
      </c>
      <c r="AP36" s="11">
        <v>9884</v>
      </c>
      <c r="AQ36" s="11">
        <v>0</v>
      </c>
      <c r="AR36" s="11">
        <v>523428</v>
      </c>
      <c r="AS36" s="11">
        <v>617748</v>
      </c>
      <c r="AT36" s="11">
        <v>0</v>
      </c>
      <c r="AU36" s="11">
        <v>0</v>
      </c>
      <c r="AV36" s="11">
        <v>143628</v>
      </c>
      <c r="AW36" s="11">
        <v>0</v>
      </c>
      <c r="AX36" s="11">
        <v>125968</v>
      </c>
      <c r="AY36" s="11">
        <v>36985</v>
      </c>
      <c r="AZ36" s="11">
        <v>36985</v>
      </c>
      <c r="BA36" s="11">
        <v>0</v>
      </c>
      <c r="BB36" s="11">
        <v>1984</v>
      </c>
      <c r="BC36" s="11">
        <v>2372</v>
      </c>
      <c r="BD36" s="11">
        <v>0</v>
      </c>
      <c r="BE36" s="11">
        <v>-4</v>
      </c>
      <c r="BF36" s="11">
        <v>-223</v>
      </c>
      <c r="BG36" s="11">
        <v>-620</v>
      </c>
      <c r="BH36" s="11">
        <v>-407</v>
      </c>
      <c r="BI36" s="11">
        <v>-2</v>
      </c>
      <c r="BJ36" s="11">
        <f t="shared" si="6"/>
        <v>3100</v>
      </c>
      <c r="BK36" s="1">
        <v>21</v>
      </c>
      <c r="BL36" s="1">
        <v>99</v>
      </c>
      <c r="BM36" s="1">
        <v>49</v>
      </c>
      <c r="BN36" s="1">
        <v>228</v>
      </c>
      <c r="BO36" s="1">
        <v>5</v>
      </c>
      <c r="BP36" s="1">
        <v>0</v>
      </c>
      <c r="BQ36" s="1">
        <v>1</v>
      </c>
      <c r="BR36" s="1">
        <v>2</v>
      </c>
      <c r="BS36" s="1">
        <v>8</v>
      </c>
      <c r="BT36" s="1">
        <v>89</v>
      </c>
      <c r="BU36" s="1">
        <v>0</v>
      </c>
      <c r="BV36" s="1">
        <v>0</v>
      </c>
      <c r="BW36" s="1">
        <v>2</v>
      </c>
      <c r="BX36" s="1">
        <v>15</v>
      </c>
      <c r="BY36" s="1">
        <v>91</v>
      </c>
      <c r="BZ36" s="1">
        <v>0</v>
      </c>
    </row>
    <row r="37" spans="1:78">
      <c r="A37" s="16">
        <v>4</v>
      </c>
      <c r="B37" s="59" t="s">
        <v>105</v>
      </c>
      <c r="C37" s="60" t="s">
        <v>293</v>
      </c>
      <c r="D37" s="59" t="s">
        <v>273</v>
      </c>
      <c r="E37" s="59" t="s">
        <v>599</v>
      </c>
      <c r="F37" s="59"/>
      <c r="G37" s="59" t="s">
        <v>616</v>
      </c>
      <c r="H37" s="11">
        <v>9557885</v>
      </c>
      <c r="I37" s="11">
        <v>9574408</v>
      </c>
      <c r="J37" s="11">
        <v>256678</v>
      </c>
      <c r="K37" s="52">
        <v>0</v>
      </c>
      <c r="L37" s="52">
        <v>3307857</v>
      </c>
      <c r="M37" s="52">
        <v>2099445</v>
      </c>
      <c r="N37" s="52">
        <v>0</v>
      </c>
      <c r="O37" s="52">
        <v>0</v>
      </c>
      <c r="P37" s="52">
        <v>495915</v>
      </c>
      <c r="Q37" s="52">
        <v>0</v>
      </c>
      <c r="R37" s="11">
        <v>1950327</v>
      </c>
      <c r="S37" s="11">
        <v>601229</v>
      </c>
      <c r="T37" s="11">
        <v>0</v>
      </c>
      <c r="U37" s="11">
        <v>0</v>
      </c>
      <c r="V37" s="11">
        <v>8880641</v>
      </c>
      <c r="W37" s="13">
        <v>0.17199999999999999</v>
      </c>
      <c r="X37" s="11">
        <v>0</v>
      </c>
      <c r="Y37" s="26">
        <f>426685/8880541</f>
        <v>4.8047185413591355E-2</v>
      </c>
      <c r="Z37" s="11">
        <v>425768</v>
      </c>
      <c r="AA37" s="11">
        <v>0</v>
      </c>
      <c r="AB37" s="11">
        <f>16523+1081</f>
        <v>17604</v>
      </c>
      <c r="AC37" s="11">
        <v>152706</v>
      </c>
      <c r="AD37" s="11">
        <v>13874</v>
      </c>
      <c r="AE37" s="11">
        <v>17660</v>
      </c>
      <c r="AF37" s="11">
        <v>27354</v>
      </c>
      <c r="AG37" s="11">
        <v>769</v>
      </c>
      <c r="AH37" s="11">
        <v>19866</v>
      </c>
      <c r="AI37" s="11">
        <v>308</v>
      </c>
      <c r="AJ37" s="11">
        <v>0</v>
      </c>
      <c r="AK37" s="11">
        <f>9804+16659+18311</f>
        <v>44774</v>
      </c>
      <c r="AL37" s="11">
        <v>7716</v>
      </c>
      <c r="AM37" s="11">
        <v>1780</v>
      </c>
      <c r="AN37" s="11">
        <v>0</v>
      </c>
      <c r="AO37" s="11">
        <v>499</v>
      </c>
      <c r="AP37" s="11">
        <v>7971</v>
      </c>
      <c r="AQ37" s="11">
        <v>0</v>
      </c>
      <c r="AR37" s="11">
        <v>331801</v>
      </c>
      <c r="AS37" s="11">
        <v>358759</v>
      </c>
      <c r="AT37" s="11">
        <v>0</v>
      </c>
      <c r="AU37" s="11">
        <v>0</v>
      </c>
      <c r="AV37" s="11">
        <v>143628</v>
      </c>
      <c r="AW37" s="11">
        <v>0</v>
      </c>
      <c r="AX37" s="11">
        <v>24409</v>
      </c>
      <c r="AY37" s="11">
        <v>0</v>
      </c>
      <c r="AZ37" s="11">
        <v>0</v>
      </c>
      <c r="BA37" s="11">
        <v>0</v>
      </c>
      <c r="BB37" s="11">
        <v>1696</v>
      </c>
      <c r="BC37" s="11">
        <v>1252</v>
      </c>
      <c r="BD37" s="11">
        <v>7</v>
      </c>
      <c r="BE37" s="11">
        <f>4-1</f>
        <v>3</v>
      </c>
      <c r="BF37" s="11">
        <v>-85</v>
      </c>
      <c r="BG37" s="11">
        <v>-582</v>
      </c>
      <c r="BH37" s="11">
        <v>-85</v>
      </c>
      <c r="BI37" s="11">
        <v>-4</v>
      </c>
      <c r="BJ37" s="11">
        <f t="shared" si="6"/>
        <v>2202</v>
      </c>
      <c r="BK37" s="1">
        <v>0</v>
      </c>
      <c r="BL37" s="1">
        <v>69</v>
      </c>
      <c r="BM37" s="1">
        <v>5</v>
      </c>
      <c r="BN37" s="1">
        <v>5</v>
      </c>
      <c r="BO37" s="1">
        <v>0</v>
      </c>
      <c r="BP37" s="1">
        <v>6</v>
      </c>
      <c r="BQ37" s="1">
        <v>3</v>
      </c>
      <c r="BR37" s="1">
        <v>1</v>
      </c>
      <c r="BS37" s="1">
        <v>17</v>
      </c>
      <c r="BT37" s="1">
        <v>50</v>
      </c>
      <c r="BU37" s="1">
        <v>1</v>
      </c>
      <c r="BV37" s="1">
        <v>5</v>
      </c>
      <c r="BW37" s="1">
        <v>6</v>
      </c>
      <c r="BX37" s="1">
        <v>62</v>
      </c>
      <c r="BY37" s="1">
        <v>385</v>
      </c>
      <c r="BZ37" s="1">
        <v>35</v>
      </c>
    </row>
    <row r="38" spans="1:78">
      <c r="A38" s="16">
        <v>4</v>
      </c>
      <c r="B38" s="59" t="s">
        <v>152</v>
      </c>
      <c r="C38" s="60" t="s">
        <v>548</v>
      </c>
      <c r="D38" s="59" t="s">
        <v>568</v>
      </c>
      <c r="E38" s="59" t="s">
        <v>674</v>
      </c>
      <c r="F38" s="59" t="s">
        <v>694</v>
      </c>
      <c r="G38" s="59" t="s">
        <v>680</v>
      </c>
      <c r="H38" s="11">
        <v>6076435</v>
      </c>
      <c r="I38" s="11">
        <v>6080124</v>
      </c>
      <c r="J38" s="11">
        <v>90739</v>
      </c>
      <c r="K38" s="52">
        <v>91874</v>
      </c>
      <c r="L38" s="52">
        <v>268161</v>
      </c>
      <c r="M38" s="52">
        <v>1806378</v>
      </c>
      <c r="N38" s="52">
        <v>0</v>
      </c>
      <c r="O38" s="52">
        <v>0</v>
      </c>
      <c r="P38" s="52">
        <v>261568</v>
      </c>
      <c r="Q38" s="52">
        <v>0</v>
      </c>
      <c r="R38" s="11">
        <v>2269518</v>
      </c>
      <c r="S38" s="11">
        <v>575128</v>
      </c>
      <c r="T38" s="11">
        <v>0</v>
      </c>
      <c r="U38" s="11">
        <v>0</v>
      </c>
      <c r="V38" s="11">
        <v>5802847</v>
      </c>
      <c r="W38" s="13">
        <v>0.13600000000000001</v>
      </c>
      <c r="X38" s="11">
        <v>0</v>
      </c>
      <c r="Y38" s="26">
        <f>497901/5802849</f>
        <v>8.5802853046839572E-2</v>
      </c>
      <c r="Z38" s="11">
        <v>497442</v>
      </c>
      <c r="AA38" s="11">
        <v>0</v>
      </c>
      <c r="AB38" s="11">
        <f>3214+358+304</f>
        <v>3876</v>
      </c>
      <c r="AC38" s="11">
        <v>146765</v>
      </c>
      <c r="AD38" s="11">
        <v>8490</v>
      </c>
      <c r="AE38" s="11">
        <v>21924</v>
      </c>
      <c r="AF38" s="11">
        <v>24434</v>
      </c>
      <c r="AG38" s="11">
        <v>3189</v>
      </c>
      <c r="AH38" s="11">
        <v>15657</v>
      </c>
      <c r="AI38" s="11">
        <v>32961</v>
      </c>
      <c r="AJ38" s="11">
        <v>0</v>
      </c>
      <c r="AK38" s="11">
        <f>6767+10477+14883</f>
        <v>32127</v>
      </c>
      <c r="AL38" s="11">
        <v>6530</v>
      </c>
      <c r="AM38" s="11">
        <v>1055</v>
      </c>
      <c r="AN38" s="11">
        <v>0</v>
      </c>
      <c r="AO38" s="11">
        <v>4012</v>
      </c>
      <c r="AP38" s="11">
        <v>29357</v>
      </c>
      <c r="AQ38" s="11">
        <v>0</v>
      </c>
      <c r="AR38" s="11">
        <v>359181</v>
      </c>
      <c r="AS38" s="11">
        <v>384101</v>
      </c>
      <c r="AT38" s="11">
        <v>0</v>
      </c>
      <c r="AU38" s="11">
        <v>0</v>
      </c>
      <c r="AV38" s="11">
        <v>143628</v>
      </c>
      <c r="AW38" s="11">
        <v>0</v>
      </c>
      <c r="AX38" s="11">
        <v>37871</v>
      </c>
      <c r="AY38" s="11">
        <v>0</v>
      </c>
      <c r="AZ38" s="11">
        <v>0</v>
      </c>
      <c r="BA38" s="11">
        <v>0</v>
      </c>
      <c r="BB38" s="11">
        <v>1733</v>
      </c>
      <c r="BC38" s="11">
        <v>776</v>
      </c>
      <c r="BD38" s="11">
        <v>33</v>
      </c>
      <c r="BE38" s="11">
        <v>0</v>
      </c>
      <c r="BF38" s="11">
        <v>-154</v>
      </c>
      <c r="BG38" s="11">
        <v>-273</v>
      </c>
      <c r="BH38" s="11">
        <v>-187</v>
      </c>
      <c r="BI38" s="11">
        <v>0</v>
      </c>
      <c r="BJ38" s="11">
        <f t="shared" si="6"/>
        <v>1928</v>
      </c>
      <c r="BK38" s="1">
        <v>0</v>
      </c>
      <c r="BL38" s="1">
        <v>53</v>
      </c>
      <c r="BM38" s="1">
        <v>23</v>
      </c>
      <c r="BN38" s="1">
        <v>102</v>
      </c>
      <c r="BO38" s="1">
        <v>4</v>
      </c>
      <c r="BP38" s="1">
        <v>5</v>
      </c>
      <c r="BQ38" s="1">
        <v>2</v>
      </c>
      <c r="BR38" s="1">
        <v>8</v>
      </c>
      <c r="BS38" s="1">
        <v>23</v>
      </c>
      <c r="BT38" s="1">
        <v>78</v>
      </c>
      <c r="BU38" s="1">
        <v>1</v>
      </c>
      <c r="BV38" s="1">
        <v>4</v>
      </c>
      <c r="BW38" s="1">
        <v>4</v>
      </c>
      <c r="BX38" s="1">
        <v>25</v>
      </c>
      <c r="BY38" s="1">
        <v>72</v>
      </c>
      <c r="BZ38" s="1">
        <v>7</v>
      </c>
    </row>
    <row r="39" spans="1:78">
      <c r="A39" s="16">
        <v>4</v>
      </c>
      <c r="B39" s="59" t="s">
        <v>158</v>
      </c>
      <c r="C39" s="60" t="s">
        <v>217</v>
      </c>
      <c r="D39" s="59" t="s">
        <v>61</v>
      </c>
      <c r="E39" s="59" t="s">
        <v>420</v>
      </c>
      <c r="F39" s="59"/>
      <c r="G39" s="59" t="s">
        <v>415</v>
      </c>
      <c r="H39" s="11">
        <v>23431365</v>
      </c>
      <c r="I39" s="11">
        <v>23459710</v>
      </c>
      <c r="J39" s="11">
        <v>2234980</v>
      </c>
      <c r="K39" s="52">
        <v>0</v>
      </c>
      <c r="L39" s="52">
        <v>6586237</v>
      </c>
      <c r="M39" s="52">
        <v>4210873</v>
      </c>
      <c r="N39" s="52">
        <v>0</v>
      </c>
      <c r="O39" s="52">
        <v>0</v>
      </c>
      <c r="P39" s="52">
        <v>1906801</v>
      </c>
      <c r="Q39" s="52">
        <v>0</v>
      </c>
      <c r="R39" s="11">
        <v>8629028</v>
      </c>
      <c r="S39" s="11">
        <v>1708655</v>
      </c>
      <c r="T39" s="11">
        <v>48505</v>
      </c>
      <c r="U39" s="11">
        <v>0</v>
      </c>
      <c r="V39" s="11">
        <v>24065759</v>
      </c>
      <c r="W39" s="13">
        <v>0.11</v>
      </c>
      <c r="X39" s="11">
        <v>0</v>
      </c>
      <c r="Y39" s="26">
        <f>975848/24017254</f>
        <v>4.0631122941865043E-2</v>
      </c>
      <c r="Z39" s="11">
        <v>974968</v>
      </c>
      <c r="AA39" s="11">
        <v>0</v>
      </c>
      <c r="AB39" s="11">
        <f>22156+2884+1876</f>
        <v>26916</v>
      </c>
      <c r="AC39" s="11">
        <v>520571</v>
      </c>
      <c r="AD39" s="11">
        <v>41905</v>
      </c>
      <c r="AE39" s="11">
        <v>83776</v>
      </c>
      <c r="AF39" s="11">
        <v>101890</v>
      </c>
      <c r="AG39" s="11">
        <v>36924</v>
      </c>
      <c r="AH39" s="11">
        <v>37582</v>
      </c>
      <c r="AI39" s="11">
        <v>15505</v>
      </c>
      <c r="AJ39" s="11">
        <v>3033</v>
      </c>
      <c r="AK39" s="11">
        <f>7740+28707+28722</f>
        <v>65169</v>
      </c>
      <c r="AL39" s="11">
        <v>9551</v>
      </c>
      <c r="AM39" s="11">
        <v>1052</v>
      </c>
      <c r="AN39" s="11">
        <v>0</v>
      </c>
      <c r="AO39" s="11">
        <v>15881</v>
      </c>
      <c r="AP39" s="11">
        <v>11299</v>
      </c>
      <c r="AQ39" s="11">
        <v>0</v>
      </c>
      <c r="AR39" s="11">
        <v>994512</v>
      </c>
      <c r="AS39" s="11">
        <v>1010880</v>
      </c>
      <c r="AT39" s="11">
        <v>0</v>
      </c>
      <c r="AU39" s="11">
        <v>0</v>
      </c>
      <c r="AV39" s="11">
        <v>143628</v>
      </c>
      <c r="AW39" s="11">
        <v>0</v>
      </c>
      <c r="AX39" s="11">
        <v>114810</v>
      </c>
      <c r="AY39" s="11">
        <v>0</v>
      </c>
      <c r="AZ39" s="11">
        <v>0</v>
      </c>
      <c r="BA39" s="11">
        <v>0</v>
      </c>
      <c r="BB39" s="11">
        <v>6997</v>
      </c>
      <c r="BC39" s="11">
        <v>2855</v>
      </c>
      <c r="BD39" s="11">
        <v>0</v>
      </c>
      <c r="BE39" s="11">
        <v>0</v>
      </c>
      <c r="BF39" s="11">
        <v>-615</v>
      </c>
      <c r="BG39" s="11">
        <v>-1923</v>
      </c>
      <c r="BH39" s="11">
        <v>-651</v>
      </c>
      <c r="BI39" s="11">
        <v>-49</v>
      </c>
      <c r="BJ39" s="11">
        <f t="shared" si="6"/>
        <v>6614</v>
      </c>
      <c r="BK39" s="1">
        <v>5</v>
      </c>
      <c r="BL39" s="1">
        <v>282</v>
      </c>
      <c r="BM39" s="1">
        <v>69</v>
      </c>
      <c r="BN39" s="1">
        <v>181</v>
      </c>
      <c r="BO39" s="1">
        <v>0</v>
      </c>
      <c r="BP39" s="1">
        <v>119</v>
      </c>
      <c r="BQ39" s="1">
        <v>107</v>
      </c>
      <c r="BR39" s="1">
        <v>58</v>
      </c>
      <c r="BS39" s="1">
        <v>0</v>
      </c>
      <c r="BT39" s="1">
        <v>0</v>
      </c>
      <c r="BU39" s="1">
        <v>0</v>
      </c>
      <c r="BV39" s="1">
        <v>323</v>
      </c>
      <c r="BW39" s="1">
        <v>80</v>
      </c>
      <c r="BX39" s="1">
        <v>194</v>
      </c>
      <c r="BY39" s="1">
        <v>0</v>
      </c>
      <c r="BZ39" s="1">
        <v>35</v>
      </c>
    </row>
    <row r="40" spans="1:78">
      <c r="A40" s="16">
        <v>4</v>
      </c>
      <c r="B40" s="59" t="s">
        <v>268</v>
      </c>
      <c r="C40" s="60" t="s">
        <v>338</v>
      </c>
      <c r="D40" s="59" t="s">
        <v>266</v>
      </c>
      <c r="E40" s="59" t="s">
        <v>420</v>
      </c>
      <c r="F40" s="59"/>
      <c r="G40" s="59" t="s">
        <v>415</v>
      </c>
      <c r="H40" s="11">
        <v>8522992</v>
      </c>
      <c r="I40" s="11">
        <v>8542862</v>
      </c>
      <c r="J40" s="11">
        <v>560090</v>
      </c>
      <c r="K40" s="52">
        <v>0</v>
      </c>
      <c r="L40" s="52">
        <v>1427390</v>
      </c>
      <c r="M40" s="52">
        <v>912594</v>
      </c>
      <c r="N40" s="52">
        <v>0</v>
      </c>
      <c r="O40" s="52">
        <v>0</v>
      </c>
      <c r="P40" s="52">
        <v>481035</v>
      </c>
      <c r="Q40" s="52">
        <v>0</v>
      </c>
      <c r="R40" s="11">
        <v>2965651</v>
      </c>
      <c r="S40" s="11">
        <v>635484</v>
      </c>
      <c r="T40" s="11">
        <v>16596</v>
      </c>
      <c r="U40" s="11">
        <v>0</v>
      </c>
      <c r="V40" s="11">
        <v>7027037</v>
      </c>
      <c r="W40" s="13">
        <v>0.15790000000000001</v>
      </c>
      <c r="X40" s="11">
        <v>0</v>
      </c>
      <c r="Y40" s="26">
        <f>584454/7010440</f>
        <v>8.3369089529330545E-2</v>
      </c>
      <c r="Z40" s="11">
        <v>588287</v>
      </c>
      <c r="AA40" s="11">
        <v>0</v>
      </c>
      <c r="AB40" s="11">
        <f>16258+892+1023</f>
        <v>18173</v>
      </c>
      <c r="AC40" s="11">
        <v>183706</v>
      </c>
      <c r="AD40" s="11">
        <v>14054</v>
      </c>
      <c r="AE40" s="11">
        <v>38526</v>
      </c>
      <c r="AF40" s="11">
        <v>56304</v>
      </c>
      <c r="AG40" s="11">
        <v>36107</v>
      </c>
      <c r="AH40" s="11">
        <v>30842</v>
      </c>
      <c r="AI40" s="11">
        <v>8536</v>
      </c>
      <c r="AJ40" s="11">
        <v>0</v>
      </c>
      <c r="AK40" s="11">
        <f>8481+13585+27486</f>
        <v>49552</v>
      </c>
      <c r="AL40" s="11">
        <v>6401</v>
      </c>
      <c r="AM40" s="11">
        <v>172</v>
      </c>
      <c r="AN40" s="11"/>
      <c r="AO40" s="11">
        <v>9528</v>
      </c>
      <c r="AP40" s="11">
        <v>13697</v>
      </c>
      <c r="AQ40" s="11">
        <v>0</v>
      </c>
      <c r="AR40" s="11">
        <v>489569</v>
      </c>
      <c r="AS40" s="11">
        <v>492897</v>
      </c>
      <c r="AT40" s="11">
        <v>0</v>
      </c>
      <c r="AU40" s="11">
        <v>0</v>
      </c>
      <c r="AV40" s="11">
        <v>143628</v>
      </c>
      <c r="AW40" s="11">
        <v>0</v>
      </c>
      <c r="AX40" s="11">
        <v>63227</v>
      </c>
      <c r="AY40" s="11">
        <v>0</v>
      </c>
      <c r="AZ40" s="11">
        <v>0</v>
      </c>
      <c r="BA40" s="11">
        <v>0</v>
      </c>
      <c r="BB40" s="11">
        <v>2204</v>
      </c>
      <c r="BC40" s="11">
        <v>2752</v>
      </c>
      <c r="BD40" s="11">
        <v>0</v>
      </c>
      <c r="BE40" s="11">
        <v>0</v>
      </c>
      <c r="BF40" s="11">
        <v>-192</v>
      </c>
      <c r="BG40" s="11">
        <v>-456</v>
      </c>
      <c r="BH40" s="11">
        <v>-394</v>
      </c>
      <c r="BI40" s="11">
        <v>-1</v>
      </c>
      <c r="BJ40" s="11">
        <f t="shared" si="6"/>
        <v>3913</v>
      </c>
      <c r="BK40" s="1">
        <v>16</v>
      </c>
      <c r="BL40" s="1">
        <v>136</v>
      </c>
      <c r="BM40" s="1">
        <v>60</v>
      </c>
      <c r="BN40" s="1">
        <v>159</v>
      </c>
      <c r="BO40" s="1">
        <v>0</v>
      </c>
      <c r="BP40" s="1">
        <v>39</v>
      </c>
      <c r="BQ40" s="1">
        <v>3</v>
      </c>
      <c r="BR40" s="1">
        <v>1</v>
      </c>
      <c r="BS40" s="1">
        <v>3</v>
      </c>
      <c r="BT40" s="1">
        <v>3</v>
      </c>
      <c r="BU40" s="1">
        <v>0</v>
      </c>
      <c r="BV40" s="1">
        <v>15</v>
      </c>
      <c r="BW40" s="1">
        <v>3</v>
      </c>
      <c r="BX40" s="1">
        <v>5</v>
      </c>
      <c r="BY40" s="1">
        <v>5</v>
      </c>
      <c r="BZ40" s="1">
        <v>0</v>
      </c>
    </row>
    <row r="41" spans="1:78">
      <c r="A41" s="16">
        <v>4</v>
      </c>
      <c r="B41" s="59" t="s">
        <v>270</v>
      </c>
      <c r="C41" s="60" t="s">
        <v>345</v>
      </c>
      <c r="D41" s="59" t="s">
        <v>144</v>
      </c>
      <c r="E41" s="59" t="s">
        <v>599</v>
      </c>
      <c r="F41" s="59"/>
      <c r="G41" s="59" t="s">
        <v>616</v>
      </c>
      <c r="H41" s="11">
        <v>24146670</v>
      </c>
      <c r="I41" s="11">
        <v>24182234</v>
      </c>
      <c r="J41" s="11">
        <v>478882</v>
      </c>
      <c r="K41" s="52">
        <v>0</v>
      </c>
      <c r="L41" s="52">
        <v>2445846</v>
      </c>
      <c r="M41" s="52">
        <v>11433961</v>
      </c>
      <c r="N41" s="52">
        <v>0</v>
      </c>
      <c r="O41" s="52">
        <v>0</v>
      </c>
      <c r="P41" s="52">
        <v>1293639</v>
      </c>
      <c r="Q41" s="52">
        <v>0</v>
      </c>
      <c r="R41" s="11">
        <v>6208271</v>
      </c>
      <c r="S41" s="11">
        <v>867010</v>
      </c>
      <c r="T41" s="11">
        <v>0</v>
      </c>
      <c r="U41" s="11">
        <v>0</v>
      </c>
      <c r="V41" s="11">
        <v>23103399</v>
      </c>
      <c r="W41" s="13">
        <v>0.11269999999999999</v>
      </c>
      <c r="X41" s="11">
        <v>0</v>
      </c>
      <c r="Y41" s="26">
        <f>853974/23102289</f>
        <v>3.6964908542179521E-2</v>
      </c>
      <c r="Z41" s="11">
        <v>853452</v>
      </c>
      <c r="AA41" s="11">
        <v>0</v>
      </c>
      <c r="AB41" s="11">
        <f>35564+630</f>
        <v>36194</v>
      </c>
      <c r="AC41" s="11">
        <v>321453</v>
      </c>
      <c r="AD41" s="11">
        <v>26022</v>
      </c>
      <c r="AE41" s="11">
        <v>61512</v>
      </c>
      <c r="AF41" s="11">
        <f>76441+618</f>
        <v>77059</v>
      </c>
      <c r="AG41" s="11">
        <v>1665</v>
      </c>
      <c r="AH41" s="11">
        <v>36780</v>
      </c>
      <c r="AI41" s="11">
        <v>1894</v>
      </c>
      <c r="AJ41" s="11">
        <v>0</v>
      </c>
      <c r="AK41" s="11">
        <f>8918+34833+29419</f>
        <v>73170</v>
      </c>
      <c r="AL41" s="11">
        <v>6737</v>
      </c>
      <c r="AM41" s="11">
        <v>1041</v>
      </c>
      <c r="AN41" s="11">
        <v>0</v>
      </c>
      <c r="AO41" s="11">
        <v>0</v>
      </c>
      <c r="AP41" s="11">
        <v>66709</v>
      </c>
      <c r="AQ41" s="11">
        <v>0</v>
      </c>
      <c r="AR41" s="11">
        <v>756093</v>
      </c>
      <c r="AS41" s="11">
        <v>842173</v>
      </c>
      <c r="AT41" s="11">
        <v>0</v>
      </c>
      <c r="AU41" s="11">
        <v>0</v>
      </c>
      <c r="AV41" s="11">
        <v>143628</v>
      </c>
      <c r="AW41" s="11">
        <v>0</v>
      </c>
      <c r="AX41" s="11">
        <v>87512</v>
      </c>
      <c r="AY41" s="11">
        <v>0</v>
      </c>
      <c r="AZ41" s="11">
        <v>0</v>
      </c>
      <c r="BA41" s="11">
        <v>0</v>
      </c>
      <c r="BB41" s="11">
        <v>5731</v>
      </c>
      <c r="BC41" s="11">
        <v>1818</v>
      </c>
      <c r="BD41" s="11">
        <v>45</v>
      </c>
      <c r="BE41" s="11">
        <v>18</v>
      </c>
      <c r="BF41" s="11">
        <v>-77</v>
      </c>
      <c r="BG41" s="11">
        <v>-1076</v>
      </c>
      <c r="BH41" s="11">
        <v>-1068</v>
      </c>
      <c r="BI41" s="11">
        <v>-22</v>
      </c>
      <c r="BJ41" s="11">
        <f t="shared" si="6"/>
        <v>5369</v>
      </c>
      <c r="BK41" s="1">
        <v>3</v>
      </c>
      <c r="BL41" s="1">
        <v>248</v>
      </c>
      <c r="BM41" s="1">
        <v>132</v>
      </c>
      <c r="BN41" s="1">
        <v>688</v>
      </c>
      <c r="BO41" s="1">
        <v>0</v>
      </c>
      <c r="BP41" s="1">
        <v>0</v>
      </c>
      <c r="BQ41" s="1">
        <v>0</v>
      </c>
      <c r="BR41" s="1">
        <v>0</v>
      </c>
      <c r="BS41" s="1">
        <v>36</v>
      </c>
      <c r="BT41" s="1">
        <v>32</v>
      </c>
      <c r="BU41" s="1">
        <v>0</v>
      </c>
      <c r="BV41" s="1">
        <v>57</v>
      </c>
      <c r="BW41" s="1">
        <v>28</v>
      </c>
      <c r="BX41" s="1">
        <v>202</v>
      </c>
      <c r="BY41" s="1">
        <v>700</v>
      </c>
      <c r="BZ41" s="1">
        <v>53</v>
      </c>
    </row>
    <row r="42" spans="1:78">
      <c r="A42" s="16">
        <v>4</v>
      </c>
      <c r="B42" s="59" t="s">
        <v>310</v>
      </c>
      <c r="C42" s="60" t="s">
        <v>569</v>
      </c>
      <c r="D42" s="59" t="s">
        <v>564</v>
      </c>
      <c r="E42" s="59" t="s">
        <v>674</v>
      </c>
      <c r="F42" s="59" t="s">
        <v>208</v>
      </c>
      <c r="G42" s="59" t="s">
        <v>680</v>
      </c>
      <c r="H42" s="11">
        <v>28096401</v>
      </c>
      <c r="I42" s="11">
        <v>25154854</v>
      </c>
      <c r="J42" s="11">
        <v>823712</v>
      </c>
      <c r="K42" s="52">
        <v>1753804</v>
      </c>
      <c r="L42" s="52">
        <v>0</v>
      </c>
      <c r="M42" s="52">
        <v>11569442</v>
      </c>
      <c r="N42" s="52">
        <v>0</v>
      </c>
      <c r="O42" s="52">
        <v>139317</v>
      </c>
      <c r="P42" s="52">
        <v>2069750</v>
      </c>
      <c r="Q42" s="52">
        <v>0</v>
      </c>
      <c r="R42" s="11">
        <v>8165158</v>
      </c>
      <c r="S42" s="11">
        <v>2456060</v>
      </c>
      <c r="T42" s="11">
        <v>7550</v>
      </c>
      <c r="U42" s="11">
        <v>0</v>
      </c>
      <c r="V42" s="11">
        <v>26969858</v>
      </c>
      <c r="W42" s="13">
        <v>6.3200000000000006E-2</v>
      </c>
      <c r="X42" s="11">
        <v>0</v>
      </c>
      <c r="Y42" s="26">
        <f>808869/26962308</f>
        <v>2.9999991098684876E-2</v>
      </c>
      <c r="Z42" s="11">
        <v>808777</v>
      </c>
      <c r="AA42" s="11">
        <v>0</v>
      </c>
      <c r="AB42" s="11">
        <f>56921+6226+1069</f>
        <v>64216</v>
      </c>
      <c r="AC42" s="11">
        <v>334436</v>
      </c>
      <c r="AD42" s="11">
        <v>25249</v>
      </c>
      <c r="AE42" s="11">
        <v>80973</v>
      </c>
      <c r="AF42" s="11">
        <v>72567</v>
      </c>
      <c r="AG42" s="11">
        <v>13585</v>
      </c>
      <c r="AH42" s="11">
        <v>54609</v>
      </c>
      <c r="AI42" s="11">
        <v>0</v>
      </c>
      <c r="AJ42" s="11">
        <v>0</v>
      </c>
      <c r="AK42" s="11">
        <f>14444+37551+36326</f>
        <v>88321</v>
      </c>
      <c r="AL42" s="11">
        <v>3827</v>
      </c>
      <c r="AM42" s="11">
        <v>0</v>
      </c>
      <c r="AN42" s="11">
        <v>0</v>
      </c>
      <c r="AO42" s="11">
        <v>10417</v>
      </c>
      <c r="AP42" s="11">
        <v>14329</v>
      </c>
      <c r="AQ42" s="11">
        <v>44349</v>
      </c>
      <c r="AR42" s="11">
        <v>750769</v>
      </c>
      <c r="AS42" s="11">
        <v>873743</v>
      </c>
      <c r="AT42" s="11">
        <v>1134</v>
      </c>
      <c r="AU42" s="11">
        <v>0</v>
      </c>
      <c r="AV42" s="11">
        <v>143628</v>
      </c>
      <c r="AW42" s="11">
        <v>0</v>
      </c>
      <c r="AX42" s="11">
        <v>99594</v>
      </c>
      <c r="AY42" s="11">
        <v>0</v>
      </c>
      <c r="AZ42" s="11">
        <v>0</v>
      </c>
      <c r="BA42" s="11">
        <v>0</v>
      </c>
      <c r="BB42" s="11">
        <v>6325</v>
      </c>
      <c r="BC42" s="11">
        <v>2969</v>
      </c>
      <c r="BD42" s="11">
        <v>0</v>
      </c>
      <c r="BE42" s="11">
        <v>0</v>
      </c>
      <c r="BF42" s="11">
        <v>-244</v>
      </c>
      <c r="BG42" s="11">
        <v>-1366</v>
      </c>
      <c r="BH42" s="11">
        <v>-859</v>
      </c>
      <c r="BI42" s="11">
        <v>-2</v>
      </c>
      <c r="BJ42" s="11">
        <f t="shared" si="6"/>
        <v>6823</v>
      </c>
      <c r="BK42" s="1">
        <v>16</v>
      </c>
      <c r="BL42" s="1">
        <v>328</v>
      </c>
      <c r="BM42" s="1">
        <v>124</v>
      </c>
      <c r="BN42" s="1">
        <v>346</v>
      </c>
      <c r="BO42" s="1">
        <v>0</v>
      </c>
      <c r="BP42" s="1">
        <v>61</v>
      </c>
      <c r="BQ42" s="52">
        <v>0</v>
      </c>
      <c r="BR42" s="52">
        <v>0</v>
      </c>
      <c r="BS42" s="52">
        <v>0</v>
      </c>
      <c r="BT42" s="52">
        <v>0</v>
      </c>
      <c r="BU42" s="52">
        <v>0</v>
      </c>
      <c r="BV42" s="52">
        <v>28</v>
      </c>
      <c r="BW42" s="52">
        <v>31</v>
      </c>
      <c r="BX42" s="52">
        <v>222</v>
      </c>
      <c r="BY42" s="52">
        <v>632</v>
      </c>
      <c r="BZ42" s="52">
        <v>54</v>
      </c>
    </row>
    <row r="43" spans="1:78">
      <c r="A43" s="16">
        <v>4</v>
      </c>
      <c r="B43" s="59" t="s">
        <v>372</v>
      </c>
      <c r="C43" s="60" t="s">
        <v>649</v>
      </c>
      <c r="D43" s="59" t="s">
        <v>88</v>
      </c>
      <c r="E43" s="59" t="s">
        <v>420</v>
      </c>
      <c r="F43" s="59"/>
      <c r="G43" s="59" t="s">
        <v>415</v>
      </c>
      <c r="H43" s="11">
        <v>26338658</v>
      </c>
      <c r="I43" s="11">
        <v>26457130</v>
      </c>
      <c r="J43" s="11">
        <v>2344843</v>
      </c>
      <c r="K43" s="52">
        <v>0</v>
      </c>
      <c r="L43" s="52">
        <v>19550</v>
      </c>
      <c r="M43" s="52">
        <v>2001</v>
      </c>
      <c r="N43" s="52">
        <v>12794812</v>
      </c>
      <c r="O43" s="52">
        <v>0</v>
      </c>
      <c r="P43" s="52">
        <v>3657077</v>
      </c>
      <c r="Q43" s="52">
        <v>0</v>
      </c>
      <c r="R43" s="11">
        <v>6521938</v>
      </c>
      <c r="S43" s="11">
        <v>880694</v>
      </c>
      <c r="T43" s="11">
        <v>30600</v>
      </c>
      <c r="U43" s="11">
        <v>0</v>
      </c>
      <c r="V43" s="11">
        <v>24874235</v>
      </c>
      <c r="W43" s="13">
        <v>7.8E-2</v>
      </c>
      <c r="X43" s="11">
        <v>0</v>
      </c>
      <c r="Y43" s="26">
        <f>958909/24843635</f>
        <v>3.859777363497733E-2</v>
      </c>
      <c r="Z43" s="11">
        <v>967563</v>
      </c>
      <c r="AA43" s="11">
        <v>0</v>
      </c>
      <c r="AB43" s="11">
        <f>115601+13018+2488</f>
        <v>131107</v>
      </c>
      <c r="AC43" s="11">
        <v>477154</v>
      </c>
      <c r="AD43" s="11">
        <v>33788</v>
      </c>
      <c r="AE43" s="11">
        <v>99394</v>
      </c>
      <c r="AF43" s="11">
        <v>114615</v>
      </c>
      <c r="AG43" s="11">
        <v>39036</v>
      </c>
      <c r="AH43" s="11">
        <v>39974</v>
      </c>
      <c r="AI43" s="11">
        <v>12536</v>
      </c>
      <c r="AJ43" s="11">
        <v>147</v>
      </c>
      <c r="AK43" s="11">
        <f>15482+26802+30097</f>
        <v>72381</v>
      </c>
      <c r="AL43" s="11">
        <v>9337</v>
      </c>
      <c r="AM43" s="11">
        <v>826</v>
      </c>
      <c r="AN43" s="11">
        <v>0</v>
      </c>
      <c r="AO43" s="11">
        <v>3771</v>
      </c>
      <c r="AP43" s="11">
        <v>17375</v>
      </c>
      <c r="AQ43" s="11">
        <v>0</v>
      </c>
      <c r="AR43" s="11">
        <v>999992</v>
      </c>
      <c r="AS43" s="11">
        <v>1027744</v>
      </c>
      <c r="AT43" s="11">
        <v>15072</v>
      </c>
      <c r="AU43" s="11">
        <v>0</v>
      </c>
      <c r="AV43" s="11">
        <v>143628</v>
      </c>
      <c r="AW43" s="11">
        <v>0</v>
      </c>
      <c r="AX43" s="11">
        <v>137805</v>
      </c>
      <c r="AY43" s="11">
        <v>0</v>
      </c>
      <c r="AZ43" s="11">
        <v>0</v>
      </c>
      <c r="BA43" s="11">
        <v>0</v>
      </c>
      <c r="BB43" s="11">
        <v>6682</v>
      </c>
      <c r="BC43" s="11">
        <v>2713</v>
      </c>
      <c r="BD43" s="11">
        <v>0</v>
      </c>
      <c r="BE43" s="11">
        <v>30</v>
      </c>
      <c r="BF43" s="11">
        <v>-733</v>
      </c>
      <c r="BG43" s="11">
        <v>-1941</v>
      </c>
      <c r="BH43" s="11">
        <v>-506</v>
      </c>
      <c r="BI43" s="11">
        <v>-3</v>
      </c>
      <c r="BJ43" s="11">
        <f t="shared" si="6"/>
        <v>6242</v>
      </c>
      <c r="BK43" s="1">
        <v>7</v>
      </c>
      <c r="BL43" s="1">
        <v>167</v>
      </c>
      <c r="BM43" s="1">
        <v>61</v>
      </c>
      <c r="BN43" s="1">
        <v>222</v>
      </c>
      <c r="BO43" s="1">
        <v>2</v>
      </c>
      <c r="BP43" s="1">
        <v>54</v>
      </c>
      <c r="BQ43" s="1">
        <v>2</v>
      </c>
      <c r="BR43" s="1">
        <v>4</v>
      </c>
      <c r="BS43" s="1">
        <v>41</v>
      </c>
      <c r="BT43" s="1">
        <v>322</v>
      </c>
      <c r="BU43" s="1">
        <v>364</v>
      </c>
      <c r="BV43" s="1">
        <v>17</v>
      </c>
      <c r="BW43" s="1">
        <v>10</v>
      </c>
      <c r="BX43" s="1">
        <v>60</v>
      </c>
      <c r="BY43" s="1">
        <v>654</v>
      </c>
      <c r="BZ43" s="1">
        <v>1200</v>
      </c>
    </row>
    <row r="44" spans="1:78">
      <c r="A44" s="16">
        <v>4</v>
      </c>
      <c r="B44" s="1" t="s">
        <v>448</v>
      </c>
      <c r="C44" s="62" t="s">
        <v>293</v>
      </c>
      <c r="D44" s="1" t="s">
        <v>124</v>
      </c>
      <c r="E44" s="1" t="s">
        <v>711</v>
      </c>
      <c r="F44" s="59" t="s">
        <v>480</v>
      </c>
      <c r="G44" s="59" t="s">
        <v>693</v>
      </c>
      <c r="H44" s="11">
        <v>7048152</v>
      </c>
      <c r="I44" s="11">
        <v>7071398</v>
      </c>
      <c r="J44" s="11">
        <v>285908</v>
      </c>
      <c r="K44" s="52">
        <v>307921</v>
      </c>
      <c r="L44" s="52">
        <v>296441</v>
      </c>
      <c r="M44" s="52">
        <v>2749205</v>
      </c>
      <c r="N44" s="52">
        <v>0</v>
      </c>
      <c r="O44" s="52">
        <v>0</v>
      </c>
      <c r="P44" s="52">
        <v>1226244</v>
      </c>
      <c r="Q44" s="52">
        <v>0</v>
      </c>
      <c r="R44" s="11">
        <v>1434423</v>
      </c>
      <c r="S44" s="11">
        <v>336885</v>
      </c>
      <c r="T44" s="11">
        <v>616</v>
      </c>
      <c r="U44" s="11">
        <v>0</v>
      </c>
      <c r="V44" s="11">
        <v>6828131</v>
      </c>
      <c r="W44" s="13">
        <v>0.08</v>
      </c>
      <c r="X44" s="11">
        <v>322227</v>
      </c>
      <c r="Y44" s="26">
        <f>474886/6505287</f>
        <v>7.3000007532334849E-2</v>
      </c>
      <c r="Z44" s="11">
        <v>436376</v>
      </c>
      <c r="AA44" s="11">
        <v>0</v>
      </c>
      <c r="AB44" s="11">
        <f>22553+2423+407</f>
        <v>25383</v>
      </c>
      <c r="AC44" s="11">
        <v>146405</v>
      </c>
      <c r="AD44" s="11">
        <v>14589</v>
      </c>
      <c r="AE44" s="11">
        <v>34595</v>
      </c>
      <c r="AF44" s="11">
        <v>25065</v>
      </c>
      <c r="AG44" s="11">
        <v>4422</v>
      </c>
      <c r="AH44" s="11">
        <v>12177</v>
      </c>
      <c r="AI44" s="11">
        <v>0</v>
      </c>
      <c r="AJ44" s="11">
        <v>5159</v>
      </c>
      <c r="AK44" s="11">
        <f>7800+17975+15095</f>
        <v>40870</v>
      </c>
      <c r="AL44" s="11">
        <v>7745</v>
      </c>
      <c r="AM44" s="11">
        <v>1901</v>
      </c>
      <c r="AN44" s="11">
        <v>312</v>
      </c>
      <c r="AO44" s="11">
        <v>12087</v>
      </c>
      <c r="AP44" s="11">
        <v>1248</v>
      </c>
      <c r="AQ44" s="11">
        <v>0</v>
      </c>
      <c r="AR44" s="11">
        <v>339183</v>
      </c>
      <c r="AS44" s="11">
        <v>361278</v>
      </c>
      <c r="AT44" s="11">
        <v>0</v>
      </c>
      <c r="AU44" s="11">
        <v>0</v>
      </c>
      <c r="AV44" s="11">
        <v>143628</v>
      </c>
      <c r="AW44" s="11">
        <v>0</v>
      </c>
      <c r="AX44" s="11">
        <v>25672</v>
      </c>
      <c r="AY44" s="11">
        <v>0</v>
      </c>
      <c r="AZ44" s="11">
        <v>0</v>
      </c>
      <c r="BA44" s="11">
        <v>0</v>
      </c>
      <c r="BB44" s="11">
        <v>1423</v>
      </c>
      <c r="BC44" s="11">
        <v>545</v>
      </c>
      <c r="BD44" s="11">
        <v>61</v>
      </c>
      <c r="BE44" s="11">
        <f>1-55</f>
        <v>-54</v>
      </c>
      <c r="BF44" s="11">
        <v>-170</v>
      </c>
      <c r="BG44" s="11">
        <v>-140</v>
      </c>
      <c r="BH44" s="11">
        <v>-265</v>
      </c>
      <c r="BI44" s="11">
        <v>-10</v>
      </c>
      <c r="BJ44" s="11">
        <f t="shared" ref="BJ44:BJ75" si="7">SUM(BB44:BI44)</f>
        <v>1390</v>
      </c>
      <c r="BK44" s="1">
        <v>15</v>
      </c>
      <c r="BL44" s="1">
        <v>37</v>
      </c>
      <c r="BM44" s="1">
        <v>39</v>
      </c>
      <c r="BN44" s="1">
        <v>181</v>
      </c>
      <c r="BO44" s="1">
        <v>2</v>
      </c>
      <c r="BP44" s="1">
        <v>8</v>
      </c>
      <c r="BQ44" s="1">
        <v>1</v>
      </c>
      <c r="BR44" s="1">
        <v>0</v>
      </c>
      <c r="BS44" s="1">
        <v>28</v>
      </c>
      <c r="BT44" s="1">
        <v>48</v>
      </c>
      <c r="BU44" s="1">
        <v>93</v>
      </c>
      <c r="BV44" s="1">
        <v>0</v>
      </c>
      <c r="BW44" s="1">
        <v>5</v>
      </c>
      <c r="BX44" s="1">
        <v>27</v>
      </c>
      <c r="BY44" s="1">
        <v>25</v>
      </c>
      <c r="BZ44" s="1">
        <v>1</v>
      </c>
    </row>
    <row r="45" spans="1:78">
      <c r="A45" s="16">
        <v>4</v>
      </c>
      <c r="B45" s="59" t="s">
        <v>463</v>
      </c>
      <c r="C45" s="60" t="s">
        <v>262</v>
      </c>
      <c r="D45" s="59" t="s">
        <v>530</v>
      </c>
      <c r="E45" s="59" t="s">
        <v>674</v>
      </c>
      <c r="F45" s="59" t="s">
        <v>208</v>
      </c>
      <c r="G45" s="59" t="s">
        <v>680</v>
      </c>
      <c r="H45" s="11">
        <v>16829977</v>
      </c>
      <c r="I45" s="11">
        <v>16870078</v>
      </c>
      <c r="J45" s="11">
        <v>418837</v>
      </c>
      <c r="K45" s="52">
        <v>6201</v>
      </c>
      <c r="L45" s="52">
        <v>85922</v>
      </c>
      <c r="M45" s="52">
        <v>8237345</v>
      </c>
      <c r="N45" s="52">
        <v>0</v>
      </c>
      <c r="O45" s="52">
        <v>0</v>
      </c>
      <c r="P45" s="52">
        <v>1167893</v>
      </c>
      <c r="Q45" s="52">
        <v>0</v>
      </c>
      <c r="R45" s="11">
        <v>4291893</v>
      </c>
      <c r="S45" s="11">
        <v>1421639</v>
      </c>
      <c r="T45" s="11">
        <v>0</v>
      </c>
      <c r="U45" s="11">
        <v>0</v>
      </c>
      <c r="V45" s="11">
        <v>16148086</v>
      </c>
      <c r="W45" s="13">
        <v>3.73E-2</v>
      </c>
      <c r="X45" s="11">
        <v>0</v>
      </c>
      <c r="Y45" s="26">
        <f>1022321/16038365</f>
        <v>6.374222060665162E-2</v>
      </c>
      <c r="Z45" s="11">
        <v>999754</v>
      </c>
      <c r="AA45" s="11">
        <v>0</v>
      </c>
      <c r="AB45" s="11">
        <f>36806+4219</f>
        <v>41025</v>
      </c>
      <c r="AC45" s="11">
        <v>414890</v>
      </c>
      <c r="AD45" s="11">
        <v>32731</v>
      </c>
      <c r="AE45" s="11">
        <v>59521</v>
      </c>
      <c r="AF45" s="11">
        <v>65658</v>
      </c>
      <c r="AG45" s="11">
        <v>4828</v>
      </c>
      <c r="AH45" s="11">
        <v>27841</v>
      </c>
      <c r="AI45" s="11">
        <v>6750</v>
      </c>
      <c r="AJ45" s="11">
        <v>13735</v>
      </c>
      <c r="AK45" s="11">
        <f>13334+34775+34316</f>
        <v>82425</v>
      </c>
      <c r="AL45" s="11">
        <v>13329</v>
      </c>
      <c r="AM45" s="11">
        <v>2195</v>
      </c>
      <c r="AN45" s="11">
        <v>0</v>
      </c>
      <c r="AO45" s="11">
        <v>1047</v>
      </c>
      <c r="AP45" s="11">
        <v>76129</v>
      </c>
      <c r="AQ45" s="11">
        <v>0</v>
      </c>
      <c r="AR45" s="11">
        <v>864443</v>
      </c>
      <c r="AS45" s="11">
        <v>896339</v>
      </c>
      <c r="AT45" s="11">
        <v>2178</v>
      </c>
      <c r="AU45" s="11">
        <v>0</v>
      </c>
      <c r="AV45" s="11">
        <v>143628</v>
      </c>
      <c r="AW45" s="11">
        <v>0</v>
      </c>
      <c r="AX45" s="11">
        <v>122621</v>
      </c>
      <c r="AY45" s="11">
        <v>0</v>
      </c>
      <c r="AZ45" s="11">
        <v>0</v>
      </c>
      <c r="BA45" s="11">
        <v>0</v>
      </c>
      <c r="BB45" s="11">
        <v>3917</v>
      </c>
      <c r="BC45" s="3">
        <v>1850</v>
      </c>
      <c r="BD45" s="14">
        <v>0</v>
      </c>
      <c r="BE45" s="25">
        <f>1-360</f>
        <v>-359</v>
      </c>
      <c r="BF45" s="11">
        <v>-230</v>
      </c>
      <c r="BG45" s="11">
        <v>-797</v>
      </c>
      <c r="BH45" s="11">
        <v>-612</v>
      </c>
      <c r="BI45" s="11">
        <v>-5</v>
      </c>
      <c r="BJ45" s="11">
        <f t="shared" si="7"/>
        <v>3764</v>
      </c>
      <c r="BK45" s="1">
        <v>1</v>
      </c>
      <c r="BL45" s="1">
        <v>157</v>
      </c>
      <c r="BM45" s="1">
        <v>74</v>
      </c>
      <c r="BN45" s="1">
        <v>366</v>
      </c>
      <c r="BO45" s="1">
        <v>1</v>
      </c>
      <c r="BP45" s="1">
        <v>0</v>
      </c>
      <c r="BQ45" s="1">
        <v>2</v>
      </c>
      <c r="BR45" s="1">
        <v>7</v>
      </c>
      <c r="BS45" s="1">
        <v>44</v>
      </c>
      <c r="BT45" s="1">
        <v>114</v>
      </c>
      <c r="BU45" s="1">
        <v>0</v>
      </c>
      <c r="BV45" s="1">
        <v>9</v>
      </c>
      <c r="BW45" s="1">
        <v>10</v>
      </c>
      <c r="BX45" s="1">
        <v>78</v>
      </c>
      <c r="BY45" s="1">
        <v>333</v>
      </c>
      <c r="BZ45" s="1">
        <v>0</v>
      </c>
    </row>
    <row r="46" spans="1:78">
      <c r="A46" s="16">
        <v>4</v>
      </c>
      <c r="B46" s="59" t="s">
        <v>472</v>
      </c>
      <c r="C46" s="60" t="s">
        <v>164</v>
      </c>
      <c r="D46" s="59" t="s">
        <v>685</v>
      </c>
      <c r="E46" s="59" t="s">
        <v>172</v>
      </c>
      <c r="F46" s="59"/>
      <c r="G46" s="59" t="s">
        <v>200</v>
      </c>
      <c r="H46" s="3">
        <v>5854304</v>
      </c>
      <c r="I46" s="11">
        <v>5860280</v>
      </c>
      <c r="J46" s="11">
        <v>265312</v>
      </c>
      <c r="K46" s="52">
        <v>101442</v>
      </c>
      <c r="L46" s="52">
        <v>631106</v>
      </c>
      <c r="M46" s="52">
        <v>558572</v>
      </c>
      <c r="N46" s="52">
        <v>1444905</v>
      </c>
      <c r="O46" s="52">
        <v>900</v>
      </c>
      <c r="P46" s="52">
        <v>403177</v>
      </c>
      <c r="Q46" s="52">
        <v>226445</v>
      </c>
      <c r="R46" s="11">
        <v>1604347</v>
      </c>
      <c r="S46" s="11">
        <v>171654</v>
      </c>
      <c r="T46" s="11">
        <v>0</v>
      </c>
      <c r="U46" s="11">
        <v>0</v>
      </c>
      <c r="V46" s="11">
        <v>5655512</v>
      </c>
      <c r="W46" s="13">
        <v>0.1163</v>
      </c>
      <c r="X46" s="11">
        <v>0</v>
      </c>
      <c r="Y46" s="26">
        <f>506516/5655512</f>
        <v>8.956147560114805E-2</v>
      </c>
      <c r="Z46" s="11">
        <v>507974</v>
      </c>
      <c r="AA46" s="11">
        <v>0</v>
      </c>
      <c r="AB46" s="11">
        <f>5976+130</f>
        <v>6106</v>
      </c>
      <c r="AC46" s="11">
        <v>134324</v>
      </c>
      <c r="AD46" s="11">
        <v>11675</v>
      </c>
      <c r="AE46" s="11">
        <v>18537</v>
      </c>
      <c r="AF46" s="11">
        <f>39600+2443</f>
        <v>42043</v>
      </c>
      <c r="AG46" s="11">
        <v>23283</v>
      </c>
      <c r="AH46" s="11">
        <v>61029</v>
      </c>
      <c r="AI46" s="11">
        <v>0</v>
      </c>
      <c r="AJ46" s="11">
        <v>0</v>
      </c>
      <c r="AK46" s="11">
        <f>7922+8136+10913</f>
        <v>26971</v>
      </c>
      <c r="AL46" s="11">
        <v>3131</v>
      </c>
      <c r="AM46" s="11">
        <v>0</v>
      </c>
      <c r="AN46" s="11">
        <v>0</v>
      </c>
      <c r="AO46" s="11">
        <v>1247</v>
      </c>
      <c r="AP46" s="11">
        <v>0</v>
      </c>
      <c r="AQ46" s="11">
        <v>0</v>
      </c>
      <c r="AR46" s="11">
        <v>360244</v>
      </c>
      <c r="AS46" s="11">
        <v>384577</v>
      </c>
      <c r="AT46" s="11">
        <v>0</v>
      </c>
      <c r="AU46" s="11">
        <v>0</v>
      </c>
      <c r="AV46" s="11">
        <v>143628</v>
      </c>
      <c r="AW46" s="11">
        <v>0</v>
      </c>
      <c r="AX46" s="11">
        <v>56307</v>
      </c>
      <c r="AY46" s="11">
        <v>0</v>
      </c>
      <c r="AZ46" s="11">
        <v>0</v>
      </c>
      <c r="BA46" s="11">
        <v>0</v>
      </c>
      <c r="BB46" s="11">
        <v>3181</v>
      </c>
      <c r="BC46" s="11">
        <v>1423</v>
      </c>
      <c r="BD46" s="11">
        <v>505</v>
      </c>
      <c r="BE46" s="11">
        <v>0</v>
      </c>
      <c r="BF46" s="11">
        <v>-196</v>
      </c>
      <c r="BG46" s="11">
        <v>-608</v>
      </c>
      <c r="BH46" s="11">
        <v>-339</v>
      </c>
      <c r="BI46" s="11">
        <v>0</v>
      </c>
      <c r="BJ46" s="11">
        <f t="shared" si="7"/>
        <v>3966</v>
      </c>
      <c r="BK46" s="1">
        <v>1</v>
      </c>
      <c r="BL46" s="1">
        <v>100</v>
      </c>
      <c r="BM46" s="1">
        <v>19</v>
      </c>
      <c r="BN46" s="1">
        <v>49</v>
      </c>
      <c r="BO46" s="1">
        <v>2</v>
      </c>
      <c r="BP46" s="1">
        <v>37</v>
      </c>
      <c r="BQ46" s="1">
        <v>28</v>
      </c>
      <c r="BR46" s="1">
        <v>2</v>
      </c>
      <c r="BS46" s="1">
        <v>16</v>
      </c>
      <c r="BT46" s="1">
        <v>17</v>
      </c>
      <c r="BU46" s="1">
        <v>52</v>
      </c>
      <c r="BV46" s="1">
        <v>22</v>
      </c>
      <c r="BW46" s="1">
        <v>3</v>
      </c>
      <c r="BX46" s="1">
        <v>18</v>
      </c>
      <c r="BY46" s="1">
        <v>31</v>
      </c>
      <c r="BZ46" s="1">
        <v>54</v>
      </c>
    </row>
    <row r="47" spans="1:78">
      <c r="A47" s="16">
        <v>4</v>
      </c>
      <c r="B47" s="59" t="s">
        <v>487</v>
      </c>
      <c r="C47" s="60" t="s">
        <v>264</v>
      </c>
      <c r="D47" s="59" t="s">
        <v>31</v>
      </c>
      <c r="E47" s="59" t="s">
        <v>674</v>
      </c>
      <c r="F47" s="59" t="s">
        <v>208</v>
      </c>
      <c r="G47" s="59" t="s">
        <v>680</v>
      </c>
      <c r="H47" s="7">
        <v>13248181</v>
      </c>
      <c r="I47" s="11">
        <v>13261311</v>
      </c>
      <c r="J47" s="11">
        <v>1055028</v>
      </c>
      <c r="K47" s="52">
        <v>21709</v>
      </c>
      <c r="L47" s="52">
        <v>330681</v>
      </c>
      <c r="M47" s="52">
        <v>57939</v>
      </c>
      <c r="N47" s="52">
        <v>4657620</v>
      </c>
      <c r="O47" s="52">
        <v>6011</v>
      </c>
      <c r="P47" s="52">
        <v>117672</v>
      </c>
      <c r="Q47" s="52">
        <v>914467</v>
      </c>
      <c r="R47" s="11">
        <v>5185925</v>
      </c>
      <c r="S47" s="11">
        <v>420858</v>
      </c>
      <c r="T47" s="11">
        <v>0</v>
      </c>
      <c r="U47" s="11">
        <v>0</v>
      </c>
      <c r="V47" s="11">
        <v>12414836</v>
      </c>
      <c r="W47" s="13">
        <v>0.08</v>
      </c>
      <c r="X47" s="11">
        <v>0</v>
      </c>
      <c r="Y47" s="26">
        <f>740315/12414836</f>
        <v>5.9631476404521169E-2</v>
      </c>
      <c r="Z47" s="11">
        <v>701954</v>
      </c>
      <c r="AA47" s="11">
        <v>0</v>
      </c>
      <c r="AB47" s="11">
        <f>13130+255</f>
        <v>13385</v>
      </c>
      <c r="AC47" s="11">
        <v>215272</v>
      </c>
      <c r="AD47" s="11">
        <v>16383</v>
      </c>
      <c r="AE47" s="11">
        <v>51282</v>
      </c>
      <c r="AF47" s="11">
        <v>71791</v>
      </c>
      <c r="AG47" s="11">
        <v>24398</v>
      </c>
      <c r="AH47" s="11">
        <v>13696</v>
      </c>
      <c r="AI47" s="11">
        <v>5259</v>
      </c>
      <c r="AJ47" s="11">
        <v>0</v>
      </c>
      <c r="AK47" s="11">
        <f>10707+22623+16976</f>
        <v>50306</v>
      </c>
      <c r="AL47" s="11">
        <v>8067</v>
      </c>
      <c r="AM47" s="11">
        <v>337</v>
      </c>
      <c r="AN47" s="11">
        <v>1536</v>
      </c>
      <c r="AO47" s="11">
        <v>7441</v>
      </c>
      <c r="AP47" s="11">
        <v>13305</v>
      </c>
      <c r="AQ47" s="11">
        <v>48379</v>
      </c>
      <c r="AR47" s="11">
        <v>506773</v>
      </c>
      <c r="AS47" s="11">
        <v>544720</v>
      </c>
      <c r="AT47" s="11">
        <v>0</v>
      </c>
      <c r="AU47" s="11">
        <v>0</v>
      </c>
      <c r="AV47" s="11">
        <v>143628</v>
      </c>
      <c r="AW47" s="11">
        <v>0</v>
      </c>
      <c r="AX47" s="11">
        <v>112914</v>
      </c>
      <c r="AY47" s="11">
        <v>26763</v>
      </c>
      <c r="AZ47" s="11">
        <v>26763</v>
      </c>
      <c r="BA47" s="11">
        <v>0</v>
      </c>
      <c r="BB47" s="11">
        <v>1805</v>
      </c>
      <c r="BC47" s="11">
        <v>869</v>
      </c>
      <c r="BD47" s="11">
        <v>129</v>
      </c>
      <c r="BE47" s="11">
        <v>0</v>
      </c>
      <c r="BF47" s="11">
        <v>-166</v>
      </c>
      <c r="BG47" s="11">
        <v>-419</v>
      </c>
      <c r="BH47" s="11">
        <v>-375</v>
      </c>
      <c r="BI47" s="11">
        <v>-59</v>
      </c>
      <c r="BJ47" s="11">
        <f t="shared" si="7"/>
        <v>1784</v>
      </c>
      <c r="BK47" s="1">
        <v>8</v>
      </c>
      <c r="BL47" s="1">
        <v>246</v>
      </c>
      <c r="BM47" s="1">
        <v>29</v>
      </c>
      <c r="BN47" s="1">
        <v>58</v>
      </c>
      <c r="BO47" s="1">
        <v>4</v>
      </c>
      <c r="BP47" s="1">
        <v>47</v>
      </c>
      <c r="BQ47" s="1">
        <v>5</v>
      </c>
      <c r="BR47" s="1">
        <v>13</v>
      </c>
      <c r="BS47" s="1">
        <v>46</v>
      </c>
      <c r="BT47" s="1">
        <v>50</v>
      </c>
      <c r="BU47" s="1">
        <v>6</v>
      </c>
      <c r="BV47" s="1">
        <v>10</v>
      </c>
      <c r="BW47" s="1">
        <v>9</v>
      </c>
      <c r="BX47" s="1">
        <v>38</v>
      </c>
      <c r="BY47" s="1">
        <v>84</v>
      </c>
      <c r="BZ47" s="1">
        <v>37</v>
      </c>
    </row>
    <row r="48" spans="1:78">
      <c r="A48" s="16">
        <v>4</v>
      </c>
      <c r="B48" s="59" t="s">
        <v>508</v>
      </c>
      <c r="C48" s="60" t="s">
        <v>293</v>
      </c>
      <c r="D48" s="59" t="s">
        <v>125</v>
      </c>
      <c r="E48" s="59" t="s">
        <v>674</v>
      </c>
      <c r="F48" s="59" t="s">
        <v>694</v>
      </c>
      <c r="G48" s="59" t="s">
        <v>680</v>
      </c>
      <c r="H48" s="11">
        <v>9882018</v>
      </c>
      <c r="I48" s="11">
        <v>9935231</v>
      </c>
      <c r="J48" s="11">
        <v>613069</v>
      </c>
      <c r="K48" s="52">
        <v>6379</v>
      </c>
      <c r="L48" s="52">
        <v>108632</v>
      </c>
      <c r="M48" s="52">
        <v>2529146</v>
      </c>
      <c r="N48" s="52">
        <v>0</v>
      </c>
      <c r="O48" s="52">
        <v>687</v>
      </c>
      <c r="P48" s="52">
        <v>355652</v>
      </c>
      <c r="Q48" s="52">
        <v>0</v>
      </c>
      <c r="R48" s="11">
        <v>4413401</v>
      </c>
      <c r="S48" s="11">
        <v>879511</v>
      </c>
      <c r="T48" s="11">
        <v>0</v>
      </c>
      <c r="U48" s="11">
        <v>0</v>
      </c>
      <c r="V48" s="11">
        <v>9034459</v>
      </c>
      <c r="W48" s="13">
        <v>0.22600000000000001</v>
      </c>
      <c r="X48" s="11">
        <v>0</v>
      </c>
      <c r="Y48" s="26">
        <f>735860/9034459</f>
        <v>8.1450366867567833E-2</v>
      </c>
      <c r="Z48" s="11">
        <v>735914</v>
      </c>
      <c r="AA48" s="11">
        <v>0</v>
      </c>
      <c r="AB48" s="11">
        <f>1677+33242+208</f>
        <v>35127</v>
      </c>
      <c r="AC48" s="11">
        <v>286610</v>
      </c>
      <c r="AD48" s="11">
        <v>23667</v>
      </c>
      <c r="AE48" s="11">
        <v>44602</v>
      </c>
      <c r="AF48" s="11">
        <v>52578</v>
      </c>
      <c r="AG48" s="11">
        <v>980</v>
      </c>
      <c r="AH48" s="11">
        <v>27269</v>
      </c>
      <c r="AI48" s="11">
        <v>0</v>
      </c>
      <c r="AJ48" s="11">
        <v>0</v>
      </c>
      <c r="AK48" s="11">
        <f>7134+16944+8212</f>
        <v>32290</v>
      </c>
      <c r="AL48" s="11">
        <v>6733</v>
      </c>
      <c r="AM48" s="11">
        <v>1136</v>
      </c>
      <c r="AN48" s="11">
        <v>0</v>
      </c>
      <c r="AO48" s="11">
        <v>0</v>
      </c>
      <c r="AP48" s="11">
        <v>10467</v>
      </c>
      <c r="AQ48" s="11">
        <v>0</v>
      </c>
      <c r="AR48" s="11">
        <v>567173</v>
      </c>
      <c r="AS48" s="11">
        <v>568187</v>
      </c>
      <c r="AT48" s="11">
        <v>811</v>
      </c>
      <c r="AU48" s="11">
        <v>0</v>
      </c>
      <c r="AV48" s="11">
        <v>143628</v>
      </c>
      <c r="AW48" s="11">
        <v>0</v>
      </c>
      <c r="AX48" s="11">
        <v>61715</v>
      </c>
      <c r="AY48" s="11">
        <v>0</v>
      </c>
      <c r="AZ48" s="11">
        <v>0</v>
      </c>
      <c r="BA48" s="11">
        <v>0</v>
      </c>
      <c r="BB48" s="11">
        <v>2720</v>
      </c>
      <c r="BC48" s="11">
        <v>837</v>
      </c>
      <c r="BD48" s="11">
        <v>0</v>
      </c>
      <c r="BE48" s="11">
        <v>7</v>
      </c>
      <c r="BF48" s="11">
        <v>-95</v>
      </c>
      <c r="BG48" s="11">
        <v>-287</v>
      </c>
      <c r="BH48" s="11">
        <v>-191</v>
      </c>
      <c r="BI48" s="11">
        <v>-10</v>
      </c>
      <c r="BJ48" s="11">
        <f t="shared" si="7"/>
        <v>2981</v>
      </c>
      <c r="BK48" s="1">
        <v>95</v>
      </c>
      <c r="BL48" s="1">
        <v>84</v>
      </c>
      <c r="BM48" s="1">
        <v>63</v>
      </c>
      <c r="BN48" s="1">
        <v>40</v>
      </c>
      <c r="BO48" s="1">
        <v>0</v>
      </c>
      <c r="BP48" s="1">
        <v>14</v>
      </c>
      <c r="BQ48" s="1">
        <v>3</v>
      </c>
      <c r="BR48" s="1">
        <v>3</v>
      </c>
      <c r="BS48" s="1">
        <v>32</v>
      </c>
      <c r="BT48" s="1">
        <v>31</v>
      </c>
      <c r="BU48" s="1">
        <v>26</v>
      </c>
      <c r="BV48" s="1">
        <v>2</v>
      </c>
      <c r="BW48" s="1">
        <v>8</v>
      </c>
      <c r="BX48" s="1">
        <v>35</v>
      </c>
      <c r="BY48" s="1">
        <v>50</v>
      </c>
      <c r="BZ48" s="1">
        <v>31</v>
      </c>
    </row>
    <row r="49" spans="1:78">
      <c r="A49" s="16">
        <v>4</v>
      </c>
      <c r="B49" s="59" t="s">
        <v>595</v>
      </c>
      <c r="C49" s="60" t="s">
        <v>249</v>
      </c>
      <c r="D49" s="59" t="s">
        <v>530</v>
      </c>
      <c r="E49" s="59" t="s">
        <v>674</v>
      </c>
      <c r="F49" s="59" t="s">
        <v>208</v>
      </c>
      <c r="G49" s="59" t="s">
        <v>680</v>
      </c>
      <c r="H49" s="11">
        <v>25877575</v>
      </c>
      <c r="I49" s="11">
        <v>26077333</v>
      </c>
      <c r="J49" s="11">
        <v>1431492</v>
      </c>
      <c r="K49" s="52">
        <v>0</v>
      </c>
      <c r="L49" s="52">
        <v>413409</v>
      </c>
      <c r="M49" s="52">
        <v>12313830</v>
      </c>
      <c r="N49" s="52">
        <v>0</v>
      </c>
      <c r="O49" s="52">
        <v>66106</v>
      </c>
      <c r="P49" s="52">
        <v>1668580</v>
      </c>
      <c r="Q49" s="52">
        <v>0</v>
      </c>
      <c r="R49" s="11">
        <v>6911848</v>
      </c>
      <c r="S49" s="11">
        <v>1765498</v>
      </c>
      <c r="T49" s="11">
        <v>0</v>
      </c>
      <c r="U49" s="11">
        <v>0</v>
      </c>
      <c r="V49" s="11">
        <v>24259954</v>
      </c>
      <c r="W49" s="13">
        <v>3.5999999999999997E-2</v>
      </c>
      <c r="X49" s="11">
        <v>0</v>
      </c>
      <c r="Y49" s="26">
        <f>1120091/24219500</f>
        <v>4.6247486529449412E-2</v>
      </c>
      <c r="Z49" s="11">
        <v>1120683</v>
      </c>
      <c r="AA49" s="11">
        <v>0</v>
      </c>
      <c r="AB49" s="11">
        <f>58511+5162+815</f>
        <v>64488</v>
      </c>
      <c r="AC49" s="11">
        <v>512465</v>
      </c>
      <c r="AD49" s="11">
        <v>40501</v>
      </c>
      <c r="AE49" s="11">
        <v>98468</v>
      </c>
      <c r="AF49" s="11">
        <v>63879</v>
      </c>
      <c r="AG49" s="11">
        <v>1785</v>
      </c>
      <c r="AH49" s="11">
        <v>40470</v>
      </c>
      <c r="AI49" s="11">
        <v>0</v>
      </c>
      <c r="AJ49" s="11">
        <v>18122</v>
      </c>
      <c r="AK49" s="11">
        <f>9929+30756+43910</f>
        <v>84595</v>
      </c>
      <c r="AL49" s="11">
        <v>10118</v>
      </c>
      <c r="AM49" s="11">
        <v>5273</v>
      </c>
      <c r="AN49" s="11">
        <v>0</v>
      </c>
      <c r="AO49" s="11">
        <v>64603</v>
      </c>
      <c r="AP49" s="11">
        <v>27990</v>
      </c>
      <c r="AQ49" s="11">
        <v>0</v>
      </c>
      <c r="AR49" s="11">
        <v>1026114</v>
      </c>
      <c r="AS49" s="11">
        <v>1075598</v>
      </c>
      <c r="AT49" s="11">
        <v>0</v>
      </c>
      <c r="AU49" s="11">
        <v>0</v>
      </c>
      <c r="AV49" s="11">
        <v>143628</v>
      </c>
      <c r="AW49" s="11">
        <v>0</v>
      </c>
      <c r="AX49" s="11">
        <v>140665</v>
      </c>
      <c r="AY49" s="11">
        <v>0</v>
      </c>
      <c r="AZ49" s="11">
        <v>0</v>
      </c>
      <c r="BA49" s="11">
        <v>0</v>
      </c>
      <c r="BB49" s="11">
        <v>5615</v>
      </c>
      <c r="BC49" s="11">
        <v>2104</v>
      </c>
      <c r="BD49" s="11">
        <v>0</v>
      </c>
      <c r="BE49" s="11">
        <f>348-9</f>
        <v>339</v>
      </c>
      <c r="BF49" s="11">
        <v>-309</v>
      </c>
      <c r="BG49" s="11">
        <v>-812</v>
      </c>
      <c r="BH49" s="11">
        <v>-1234</v>
      </c>
      <c r="BI49" s="11">
        <v>-3</v>
      </c>
      <c r="BJ49" s="11">
        <f t="shared" si="7"/>
        <v>5700</v>
      </c>
      <c r="BK49" s="1">
        <v>12</v>
      </c>
      <c r="BL49" s="1">
        <v>244</v>
      </c>
      <c r="BM49" s="1">
        <v>148</v>
      </c>
      <c r="BN49" s="1">
        <v>708</v>
      </c>
      <c r="BO49" s="1">
        <v>2</v>
      </c>
      <c r="BP49" s="1">
        <v>32</v>
      </c>
      <c r="BQ49" s="1">
        <v>2</v>
      </c>
      <c r="BR49" s="1">
        <v>6</v>
      </c>
      <c r="BS49" s="1">
        <v>54</v>
      </c>
      <c r="BT49" s="1">
        <v>222</v>
      </c>
      <c r="BU49" s="1">
        <v>4</v>
      </c>
      <c r="BV49" s="1">
        <v>3</v>
      </c>
      <c r="BW49" s="1">
        <v>18</v>
      </c>
      <c r="BX49" s="1">
        <v>49</v>
      </c>
      <c r="BY49" s="1">
        <v>426</v>
      </c>
      <c r="BZ49" s="1">
        <v>28</v>
      </c>
    </row>
    <row r="50" spans="1:78">
      <c r="A50" s="16">
        <v>4</v>
      </c>
      <c r="B50" s="59" t="s">
        <v>627</v>
      </c>
      <c r="C50" s="60" t="s">
        <v>701</v>
      </c>
      <c r="D50" s="59" t="s">
        <v>144</v>
      </c>
      <c r="E50" s="59" t="s">
        <v>599</v>
      </c>
      <c r="F50" s="59"/>
      <c r="G50" s="59" t="s">
        <v>616</v>
      </c>
      <c r="H50" s="11">
        <v>29753365</v>
      </c>
      <c r="I50" s="11">
        <v>29852333</v>
      </c>
      <c r="J50" s="11">
        <v>804883</v>
      </c>
      <c r="K50" s="52">
        <v>0</v>
      </c>
      <c r="L50" s="52">
        <v>4112340</v>
      </c>
      <c r="M50" s="52">
        <v>13296178</v>
      </c>
      <c r="N50" s="52">
        <v>0</v>
      </c>
      <c r="O50" s="52">
        <v>0</v>
      </c>
      <c r="P50" s="52">
        <v>0</v>
      </c>
      <c r="Q50" s="52">
        <v>1034442</v>
      </c>
      <c r="R50" s="11">
        <v>7065722</v>
      </c>
      <c r="S50" s="11">
        <v>1083215</v>
      </c>
      <c r="T50" s="11">
        <v>0</v>
      </c>
      <c r="U50" s="11">
        <v>0</v>
      </c>
      <c r="V50" s="11">
        <v>27790542</v>
      </c>
      <c r="W50" s="13">
        <v>0.14779999999999999</v>
      </c>
      <c r="X50" s="11">
        <v>0</v>
      </c>
      <c r="Y50" s="26">
        <f>1194827/27786672</f>
        <v>4.3000003742801586E-2</v>
      </c>
      <c r="Z50" s="11">
        <v>1194775</v>
      </c>
      <c r="AA50" s="11">
        <v>0</v>
      </c>
      <c r="AB50" s="11">
        <f>98968+744</f>
        <v>99712</v>
      </c>
      <c r="AC50" s="11">
        <v>645058</v>
      </c>
      <c r="AD50" s="11">
        <v>51804</v>
      </c>
      <c r="AE50" s="11">
        <v>92594</v>
      </c>
      <c r="AF50" s="11">
        <f>48525+7648</f>
        <v>56173</v>
      </c>
      <c r="AG50" s="11">
        <v>0</v>
      </c>
      <c r="AH50" s="11">
        <v>29475</v>
      </c>
      <c r="AI50" s="11">
        <v>6602</v>
      </c>
      <c r="AJ50" s="11">
        <v>6181</v>
      </c>
      <c r="AK50" s="11">
        <f>17592+46140+39736</f>
        <v>103468</v>
      </c>
      <c r="AL50" s="11">
        <v>11623</v>
      </c>
      <c r="AM50" s="11">
        <v>2354</v>
      </c>
      <c r="AN50" s="11"/>
      <c r="AO50" s="11">
        <v>0</v>
      </c>
      <c r="AP50" s="11">
        <v>34966</v>
      </c>
      <c r="AQ50" s="11">
        <v>0</v>
      </c>
      <c r="AR50" s="11">
        <v>1116755</v>
      </c>
      <c r="AS50" s="11">
        <v>1164610</v>
      </c>
      <c r="AT50" s="11">
        <v>625</v>
      </c>
      <c r="AU50" s="11">
        <v>0</v>
      </c>
      <c r="AV50" s="11">
        <v>143628</v>
      </c>
      <c r="AW50" s="11">
        <v>0</v>
      </c>
      <c r="AX50" s="11">
        <v>160807</v>
      </c>
      <c r="AY50" s="11">
        <v>0</v>
      </c>
      <c r="AZ50" s="11">
        <v>0</v>
      </c>
      <c r="BA50" s="11">
        <v>0</v>
      </c>
      <c r="BB50" s="11">
        <v>6223</v>
      </c>
      <c r="BC50" s="11">
        <v>4075</v>
      </c>
      <c r="BD50" s="11">
        <v>55</v>
      </c>
      <c r="BE50" s="11">
        <f>21-1</f>
        <v>20</v>
      </c>
      <c r="BF50" s="11">
        <v>-161</v>
      </c>
      <c r="BG50" s="11">
        <v>-1609</v>
      </c>
      <c r="BH50" s="11">
        <v>-941</v>
      </c>
      <c r="BI50" s="11">
        <v>-17</v>
      </c>
      <c r="BJ50" s="11">
        <f t="shared" si="7"/>
        <v>7645</v>
      </c>
      <c r="BK50" s="1">
        <v>6</v>
      </c>
      <c r="BL50" s="1">
        <v>374</v>
      </c>
      <c r="BM50" s="1">
        <v>171</v>
      </c>
      <c r="BN50" s="1">
        <v>396</v>
      </c>
      <c r="BO50" s="1">
        <v>0</v>
      </c>
      <c r="BP50" s="1">
        <v>0</v>
      </c>
      <c r="BQ50" s="1">
        <v>1</v>
      </c>
      <c r="BR50" s="1">
        <v>4</v>
      </c>
      <c r="BS50" s="1">
        <v>21</v>
      </c>
      <c r="BT50" s="1">
        <v>80</v>
      </c>
      <c r="BU50" s="1">
        <v>1</v>
      </c>
      <c r="BV50" s="1">
        <v>10</v>
      </c>
      <c r="BW50" s="1">
        <v>32</v>
      </c>
      <c r="BX50" s="1">
        <v>116</v>
      </c>
      <c r="BY50" s="1">
        <v>990</v>
      </c>
      <c r="BZ50" s="1">
        <v>57</v>
      </c>
    </row>
    <row r="51" spans="1:78">
      <c r="A51" s="16">
        <v>4</v>
      </c>
      <c r="B51" s="59" t="s">
        <v>700</v>
      </c>
      <c r="C51" s="60" t="s">
        <v>336</v>
      </c>
      <c r="D51" s="59" t="s">
        <v>94</v>
      </c>
      <c r="E51" s="59" t="s">
        <v>674</v>
      </c>
      <c r="F51" s="59" t="s">
        <v>694</v>
      </c>
      <c r="G51" s="59" t="s">
        <v>680</v>
      </c>
      <c r="H51" s="11">
        <v>3772105</v>
      </c>
      <c r="I51" s="11">
        <v>3789478</v>
      </c>
      <c r="J51" s="11">
        <v>135617</v>
      </c>
      <c r="K51" s="52">
        <v>524169</v>
      </c>
      <c r="L51" s="52">
        <v>77724</v>
      </c>
      <c r="M51" s="52">
        <v>0</v>
      </c>
      <c r="N51" s="52">
        <v>2042320</v>
      </c>
      <c r="O51" s="52">
        <v>2770</v>
      </c>
      <c r="P51" s="52">
        <v>146562</v>
      </c>
      <c r="Q51" s="52">
        <v>0</v>
      </c>
      <c r="R51" s="11">
        <v>714937</v>
      </c>
      <c r="S51" s="11">
        <v>63472</v>
      </c>
      <c r="T51" s="11">
        <v>0</v>
      </c>
      <c r="U51" s="11">
        <v>0</v>
      </c>
      <c r="V51" s="11">
        <v>3820593</v>
      </c>
      <c r="W51" s="13">
        <v>0.19320000000000001</v>
      </c>
      <c r="X51" s="11">
        <v>0</v>
      </c>
      <c r="Y51" s="26">
        <f>248339/3820593</f>
        <v>6.5000119091460404E-2</v>
      </c>
      <c r="Z51" s="11">
        <v>248339</v>
      </c>
      <c r="AA51" s="11">
        <v>0</v>
      </c>
      <c r="AB51" s="11">
        <f>17373+118</f>
        <v>17491</v>
      </c>
      <c r="AC51" s="11">
        <v>55767</v>
      </c>
      <c r="AD51" s="11">
        <v>3875</v>
      </c>
      <c r="AE51" s="11">
        <v>7011</v>
      </c>
      <c r="AF51" s="11">
        <f>9600+804</f>
        <v>10404</v>
      </c>
      <c r="AG51" s="11">
        <v>0</v>
      </c>
      <c r="AH51" s="11">
        <v>6240</v>
      </c>
      <c r="AI51" s="11">
        <v>7280</v>
      </c>
      <c r="AJ51" s="11">
        <v>0</v>
      </c>
      <c r="AK51" s="11">
        <f>4058+6520+5730</f>
        <v>16308</v>
      </c>
      <c r="AL51" s="11">
        <v>5625</v>
      </c>
      <c r="AM51" s="11">
        <v>1219</v>
      </c>
      <c r="AN51" s="11">
        <v>0</v>
      </c>
      <c r="AO51" s="11">
        <v>0</v>
      </c>
      <c r="AP51" s="11">
        <v>422</v>
      </c>
      <c r="AQ51" s="11">
        <v>1863</v>
      </c>
      <c r="AR51" s="11">
        <v>122049</v>
      </c>
      <c r="AS51" s="11">
        <v>129924</v>
      </c>
      <c r="AT51" s="11">
        <v>0</v>
      </c>
      <c r="AU51" s="11">
        <v>0</v>
      </c>
      <c r="AV51" s="11">
        <v>143628</v>
      </c>
      <c r="AW51" s="11">
        <v>0</v>
      </c>
      <c r="AX51" s="11">
        <v>19708</v>
      </c>
      <c r="AY51" s="11">
        <v>0</v>
      </c>
      <c r="AZ51" s="11">
        <v>0</v>
      </c>
      <c r="BA51" s="11">
        <v>0</v>
      </c>
      <c r="BB51" s="11">
        <v>591</v>
      </c>
      <c r="BC51" s="11">
        <v>219</v>
      </c>
      <c r="BD51" s="11">
        <v>0</v>
      </c>
      <c r="BE51" s="11">
        <v>0</v>
      </c>
      <c r="BF51" s="11">
        <v>-78</v>
      </c>
      <c r="BG51" s="11">
        <v>-92</v>
      </c>
      <c r="BH51" s="11">
        <v>-64</v>
      </c>
      <c r="BI51" s="11">
        <v>-5</v>
      </c>
      <c r="BJ51" s="11">
        <f t="shared" si="7"/>
        <v>571</v>
      </c>
      <c r="BK51" s="1">
        <v>0</v>
      </c>
      <c r="BL51" s="1">
        <v>11</v>
      </c>
      <c r="BM51" s="1">
        <v>3</v>
      </c>
      <c r="BN51" s="1">
        <v>29</v>
      </c>
      <c r="BO51" s="1">
        <v>21</v>
      </c>
      <c r="BP51" s="1">
        <v>0</v>
      </c>
      <c r="BQ51" s="52">
        <v>0</v>
      </c>
      <c r="BR51" s="52">
        <v>1</v>
      </c>
      <c r="BS51" s="52">
        <v>12</v>
      </c>
      <c r="BT51" s="52">
        <v>40</v>
      </c>
      <c r="BU51" s="52">
        <v>0</v>
      </c>
      <c r="BV51" s="52">
        <v>1</v>
      </c>
      <c r="BW51" s="52">
        <v>0</v>
      </c>
      <c r="BX51" s="52">
        <v>6</v>
      </c>
      <c r="BY51" s="52">
        <v>45</v>
      </c>
      <c r="BZ51" s="52">
        <v>0</v>
      </c>
    </row>
    <row r="52" spans="1:78">
      <c r="A52" s="16">
        <v>5</v>
      </c>
      <c r="B52" s="59" t="s">
        <v>62</v>
      </c>
      <c r="C52" s="60" t="s">
        <v>703</v>
      </c>
      <c r="D52" s="59" t="s">
        <v>31</v>
      </c>
      <c r="E52" s="59" t="s">
        <v>370</v>
      </c>
      <c r="F52" s="59" t="s">
        <v>694</v>
      </c>
      <c r="G52" s="59" t="s">
        <v>395</v>
      </c>
      <c r="H52" s="11">
        <v>10899242</v>
      </c>
      <c r="I52" s="11">
        <v>10916969</v>
      </c>
      <c r="J52" s="11">
        <v>664999</v>
      </c>
      <c r="K52" s="52">
        <v>1380374</v>
      </c>
      <c r="L52" s="52">
        <v>223804</v>
      </c>
      <c r="M52" s="52">
        <v>4455281</v>
      </c>
      <c r="N52" s="52">
        <v>0</v>
      </c>
      <c r="O52" s="52">
        <v>11408</v>
      </c>
      <c r="P52" s="52">
        <v>558574</v>
      </c>
      <c r="Q52" s="52">
        <v>0</v>
      </c>
      <c r="R52" s="11">
        <v>1934640</v>
      </c>
      <c r="S52" s="11">
        <v>1112833</v>
      </c>
      <c r="T52" s="11">
        <v>1275</v>
      </c>
      <c r="U52" s="11">
        <v>0</v>
      </c>
      <c r="V52" s="11">
        <v>10556874</v>
      </c>
      <c r="W52" s="13">
        <v>1.43E-2</v>
      </c>
      <c r="X52" s="11">
        <v>0</v>
      </c>
      <c r="Y52" s="26">
        <f>871037/10547329</f>
        <v>8.2583656961871574E-2</v>
      </c>
      <c r="Z52" s="11">
        <v>871059</v>
      </c>
      <c r="AA52" s="11">
        <v>0</v>
      </c>
      <c r="AB52" s="11">
        <f>17727+0+384</f>
        <v>18111</v>
      </c>
      <c r="AC52" s="11">
        <v>413868</v>
      </c>
      <c r="AD52" s="11">
        <v>39443</v>
      </c>
      <c r="AE52" s="11">
        <v>66577</v>
      </c>
      <c r="AF52" s="11">
        <v>59950</v>
      </c>
      <c r="AG52" s="11">
        <v>3098</v>
      </c>
      <c r="AH52" s="11">
        <v>18750</v>
      </c>
      <c r="AI52" s="11">
        <v>4342</v>
      </c>
      <c r="AJ52" s="11">
        <v>18889</v>
      </c>
      <c r="AK52" s="11">
        <f>7777+13794+22779</f>
        <v>44350</v>
      </c>
      <c r="AL52" s="11">
        <v>14987</v>
      </c>
      <c r="AM52" s="11">
        <v>420</v>
      </c>
      <c r="AN52" s="11">
        <v>0</v>
      </c>
      <c r="AO52" s="11">
        <v>5301</v>
      </c>
      <c r="AP52" s="11">
        <v>13866</v>
      </c>
      <c r="AQ52" s="11">
        <v>0</v>
      </c>
      <c r="AR52" s="11">
        <v>738171</v>
      </c>
      <c r="AS52" s="11">
        <v>739074</v>
      </c>
      <c r="AT52" s="11">
        <v>0</v>
      </c>
      <c r="AU52" s="11">
        <v>0</v>
      </c>
      <c r="AV52" s="11">
        <v>143628</v>
      </c>
      <c r="AW52" s="11">
        <v>0</v>
      </c>
      <c r="AX52" s="11">
        <v>87459</v>
      </c>
      <c r="AY52" s="11">
        <v>0</v>
      </c>
      <c r="AZ52" s="11">
        <v>0</v>
      </c>
      <c r="BA52" s="11">
        <v>0</v>
      </c>
      <c r="BB52" s="11">
        <v>3534</v>
      </c>
      <c r="BC52" s="11">
        <v>975</v>
      </c>
      <c r="BD52" s="11">
        <v>0</v>
      </c>
      <c r="BE52" s="11">
        <f>6-1</f>
        <v>5</v>
      </c>
      <c r="BF52" s="11">
        <v>-343</v>
      </c>
      <c r="BG52" s="11">
        <v>-502</v>
      </c>
      <c r="BH52" s="11">
        <v>-447</v>
      </c>
      <c r="BI52" s="11">
        <v>-2</v>
      </c>
      <c r="BJ52" s="11">
        <f t="shared" si="7"/>
        <v>3220</v>
      </c>
      <c r="BK52" s="1">
        <v>8</v>
      </c>
      <c r="BL52" s="1">
        <v>147</v>
      </c>
      <c r="BM52" s="1">
        <v>54</v>
      </c>
      <c r="BN52" s="1">
        <v>232</v>
      </c>
      <c r="BO52" s="1">
        <v>14</v>
      </c>
      <c r="BP52" s="1">
        <v>0</v>
      </c>
      <c r="BQ52" s="1">
        <v>33</v>
      </c>
      <c r="BR52" s="1">
        <v>6</v>
      </c>
      <c r="BS52" s="1">
        <v>91</v>
      </c>
      <c r="BT52" s="1">
        <v>30</v>
      </c>
      <c r="BU52" s="1">
        <v>0</v>
      </c>
      <c r="BV52" s="1">
        <v>108</v>
      </c>
      <c r="BW52" s="1">
        <v>24</v>
      </c>
      <c r="BX52" s="1">
        <v>190</v>
      </c>
      <c r="BY52" s="1">
        <v>85</v>
      </c>
      <c r="BZ52" s="1">
        <v>0</v>
      </c>
    </row>
    <row r="53" spans="1:78">
      <c r="A53" s="16">
        <v>5</v>
      </c>
      <c r="B53" s="59" t="s">
        <v>63</v>
      </c>
      <c r="C53" s="60" t="s">
        <v>388</v>
      </c>
      <c r="D53" s="59" t="s">
        <v>326</v>
      </c>
      <c r="E53" s="59" t="s">
        <v>451</v>
      </c>
      <c r="F53" s="59" t="s">
        <v>479</v>
      </c>
      <c r="G53" s="59" t="s">
        <v>440</v>
      </c>
      <c r="H53" s="11">
        <v>25682799</v>
      </c>
      <c r="I53" s="11">
        <v>25809328</v>
      </c>
      <c r="J53" s="11">
        <v>1198309</v>
      </c>
      <c r="K53" s="52">
        <v>9444329</v>
      </c>
      <c r="L53" s="52">
        <v>184857</v>
      </c>
      <c r="M53" s="52">
        <v>99365</v>
      </c>
      <c r="N53" s="52">
        <v>10150293</v>
      </c>
      <c r="O53" s="52">
        <v>2995</v>
      </c>
      <c r="P53" s="52">
        <v>3416</v>
      </c>
      <c r="Q53" s="52">
        <v>695537</v>
      </c>
      <c r="R53" s="11">
        <v>1910703</v>
      </c>
      <c r="S53" s="11">
        <v>971585</v>
      </c>
      <c r="T53" s="11">
        <v>0</v>
      </c>
      <c r="U53" s="11">
        <v>0</v>
      </c>
      <c r="V53" s="11">
        <v>24545598</v>
      </c>
      <c r="W53" s="13">
        <v>9.98E-2</v>
      </c>
      <c r="X53" s="11">
        <v>9578084</v>
      </c>
      <c r="Y53" s="26">
        <f>1042811/14967382</f>
        <v>6.9672237937135562E-2</v>
      </c>
      <c r="Z53" s="11">
        <v>1043202</v>
      </c>
      <c r="AA53" s="11">
        <v>0</v>
      </c>
      <c r="AB53" s="11">
        <f>123736+7804+1777</f>
        <v>133317</v>
      </c>
      <c r="AC53" s="11">
        <v>477984</v>
      </c>
      <c r="AD53" s="11">
        <v>40454</v>
      </c>
      <c r="AE53" s="11">
        <v>88757</v>
      </c>
      <c r="AF53" s="11">
        <f>55829+16896</f>
        <v>72725</v>
      </c>
      <c r="AG53" s="11">
        <v>24937</v>
      </c>
      <c r="AH53" s="11">
        <v>171113</v>
      </c>
      <c r="AI53" s="11">
        <v>3955</v>
      </c>
      <c r="AJ53" s="11">
        <v>25338</v>
      </c>
      <c r="AK53" s="11">
        <f>7406+68384+21514</f>
        <v>97304</v>
      </c>
      <c r="AL53" s="11">
        <v>10293</v>
      </c>
      <c r="AM53" s="11">
        <v>481</v>
      </c>
      <c r="AN53" s="11">
        <v>0</v>
      </c>
      <c r="AO53" s="11">
        <v>14219</v>
      </c>
      <c r="AP53" s="11">
        <v>3267</v>
      </c>
      <c r="AQ53" s="11">
        <v>0</v>
      </c>
      <c r="AR53" s="11">
        <v>1088683</v>
      </c>
      <c r="AS53" s="11">
        <v>1104084</v>
      </c>
      <c r="AT53" s="11">
        <v>0</v>
      </c>
      <c r="AU53" s="11">
        <v>0</v>
      </c>
      <c r="AV53" s="11">
        <v>143628</v>
      </c>
      <c r="AW53" s="11">
        <v>0</v>
      </c>
      <c r="AX53" s="11">
        <v>92110</v>
      </c>
      <c r="AY53" s="11">
        <v>0</v>
      </c>
      <c r="AZ53" s="11">
        <v>0</v>
      </c>
      <c r="BA53" s="11">
        <v>0</v>
      </c>
      <c r="BB53" s="11">
        <v>4585</v>
      </c>
      <c r="BC53" s="11">
        <v>1433</v>
      </c>
      <c r="BD53" s="11">
        <v>1739</v>
      </c>
      <c r="BE53" s="11">
        <v>-1</v>
      </c>
      <c r="BF53" s="11">
        <v>-429</v>
      </c>
      <c r="BG53" s="11">
        <v>-1525</v>
      </c>
      <c r="BH53" s="11">
        <v>-1905</v>
      </c>
      <c r="BI53" s="11">
        <v>-1</v>
      </c>
      <c r="BJ53" s="11">
        <f t="shared" si="7"/>
        <v>3896</v>
      </c>
      <c r="BK53" s="1">
        <v>5</v>
      </c>
      <c r="BL53" s="1">
        <v>76</v>
      </c>
      <c r="BM53" s="1">
        <v>35</v>
      </c>
      <c r="BN53" s="1">
        <v>264</v>
      </c>
      <c r="BO53" s="1">
        <v>175</v>
      </c>
      <c r="BP53" s="1">
        <v>8</v>
      </c>
      <c r="BQ53" s="1">
        <v>5</v>
      </c>
      <c r="BR53" s="1">
        <v>0</v>
      </c>
      <c r="BS53" s="1">
        <v>9</v>
      </c>
      <c r="BT53" s="1">
        <v>3</v>
      </c>
      <c r="BU53" s="1">
        <v>1</v>
      </c>
      <c r="BV53" s="1">
        <v>10</v>
      </c>
      <c r="BW53" s="1">
        <v>12</v>
      </c>
      <c r="BX53" s="1">
        <v>49</v>
      </c>
      <c r="BY53" s="1">
        <v>46</v>
      </c>
      <c r="BZ53" s="1">
        <v>35</v>
      </c>
    </row>
    <row r="54" spans="1:78">
      <c r="A54" s="16">
        <v>5</v>
      </c>
      <c r="B54" s="59" t="s">
        <v>64</v>
      </c>
      <c r="C54" s="60" t="s">
        <v>285</v>
      </c>
      <c r="D54" s="59" t="s">
        <v>326</v>
      </c>
      <c r="E54" s="59" t="s">
        <v>451</v>
      </c>
      <c r="F54" s="59" t="s">
        <v>618</v>
      </c>
      <c r="G54" s="59" t="s">
        <v>440</v>
      </c>
      <c r="H54" s="11">
        <v>24650734</v>
      </c>
      <c r="I54" s="11">
        <v>24754463</v>
      </c>
      <c r="J54" s="11">
        <v>1182268</v>
      </c>
      <c r="K54" s="52">
        <v>7265383</v>
      </c>
      <c r="L54" s="52">
        <v>272056</v>
      </c>
      <c r="M54" s="52">
        <v>192180</v>
      </c>
      <c r="N54" s="52">
        <v>11026729</v>
      </c>
      <c r="O54" s="52">
        <v>26822</v>
      </c>
      <c r="P54" s="52">
        <v>2782</v>
      </c>
      <c r="Q54" s="52">
        <v>765990</v>
      </c>
      <c r="R54" s="11">
        <v>2881098</v>
      </c>
      <c r="S54" s="11">
        <v>787738</v>
      </c>
      <c r="T54" s="11">
        <v>0</v>
      </c>
      <c r="U54" s="11">
        <v>0</v>
      </c>
      <c r="V54" s="11">
        <v>24231147</v>
      </c>
      <c r="W54" s="13">
        <v>6.2100000000000002E-2</v>
      </c>
      <c r="X54" s="11">
        <v>7256694</v>
      </c>
      <c r="Y54" s="26">
        <f>986520/16675919</f>
        <v>5.9158358828679848E-2</v>
      </c>
      <c r="Z54" s="11">
        <v>986522</v>
      </c>
      <c r="AA54" s="11">
        <v>0</v>
      </c>
      <c r="AB54" s="11">
        <f>103114+7537+2008</f>
        <v>112659</v>
      </c>
      <c r="AC54" s="11">
        <v>415494</v>
      </c>
      <c r="AD54" s="11">
        <v>35426</v>
      </c>
      <c r="AE54" s="11">
        <v>84716</v>
      </c>
      <c r="AF54" s="11">
        <f>53840+15720</f>
        <v>69560</v>
      </c>
      <c r="AG54" s="11">
        <v>24937</v>
      </c>
      <c r="AH54" s="11">
        <v>171978</v>
      </c>
      <c r="AI54" s="11">
        <v>15955</v>
      </c>
      <c r="AJ54" s="11">
        <v>13605</v>
      </c>
      <c r="AK54" s="11">
        <f>5550+65752+15939</f>
        <v>87241</v>
      </c>
      <c r="AL54" s="11">
        <v>9424</v>
      </c>
      <c r="AM54" s="11">
        <v>358</v>
      </c>
      <c r="AN54" s="11">
        <v>0</v>
      </c>
      <c r="AO54" s="11">
        <v>13522</v>
      </c>
      <c r="AP54" s="11">
        <v>2352</v>
      </c>
      <c r="AQ54" s="11">
        <v>0</v>
      </c>
      <c r="AR54" s="11">
        <v>997077</v>
      </c>
      <c r="AS54" s="11">
        <v>1013397</v>
      </c>
      <c r="AT54" s="11">
        <v>0</v>
      </c>
      <c r="AU54" s="11">
        <v>0</v>
      </c>
      <c r="AV54" s="11">
        <v>143628</v>
      </c>
      <c r="AW54" s="11">
        <v>0</v>
      </c>
      <c r="AX54" s="11">
        <v>104338</v>
      </c>
      <c r="AY54" s="11">
        <v>0</v>
      </c>
      <c r="AZ54" s="11">
        <v>0</v>
      </c>
      <c r="BA54" s="11">
        <v>0</v>
      </c>
      <c r="BB54" s="11">
        <v>4942</v>
      </c>
      <c r="BC54" s="11">
        <v>611</v>
      </c>
      <c r="BD54" s="11">
        <v>2118</v>
      </c>
      <c r="BE54" s="11">
        <v>0</v>
      </c>
      <c r="BF54" s="11">
        <v>-467</v>
      </c>
      <c r="BG54" s="11">
        <v>-1961</v>
      </c>
      <c r="BH54" s="11">
        <v>-2005</v>
      </c>
      <c r="BI54" s="11">
        <v>-7</v>
      </c>
      <c r="BJ54" s="11">
        <f t="shared" si="7"/>
        <v>3231</v>
      </c>
      <c r="BK54" s="1">
        <v>4</v>
      </c>
      <c r="BL54" s="1">
        <v>286</v>
      </c>
      <c r="BM54" s="1">
        <v>96</v>
      </c>
      <c r="BN54" s="1">
        <v>433</v>
      </c>
      <c r="BO54" s="1">
        <v>156</v>
      </c>
      <c r="BP54" s="1">
        <v>14</v>
      </c>
      <c r="BQ54" s="1">
        <v>13</v>
      </c>
      <c r="BR54" s="1">
        <v>9</v>
      </c>
      <c r="BS54" s="1">
        <v>19</v>
      </c>
      <c r="BT54" s="1">
        <v>7</v>
      </c>
      <c r="BU54" s="1">
        <v>5</v>
      </c>
      <c r="BV54" s="1">
        <v>102</v>
      </c>
      <c r="BW54" s="1">
        <v>19</v>
      </c>
      <c r="BX54" s="1">
        <v>105</v>
      </c>
      <c r="BY54" s="1">
        <v>51</v>
      </c>
      <c r="BZ54" s="1">
        <v>38</v>
      </c>
    </row>
    <row r="55" spans="1:78">
      <c r="A55" s="16">
        <v>5</v>
      </c>
      <c r="B55" s="59" t="s">
        <v>69</v>
      </c>
      <c r="C55" s="60" t="s">
        <v>628</v>
      </c>
      <c r="D55" s="59" t="s">
        <v>425</v>
      </c>
      <c r="E55" s="59" t="s">
        <v>370</v>
      </c>
      <c r="F55" s="59" t="s">
        <v>208</v>
      </c>
      <c r="G55" s="59" t="s">
        <v>395</v>
      </c>
      <c r="H55" s="11">
        <v>17946103</v>
      </c>
      <c r="I55" s="11">
        <v>18031904</v>
      </c>
      <c r="J55" s="11">
        <v>736115</v>
      </c>
      <c r="K55" s="52">
        <v>0</v>
      </c>
      <c r="L55" s="52">
        <v>3827676</v>
      </c>
      <c r="M55" s="52">
        <v>2843998</v>
      </c>
      <c r="N55" s="52">
        <v>0</v>
      </c>
      <c r="O55" s="52">
        <v>0</v>
      </c>
      <c r="P55" s="52">
        <v>1082347</v>
      </c>
      <c r="Q55" s="52">
        <v>0</v>
      </c>
      <c r="R55" s="11">
        <v>7359249</v>
      </c>
      <c r="S55" s="11">
        <v>1560749</v>
      </c>
      <c r="T55" s="11">
        <v>0</v>
      </c>
      <c r="U55" s="11">
        <v>0</v>
      </c>
      <c r="V55" s="11">
        <v>17459710</v>
      </c>
      <c r="W55" s="13">
        <v>0.1145</v>
      </c>
      <c r="X55" s="11">
        <v>0</v>
      </c>
      <c r="Y55" s="26">
        <f>785687/17459710</f>
        <v>4.5000002863735997E-2</v>
      </c>
      <c r="Z55" s="11">
        <v>785691</v>
      </c>
      <c r="AA55" s="11">
        <v>0</v>
      </c>
      <c r="AB55" s="11">
        <f>85801+0+985</f>
        <v>86786</v>
      </c>
      <c r="AC55" s="11">
        <v>367339</v>
      </c>
      <c r="AD55" s="11">
        <v>0</v>
      </c>
      <c r="AE55" s="11">
        <v>88470</v>
      </c>
      <c r="AF55" s="11">
        <v>52628</v>
      </c>
      <c r="AG55" s="11">
        <v>43985</v>
      </c>
      <c r="AH55" s="11">
        <v>20376</v>
      </c>
      <c r="AI55" s="11">
        <v>4188</v>
      </c>
      <c r="AJ55" s="11">
        <v>27349</v>
      </c>
      <c r="AK55" s="11">
        <f>16304+24051+18867</f>
        <v>59222</v>
      </c>
      <c r="AL55" s="11">
        <v>8574</v>
      </c>
      <c r="AM55" s="11">
        <v>0</v>
      </c>
      <c r="AN55" s="11">
        <v>0</v>
      </c>
      <c r="AO55" s="11">
        <v>0</v>
      </c>
      <c r="AP55" s="11">
        <v>8193</v>
      </c>
      <c r="AQ55" s="11">
        <v>1482</v>
      </c>
      <c r="AR55" s="11">
        <v>738253</v>
      </c>
      <c r="AS55" s="11">
        <v>746460</v>
      </c>
      <c r="AT55" s="11">
        <v>0</v>
      </c>
      <c r="AU55" s="11">
        <v>0</v>
      </c>
      <c r="AV55" s="11">
        <v>143628</v>
      </c>
      <c r="AW55" s="11">
        <v>0</v>
      </c>
      <c r="AX55" s="11">
        <v>28003</v>
      </c>
      <c r="AY55" s="11">
        <v>0</v>
      </c>
      <c r="AZ55" s="11">
        <v>0</v>
      </c>
      <c r="BA55" s="11">
        <v>0</v>
      </c>
      <c r="BB55" s="11">
        <v>4310</v>
      </c>
      <c r="BC55" s="11">
        <v>3290</v>
      </c>
      <c r="BD55" s="11">
        <v>17</v>
      </c>
      <c r="BE55" s="11">
        <v>16</v>
      </c>
      <c r="BF55" s="11">
        <v>-207</v>
      </c>
      <c r="BG55" s="11">
        <v>-1808</v>
      </c>
      <c r="BH55" s="11">
        <v>-773</v>
      </c>
      <c r="BI55" s="11">
        <v>-3</v>
      </c>
      <c r="BJ55" s="11">
        <f t="shared" si="7"/>
        <v>4842</v>
      </c>
      <c r="BK55" s="1">
        <v>1</v>
      </c>
      <c r="BL55" s="1">
        <v>428</v>
      </c>
      <c r="BM55" s="1">
        <v>50</v>
      </c>
      <c r="BN55" s="1">
        <v>248</v>
      </c>
      <c r="BO55" s="1">
        <v>1</v>
      </c>
      <c r="BP55" s="1">
        <v>46</v>
      </c>
      <c r="BQ55" s="1">
        <v>3</v>
      </c>
      <c r="BR55" s="1">
        <v>16</v>
      </c>
      <c r="BS55" s="1">
        <v>67</v>
      </c>
      <c r="BT55" s="1">
        <v>69</v>
      </c>
      <c r="BU55" s="1">
        <v>4</v>
      </c>
      <c r="BV55" s="1">
        <v>39</v>
      </c>
      <c r="BW55" s="1">
        <v>50</v>
      </c>
      <c r="BX55" s="1">
        <v>325</v>
      </c>
      <c r="BY55" s="1">
        <v>633</v>
      </c>
      <c r="BZ55" s="1">
        <v>143</v>
      </c>
    </row>
    <row r="56" spans="1:78">
      <c r="A56" s="16">
        <v>5</v>
      </c>
      <c r="B56" s="59" t="s">
        <v>72</v>
      </c>
      <c r="C56" s="60" t="s">
        <v>325</v>
      </c>
      <c r="D56" s="59" t="s">
        <v>289</v>
      </c>
      <c r="E56" s="59" t="s">
        <v>451</v>
      </c>
      <c r="F56" s="59" t="s">
        <v>618</v>
      </c>
      <c r="G56" s="59" t="s">
        <v>440</v>
      </c>
      <c r="H56" s="11">
        <v>13254176</v>
      </c>
      <c r="I56" s="11">
        <v>14071896</v>
      </c>
      <c r="J56" s="11">
        <v>845350</v>
      </c>
      <c r="K56" s="52">
        <v>1392464</v>
      </c>
      <c r="L56" s="52">
        <v>866056</v>
      </c>
      <c r="M56" s="52">
        <v>6292644</v>
      </c>
      <c r="N56" s="52">
        <v>0</v>
      </c>
      <c r="O56" s="52">
        <v>9431</v>
      </c>
      <c r="P56" s="52">
        <v>447991</v>
      </c>
      <c r="Q56" s="52">
        <v>0</v>
      </c>
      <c r="R56" s="11">
        <v>1787014</v>
      </c>
      <c r="S56" s="11">
        <v>888658</v>
      </c>
      <c r="T56" s="11">
        <v>0</v>
      </c>
      <c r="U56" s="11">
        <v>0</v>
      </c>
      <c r="V56" s="11">
        <v>13497026</v>
      </c>
      <c r="W56" s="13">
        <v>0.11</v>
      </c>
      <c r="X56" s="11">
        <v>0</v>
      </c>
      <c r="Y56" s="26">
        <f>653923/12338174</f>
        <v>5.2999982007061984E-2</v>
      </c>
      <c r="Z56" s="11">
        <v>653917</v>
      </c>
      <c r="AA56" s="11">
        <v>0</v>
      </c>
      <c r="AB56" s="11">
        <f>9608+926+815</f>
        <v>11349</v>
      </c>
      <c r="AC56" s="11">
        <v>244294</v>
      </c>
      <c r="AD56" s="11">
        <v>19418</v>
      </c>
      <c r="AE56" s="11">
        <v>46964</v>
      </c>
      <c r="AF56" s="11">
        <f>36540+136</f>
        <v>36676</v>
      </c>
      <c r="AG56" s="11">
        <v>4550</v>
      </c>
      <c r="AH56" s="11">
        <v>21998</v>
      </c>
      <c r="AI56" s="11">
        <v>19724</v>
      </c>
      <c r="AJ56" s="11">
        <v>6787</v>
      </c>
      <c r="AK56" s="11">
        <f>10068+23178+11771</f>
        <v>45017</v>
      </c>
      <c r="AL56" s="11">
        <v>6023</v>
      </c>
      <c r="AM56" s="11">
        <v>315</v>
      </c>
      <c r="AN56" s="11">
        <v>0</v>
      </c>
      <c r="AO56" s="11">
        <v>0</v>
      </c>
      <c r="AP56" s="11">
        <v>26543</v>
      </c>
      <c r="AQ56" s="11">
        <v>0</v>
      </c>
      <c r="AR56" s="11">
        <v>524633</v>
      </c>
      <c r="AS56" s="11">
        <v>552703</v>
      </c>
      <c r="AT56" s="11">
        <v>0</v>
      </c>
      <c r="AU56" s="11">
        <v>0</v>
      </c>
      <c r="AV56" s="11">
        <v>143628</v>
      </c>
      <c r="AW56" s="11">
        <v>0</v>
      </c>
      <c r="AX56" s="11">
        <v>61304</v>
      </c>
      <c r="AY56" s="11">
        <v>0</v>
      </c>
      <c r="AZ56" s="11">
        <v>0</v>
      </c>
      <c r="BA56" s="11">
        <v>0</v>
      </c>
      <c r="BB56" s="11">
        <v>3000</v>
      </c>
      <c r="BC56" s="11">
        <v>1170</v>
      </c>
      <c r="BD56" s="11">
        <v>2</v>
      </c>
      <c r="BE56" s="11">
        <f>9-2+10</f>
        <v>17</v>
      </c>
      <c r="BF56" s="11">
        <v>-134</v>
      </c>
      <c r="BG56" s="11">
        <v>-676</v>
      </c>
      <c r="BH56" s="11">
        <v>-459</v>
      </c>
      <c r="BI56" s="11">
        <v>0</v>
      </c>
      <c r="BJ56" s="11">
        <f t="shared" si="7"/>
        <v>2920</v>
      </c>
      <c r="BK56" s="1">
        <v>2</v>
      </c>
      <c r="BL56" s="1">
        <v>118</v>
      </c>
      <c r="BM56" s="1">
        <v>63</v>
      </c>
      <c r="BN56" s="1">
        <v>202</v>
      </c>
      <c r="BO56" s="1">
        <v>17</v>
      </c>
      <c r="BP56" s="1">
        <v>59</v>
      </c>
      <c r="BQ56" s="1">
        <v>3</v>
      </c>
      <c r="BR56" s="1">
        <v>4</v>
      </c>
      <c r="BS56" s="1">
        <v>41</v>
      </c>
      <c r="BT56" s="1">
        <v>56</v>
      </c>
      <c r="BU56" s="1">
        <v>3</v>
      </c>
      <c r="BV56" s="1">
        <v>18</v>
      </c>
      <c r="BW56" s="1">
        <v>13</v>
      </c>
      <c r="BX56" s="1">
        <v>179</v>
      </c>
      <c r="BY56" s="1">
        <v>296</v>
      </c>
      <c r="BZ56" s="1">
        <v>65</v>
      </c>
    </row>
    <row r="57" spans="1:78">
      <c r="A57" s="16">
        <v>5</v>
      </c>
      <c r="B57" s="59" t="s">
        <v>160</v>
      </c>
      <c r="C57" s="60" t="s">
        <v>42</v>
      </c>
      <c r="D57" s="59" t="s">
        <v>67</v>
      </c>
      <c r="E57" s="59" t="s">
        <v>370</v>
      </c>
      <c r="F57" s="59" t="s">
        <v>431</v>
      </c>
      <c r="G57" s="59" t="s">
        <v>395</v>
      </c>
      <c r="H57" s="11">
        <v>10839331</v>
      </c>
      <c r="I57" s="11">
        <v>10807985</v>
      </c>
      <c r="J57" s="11">
        <v>661272</v>
      </c>
      <c r="K57" s="52">
        <v>0</v>
      </c>
      <c r="L57" s="52">
        <v>386017</v>
      </c>
      <c r="M57" s="52">
        <v>881139</v>
      </c>
      <c r="N57" s="52">
        <v>3579616</v>
      </c>
      <c r="O57" s="52">
        <v>1772</v>
      </c>
      <c r="P57" s="52">
        <v>119740</v>
      </c>
      <c r="Q57" s="52">
        <v>481093</v>
      </c>
      <c r="R57" s="11">
        <v>3023446</v>
      </c>
      <c r="S57" s="11">
        <v>620771</v>
      </c>
      <c r="T57" s="11">
        <v>29111</v>
      </c>
      <c r="U57" s="11">
        <v>32074</v>
      </c>
      <c r="V57" s="11">
        <v>9911234</v>
      </c>
      <c r="W57" s="13">
        <v>0.05</v>
      </c>
      <c r="X57" s="11">
        <v>0</v>
      </c>
      <c r="Y57" s="26">
        <f>734345/9782613</f>
        <v>7.5066344748586089E-2</v>
      </c>
      <c r="Z57" s="11">
        <v>734343</v>
      </c>
      <c r="AA57" s="11">
        <v>0</v>
      </c>
      <c r="AB57" s="11">
        <f>21660+2768+827</f>
        <v>25255</v>
      </c>
      <c r="AC57" s="11">
        <v>293954</v>
      </c>
      <c r="AD57" s="11">
        <v>27005</v>
      </c>
      <c r="AE57" s="11">
        <v>54999</v>
      </c>
      <c r="AF57" s="11">
        <f>52745+8041</f>
        <v>60786</v>
      </c>
      <c r="AG57" s="11">
        <v>11275</v>
      </c>
      <c r="AH57" s="11">
        <v>22374</v>
      </c>
      <c r="AI57" s="11">
        <v>18890</v>
      </c>
      <c r="AJ57" s="11">
        <v>18409</v>
      </c>
      <c r="AK57" s="11">
        <f>15438+13500+21995</f>
        <v>50933</v>
      </c>
      <c r="AL57" s="11">
        <v>12221</v>
      </c>
      <c r="AM57" s="11">
        <v>57</v>
      </c>
      <c r="AN57" s="11">
        <v>0</v>
      </c>
      <c r="AO57" s="11">
        <v>2910</v>
      </c>
      <c r="AP57" s="11">
        <v>27785</v>
      </c>
      <c r="AQ57" s="11">
        <v>0</v>
      </c>
      <c r="AR57" s="11">
        <v>653360</v>
      </c>
      <c r="AS57" s="11">
        <v>660663</v>
      </c>
      <c r="AT57" s="11">
        <v>0</v>
      </c>
      <c r="AU57" s="11">
        <v>0</v>
      </c>
      <c r="AV57" s="11">
        <v>143628</v>
      </c>
      <c r="AW57" s="11">
        <v>0</v>
      </c>
      <c r="AX57" s="11">
        <v>94110</v>
      </c>
      <c r="AY57" s="11">
        <v>0</v>
      </c>
      <c r="AZ57" s="11">
        <v>0</v>
      </c>
      <c r="BA57" s="11">
        <v>0</v>
      </c>
      <c r="BB57" s="11">
        <v>1871</v>
      </c>
      <c r="BC57" s="11">
        <v>853</v>
      </c>
      <c r="BD57" s="11">
        <v>0</v>
      </c>
      <c r="BE57" s="11">
        <v>14</v>
      </c>
      <c r="BF57" s="11">
        <v>-304</v>
      </c>
      <c r="BG57" s="11">
        <v>-212</v>
      </c>
      <c r="BH57" s="11">
        <v>-398</v>
      </c>
      <c r="BI57" s="11">
        <v>0</v>
      </c>
      <c r="BJ57" s="11">
        <f t="shared" si="7"/>
        <v>1824</v>
      </c>
      <c r="BK57" s="1">
        <v>0</v>
      </c>
      <c r="BL57" s="1">
        <v>212</v>
      </c>
      <c r="BM57" s="1">
        <v>55</v>
      </c>
      <c r="BN57" s="1">
        <v>117</v>
      </c>
      <c r="BO57" s="1">
        <v>10</v>
      </c>
      <c r="BP57" s="1">
        <v>3</v>
      </c>
      <c r="BQ57" s="1">
        <v>15</v>
      </c>
      <c r="BR57" s="1">
        <v>19</v>
      </c>
      <c r="BS57" s="1">
        <v>121</v>
      </c>
      <c r="BT57" s="1">
        <v>62</v>
      </c>
      <c r="BU57" s="1">
        <v>6</v>
      </c>
      <c r="BV57" s="1">
        <v>12</v>
      </c>
      <c r="BW57" s="1">
        <v>21</v>
      </c>
      <c r="BX57" s="1">
        <v>71</v>
      </c>
      <c r="BY57" s="1">
        <v>59</v>
      </c>
      <c r="BZ57" s="1">
        <v>2</v>
      </c>
    </row>
    <row r="58" spans="1:78">
      <c r="A58" s="16">
        <v>5</v>
      </c>
      <c r="B58" s="59" t="s">
        <v>170</v>
      </c>
      <c r="C58" s="60" t="s">
        <v>509</v>
      </c>
      <c r="D58" s="59" t="s">
        <v>608</v>
      </c>
      <c r="E58" s="59" t="s">
        <v>370</v>
      </c>
      <c r="F58" s="59" t="s">
        <v>694</v>
      </c>
      <c r="G58" s="59" t="s">
        <v>395</v>
      </c>
      <c r="H58" s="11">
        <v>47036355</v>
      </c>
      <c r="I58" s="11">
        <v>47138174</v>
      </c>
      <c r="J58" s="11">
        <v>1312977</v>
      </c>
      <c r="K58" s="52">
        <v>6076876</v>
      </c>
      <c r="L58" s="52">
        <v>1481715</v>
      </c>
      <c r="M58" s="52">
        <v>19721983</v>
      </c>
      <c r="N58" s="52">
        <v>0</v>
      </c>
      <c r="O58" s="52">
        <v>139484</v>
      </c>
      <c r="P58" s="52">
        <v>1769119</v>
      </c>
      <c r="Q58" s="52">
        <v>1121862</v>
      </c>
      <c r="R58" s="11">
        <v>9029453</v>
      </c>
      <c r="S58" s="11">
        <v>4802191</v>
      </c>
      <c r="T58" s="11">
        <v>5339</v>
      </c>
      <c r="U58" s="11">
        <v>0</v>
      </c>
      <c r="V58" s="11">
        <v>45590817</v>
      </c>
      <c r="W58" s="13">
        <v>0.02</v>
      </c>
      <c r="X58" s="11">
        <v>0</v>
      </c>
      <c r="Y58" s="26">
        <f>1442748/45585478</f>
        <v>3.164928971458849E-2</v>
      </c>
      <c r="Z58" s="11">
        <v>1442795</v>
      </c>
      <c r="AA58" s="11">
        <v>0</v>
      </c>
      <c r="AB58" s="11">
        <f>101819+0+1667</f>
        <v>103486</v>
      </c>
      <c r="AC58" s="11">
        <v>818205</v>
      </c>
      <c r="AD58" s="11">
        <v>64645</v>
      </c>
      <c r="AE58" s="11">
        <v>175805</v>
      </c>
      <c r="AF58" s="11">
        <v>84836</v>
      </c>
      <c r="AG58" s="11">
        <v>0</v>
      </c>
      <c r="AH58" s="11">
        <v>20194</v>
      </c>
      <c r="AI58" s="11">
        <v>7750</v>
      </c>
      <c r="AJ58" s="11">
        <v>91036</v>
      </c>
      <c r="AK58" s="11">
        <f>15125+39336+31988</f>
        <v>86449</v>
      </c>
      <c r="AL58" s="11">
        <v>13637</v>
      </c>
      <c r="AM58" s="11">
        <v>564</v>
      </c>
      <c r="AN58" s="11">
        <v>0</v>
      </c>
      <c r="AO58" s="11">
        <v>0</v>
      </c>
      <c r="AP58" s="11">
        <v>2360</v>
      </c>
      <c r="AQ58" s="11">
        <v>86668</v>
      </c>
      <c r="AR58" s="11">
        <v>1459192</v>
      </c>
      <c r="AS58" s="11">
        <v>1528874</v>
      </c>
      <c r="AT58" s="11">
        <v>0</v>
      </c>
      <c r="AU58" s="11">
        <v>0</v>
      </c>
      <c r="AV58" s="11">
        <v>143628</v>
      </c>
      <c r="AW58" s="11">
        <v>0</v>
      </c>
      <c r="AX58" s="11">
        <v>103636</v>
      </c>
      <c r="AY58" s="11">
        <v>0</v>
      </c>
      <c r="AZ58" s="11">
        <v>0</v>
      </c>
      <c r="BA58" s="11">
        <v>0</v>
      </c>
      <c r="BB58" s="11">
        <v>10448</v>
      </c>
      <c r="BC58" s="11">
        <v>3787</v>
      </c>
      <c r="BD58" s="11">
        <v>128</v>
      </c>
      <c r="BE58" s="11">
        <v>28</v>
      </c>
      <c r="BF58" s="11">
        <v>-692</v>
      </c>
      <c r="BG58" s="11">
        <v>-1958</v>
      </c>
      <c r="BH58" s="11">
        <v>-1672</v>
      </c>
      <c r="BI58" s="11">
        <v>-33</v>
      </c>
      <c r="BJ58" s="11">
        <f t="shared" si="7"/>
        <v>10036</v>
      </c>
      <c r="BK58" s="1">
        <v>13</v>
      </c>
      <c r="BL58" s="1">
        <v>592</v>
      </c>
      <c r="BM58" s="1">
        <v>240</v>
      </c>
      <c r="BN58" s="1">
        <v>776</v>
      </c>
      <c r="BO58" s="1">
        <v>19</v>
      </c>
      <c r="BP58" s="1">
        <v>45</v>
      </c>
      <c r="BQ58" s="1">
        <v>5</v>
      </c>
      <c r="BR58" s="1">
        <v>13</v>
      </c>
      <c r="BS58" s="1">
        <v>93</v>
      </c>
      <c r="BT58" s="1">
        <v>461</v>
      </c>
      <c r="BU58" s="1">
        <v>13</v>
      </c>
      <c r="BV58" s="1">
        <v>19</v>
      </c>
      <c r="BW58" s="1">
        <v>37</v>
      </c>
      <c r="BX58" s="1">
        <v>207</v>
      </c>
      <c r="BY58" s="1">
        <v>1280</v>
      </c>
      <c r="BZ58" s="1">
        <v>78</v>
      </c>
    </row>
    <row r="59" spans="1:78">
      <c r="A59" s="16">
        <v>5</v>
      </c>
      <c r="B59" s="59" t="s">
        <v>295</v>
      </c>
      <c r="C59" s="60" t="s">
        <v>328</v>
      </c>
      <c r="D59" s="59" t="s">
        <v>326</v>
      </c>
      <c r="E59" s="59" t="s">
        <v>451</v>
      </c>
      <c r="F59" s="59" t="s">
        <v>618</v>
      </c>
      <c r="G59" s="59" t="s">
        <v>440</v>
      </c>
      <c r="H59" s="11">
        <v>10470419</v>
      </c>
      <c r="I59" s="11">
        <v>10489176</v>
      </c>
      <c r="J59" s="11">
        <v>291552</v>
      </c>
      <c r="K59" s="52">
        <v>3105285</v>
      </c>
      <c r="L59" s="52">
        <v>485213</v>
      </c>
      <c r="M59" s="52">
        <v>3173088</v>
      </c>
      <c r="N59" s="52">
        <v>221478</v>
      </c>
      <c r="O59" s="52">
        <v>1766</v>
      </c>
      <c r="P59" s="52">
        <v>238820</v>
      </c>
      <c r="Q59" s="52">
        <v>898</v>
      </c>
      <c r="R59" s="11">
        <v>608651</v>
      </c>
      <c r="S59" s="11">
        <v>1380726</v>
      </c>
      <c r="T59" s="11">
        <v>0</v>
      </c>
      <c r="U59" s="11">
        <v>0</v>
      </c>
      <c r="V59" s="11">
        <v>9881662</v>
      </c>
      <c r="W59" s="13">
        <v>7.5800000000000006E-2</v>
      </c>
      <c r="X59" s="11">
        <f>3105285+1766</f>
        <v>3107051</v>
      </c>
      <c r="Y59" s="26">
        <f>666829/6668287</f>
        <v>0.10000004498906541</v>
      </c>
      <c r="Z59" s="11">
        <v>665737</v>
      </c>
      <c r="AA59" s="11">
        <v>0</v>
      </c>
      <c r="AB59" s="11">
        <f>17149+286+329</f>
        <v>17764</v>
      </c>
      <c r="AC59" s="11">
        <v>202343</v>
      </c>
      <c r="AD59" s="11">
        <v>15459</v>
      </c>
      <c r="AE59" s="11">
        <v>40784</v>
      </c>
      <c r="AF59" s="11">
        <f>36000+8485</f>
        <v>44485</v>
      </c>
      <c r="AG59" s="11">
        <v>907</v>
      </c>
      <c r="AH59" s="11">
        <v>48761</v>
      </c>
      <c r="AI59" s="11">
        <v>6366</v>
      </c>
      <c r="AJ59" s="11">
        <v>63375</v>
      </c>
      <c r="AK59" s="11">
        <f>6732+19348+21466</f>
        <v>47546</v>
      </c>
      <c r="AL59" s="11">
        <v>8389</v>
      </c>
      <c r="AM59" s="11">
        <v>0</v>
      </c>
      <c r="AN59" s="11">
        <v>0</v>
      </c>
      <c r="AO59" s="11">
        <v>15043</v>
      </c>
      <c r="AP59" s="11">
        <v>2030</v>
      </c>
      <c r="AQ59" s="11">
        <v>0</v>
      </c>
      <c r="AR59" s="11">
        <v>563639</v>
      </c>
      <c r="AS59" s="11">
        <v>595279</v>
      </c>
      <c r="AT59" s="11">
        <v>0</v>
      </c>
      <c r="AU59" s="11">
        <v>0</v>
      </c>
      <c r="AV59" s="11">
        <v>143580</v>
      </c>
      <c r="AW59" s="11">
        <v>0</v>
      </c>
      <c r="AX59" s="11">
        <v>52242</v>
      </c>
      <c r="AY59" s="11">
        <v>0</v>
      </c>
      <c r="AZ59" s="11">
        <v>0</v>
      </c>
      <c r="BA59" s="11">
        <v>0</v>
      </c>
      <c r="BB59" s="11">
        <v>1014</v>
      </c>
      <c r="BC59" s="11">
        <v>2567</v>
      </c>
      <c r="BD59" s="11">
        <v>79</v>
      </c>
      <c r="BE59" s="11">
        <v>-2</v>
      </c>
      <c r="BF59" s="11">
        <v>-192</v>
      </c>
      <c r="BG59" s="11">
        <v>-820</v>
      </c>
      <c r="BH59" s="11">
        <v>-4</v>
      </c>
      <c r="BI59" s="11">
        <v>0</v>
      </c>
      <c r="BJ59" s="11">
        <f t="shared" si="7"/>
        <v>2642</v>
      </c>
      <c r="BK59" s="1">
        <v>0</v>
      </c>
      <c r="BL59" s="1">
        <v>1</v>
      </c>
      <c r="BM59" s="1">
        <v>0</v>
      </c>
      <c r="BN59" s="1">
        <v>0</v>
      </c>
      <c r="BO59" s="1">
        <v>2</v>
      </c>
      <c r="BP59" s="1">
        <v>0</v>
      </c>
      <c r="BQ59" s="1">
        <v>19</v>
      </c>
      <c r="BR59" s="1">
        <v>2</v>
      </c>
      <c r="BS59" s="1">
        <v>7</v>
      </c>
      <c r="BT59" s="1">
        <v>57</v>
      </c>
      <c r="BU59" s="1">
        <v>12</v>
      </c>
      <c r="BV59" s="1">
        <v>93</v>
      </c>
      <c r="BW59" s="1">
        <v>15</v>
      </c>
      <c r="BX59" s="1">
        <v>27</v>
      </c>
      <c r="BY59" s="1">
        <v>167</v>
      </c>
      <c r="BZ59" s="1">
        <v>24</v>
      </c>
    </row>
    <row r="60" spans="1:78">
      <c r="A60" s="16">
        <v>5</v>
      </c>
      <c r="B60" s="59" t="s">
        <v>577</v>
      </c>
      <c r="C60" s="60" t="s">
        <v>354</v>
      </c>
      <c r="D60" s="59" t="s">
        <v>373</v>
      </c>
      <c r="E60" s="59" t="s">
        <v>370</v>
      </c>
      <c r="F60" s="59" t="s">
        <v>694</v>
      </c>
      <c r="G60" s="59" t="s">
        <v>395</v>
      </c>
      <c r="H60" s="11">
        <v>14666139</v>
      </c>
      <c r="I60" s="11">
        <v>14695411</v>
      </c>
      <c r="J60" s="11">
        <v>486759</v>
      </c>
      <c r="K60" s="52">
        <v>362709</v>
      </c>
      <c r="L60" s="52">
        <v>0</v>
      </c>
      <c r="M60" s="52">
        <v>0</v>
      </c>
      <c r="N60" s="52">
        <v>7217840</v>
      </c>
      <c r="O60" s="52">
        <v>2861</v>
      </c>
      <c r="P60" s="52">
        <v>0</v>
      </c>
      <c r="Q60" s="52">
        <v>683258</v>
      </c>
      <c r="R60" s="11">
        <v>3994290</v>
      </c>
      <c r="S60" s="11">
        <v>1114541</v>
      </c>
      <c r="T60" s="11">
        <v>0</v>
      </c>
      <c r="U60" s="11">
        <v>0</v>
      </c>
      <c r="V60" s="11">
        <v>14208915</v>
      </c>
      <c r="W60" s="13">
        <v>0.1103</v>
      </c>
      <c r="X60" s="11">
        <f>362709+2861</f>
        <v>365570</v>
      </c>
      <c r="Y60" s="26">
        <f>835817/13930288</f>
        <v>5.9999979899913056E-2</v>
      </c>
      <c r="Z60" s="11">
        <v>833416</v>
      </c>
      <c r="AA60" s="11">
        <v>0</v>
      </c>
      <c r="AB60" s="11">
        <f>29272+1264</f>
        <v>30536</v>
      </c>
      <c r="AC60" s="11">
        <v>359227</v>
      </c>
      <c r="AD60" s="11">
        <v>29502</v>
      </c>
      <c r="AE60" s="11">
        <v>67076</v>
      </c>
      <c r="AF60" s="11">
        <v>47418</v>
      </c>
      <c r="AG60" s="11">
        <v>16575</v>
      </c>
      <c r="AH60" s="11">
        <v>25361</v>
      </c>
      <c r="AI60" s="11">
        <v>66077</v>
      </c>
      <c r="AJ60" s="11">
        <v>12186</v>
      </c>
      <c r="AK60" s="11">
        <f>11757+22837+12240</f>
        <v>46834</v>
      </c>
      <c r="AL60" s="11">
        <v>9950</v>
      </c>
      <c r="AM60" s="11">
        <v>1949</v>
      </c>
      <c r="AN60" s="11">
        <v>25237</v>
      </c>
      <c r="AO60" s="11">
        <v>7153</v>
      </c>
      <c r="AP60" s="11">
        <v>14280</v>
      </c>
      <c r="AQ60" s="11">
        <v>0</v>
      </c>
      <c r="AR60" s="11">
        <v>773320</v>
      </c>
      <c r="AS60" s="11">
        <v>778269</v>
      </c>
      <c r="AT60" s="11">
        <v>81</v>
      </c>
      <c r="AU60" s="11">
        <v>0</v>
      </c>
      <c r="AV60" s="11">
        <v>143305</v>
      </c>
      <c r="AW60" s="11">
        <v>0</v>
      </c>
      <c r="AX60" s="11">
        <v>59295</v>
      </c>
      <c r="AY60" s="11">
        <v>0</v>
      </c>
      <c r="AZ60" s="11">
        <v>0</v>
      </c>
      <c r="BA60" s="11">
        <v>0</v>
      </c>
      <c r="BB60" s="11">
        <v>3591</v>
      </c>
      <c r="BC60" s="11">
        <v>1385</v>
      </c>
      <c r="BD60" s="11">
        <v>0</v>
      </c>
      <c r="BE60" s="11">
        <v>0</v>
      </c>
      <c r="BF60" s="11">
        <v>-268</v>
      </c>
      <c r="BG60" s="11">
        <v>-765</v>
      </c>
      <c r="BH60" s="11">
        <v>-499</v>
      </c>
      <c r="BI60" s="11">
        <v>-11</v>
      </c>
      <c r="BJ60" s="11">
        <f t="shared" si="7"/>
        <v>3433</v>
      </c>
      <c r="BK60" s="1">
        <v>28</v>
      </c>
      <c r="BL60" s="1">
        <v>183</v>
      </c>
      <c r="BM60" s="1">
        <v>76</v>
      </c>
      <c r="BN60" s="1">
        <v>227</v>
      </c>
      <c r="BO60" s="1">
        <v>3</v>
      </c>
      <c r="BP60" s="1">
        <v>11</v>
      </c>
      <c r="BQ60" s="1">
        <v>4</v>
      </c>
      <c r="BR60" s="1">
        <v>8</v>
      </c>
      <c r="BS60" s="1">
        <v>47</v>
      </c>
      <c r="BT60" s="1">
        <v>142</v>
      </c>
      <c r="BU60" s="1">
        <v>1</v>
      </c>
      <c r="BV60" s="1">
        <v>6</v>
      </c>
      <c r="BW60" s="1">
        <v>26</v>
      </c>
      <c r="BX60" s="1">
        <v>124</v>
      </c>
      <c r="BY60" s="1">
        <v>383</v>
      </c>
      <c r="BZ60" s="1">
        <v>11</v>
      </c>
    </row>
    <row r="61" spans="1:78">
      <c r="A61" s="16">
        <v>5</v>
      </c>
      <c r="B61" s="59" t="s">
        <v>609</v>
      </c>
      <c r="C61" s="60" t="s">
        <v>201</v>
      </c>
      <c r="D61" s="59" t="s">
        <v>278</v>
      </c>
      <c r="E61" s="59" t="s">
        <v>451</v>
      </c>
      <c r="F61" s="59" t="s">
        <v>618</v>
      </c>
      <c r="G61" s="59" t="s">
        <v>440</v>
      </c>
      <c r="H61" s="11">
        <v>9318181</v>
      </c>
      <c r="I61" s="11">
        <v>9336956</v>
      </c>
      <c r="J61" s="11">
        <v>210077</v>
      </c>
      <c r="K61" s="52">
        <v>259368</v>
      </c>
      <c r="L61" s="52">
        <v>164929</v>
      </c>
      <c r="M61" s="52">
        <v>1982964</v>
      </c>
      <c r="N61" s="52">
        <v>3066694</v>
      </c>
      <c r="O61" s="52">
        <v>0</v>
      </c>
      <c r="P61" s="52">
        <v>227925</v>
      </c>
      <c r="Q61" s="52">
        <v>313690</v>
      </c>
      <c r="R61" s="11">
        <v>1917365</v>
      </c>
      <c r="S61" s="11">
        <v>726734</v>
      </c>
      <c r="T61" s="11">
        <v>0</v>
      </c>
      <c r="U61" s="11">
        <v>0</v>
      </c>
      <c r="V61" s="11">
        <v>9225059</v>
      </c>
      <c r="W61" s="13">
        <v>6.6199999999999995E-2</v>
      </c>
      <c r="X61" s="11">
        <v>0</v>
      </c>
      <c r="Y61" s="26">
        <f>553068/9217800</f>
        <v>0.06</v>
      </c>
      <c r="Z61" s="11">
        <v>551105</v>
      </c>
      <c r="AA61" s="11">
        <v>0</v>
      </c>
      <c r="AB61" s="11">
        <f>18775+1109</f>
        <v>19884</v>
      </c>
      <c r="AC61" s="11">
        <v>177249</v>
      </c>
      <c r="AD61" s="11">
        <v>16287</v>
      </c>
      <c r="AE61" s="11">
        <v>32112</v>
      </c>
      <c r="AF61" s="11">
        <f>15600+3395</f>
        <v>18995</v>
      </c>
      <c r="AG61" s="11">
        <v>8825</v>
      </c>
      <c r="AH61" s="11">
        <v>31866</v>
      </c>
      <c r="AI61" s="11">
        <v>3296</v>
      </c>
      <c r="AJ61" s="11">
        <v>73384</v>
      </c>
      <c r="AK61" s="11">
        <f>11305+15377+7958</f>
        <v>34640</v>
      </c>
      <c r="AL61" s="11">
        <v>6489</v>
      </c>
      <c r="AM61" s="11">
        <v>267</v>
      </c>
      <c r="AN61" s="11">
        <v>0</v>
      </c>
      <c r="AO61" s="11">
        <v>2395</v>
      </c>
      <c r="AP61" s="11">
        <v>0</v>
      </c>
      <c r="AQ61" s="11">
        <v>0</v>
      </c>
      <c r="AR61" s="11">
        <v>431000</v>
      </c>
      <c r="AS61" s="11">
        <v>442628</v>
      </c>
      <c r="AT61" s="11">
        <v>0</v>
      </c>
      <c r="AU61" s="11">
        <v>0</v>
      </c>
      <c r="AV61" s="11">
        <v>143628</v>
      </c>
      <c r="AW61" s="11">
        <v>0</v>
      </c>
      <c r="AX61" s="11">
        <v>47525</v>
      </c>
      <c r="AY61" s="11">
        <v>0</v>
      </c>
      <c r="AZ61" s="11">
        <v>0</v>
      </c>
      <c r="BA61" s="11">
        <v>0</v>
      </c>
      <c r="BB61" s="11">
        <v>2078</v>
      </c>
      <c r="BC61" s="11">
        <v>844</v>
      </c>
      <c r="BD61" s="11">
        <v>322</v>
      </c>
      <c r="BE61" s="11">
        <v>0</v>
      </c>
      <c r="BF61" s="11">
        <v>-253</v>
      </c>
      <c r="BG61" s="11">
        <v>-407</v>
      </c>
      <c r="BH61" s="11">
        <v>-477</v>
      </c>
      <c r="BI61" s="11">
        <v>-2</v>
      </c>
      <c r="BJ61" s="11">
        <f t="shared" si="7"/>
        <v>2105</v>
      </c>
      <c r="BK61" s="1">
        <v>7</v>
      </c>
      <c r="BL61" s="1">
        <v>43</v>
      </c>
      <c r="BM61" s="1">
        <v>37</v>
      </c>
      <c r="BN61" s="1">
        <v>243</v>
      </c>
      <c r="BO61" s="1">
        <v>0</v>
      </c>
      <c r="BP61" s="1">
        <v>4</v>
      </c>
      <c r="BQ61" s="1">
        <v>30</v>
      </c>
      <c r="BR61" s="1">
        <v>1</v>
      </c>
      <c r="BS61" s="1">
        <v>39</v>
      </c>
      <c r="BT61" s="1">
        <v>133</v>
      </c>
      <c r="BU61" s="1">
        <v>1</v>
      </c>
      <c r="BV61" s="1">
        <v>2</v>
      </c>
      <c r="BW61" s="1">
        <v>1</v>
      </c>
      <c r="BX61" s="1">
        <v>25</v>
      </c>
      <c r="BY61" s="1">
        <v>220</v>
      </c>
      <c r="BZ61" s="1">
        <v>6</v>
      </c>
    </row>
    <row r="62" spans="1:78">
      <c r="A62" s="16">
        <v>5</v>
      </c>
      <c r="B62" s="59" t="s">
        <v>677</v>
      </c>
      <c r="C62" s="60" t="s">
        <v>400</v>
      </c>
      <c r="D62" s="59" t="s">
        <v>326</v>
      </c>
      <c r="E62" s="59" t="s">
        <v>451</v>
      </c>
      <c r="F62" s="59" t="s">
        <v>479</v>
      </c>
      <c r="G62" s="59" t="s">
        <v>440</v>
      </c>
      <c r="H62" s="11">
        <v>9515266</v>
      </c>
      <c r="I62" s="11">
        <v>9545562</v>
      </c>
      <c r="J62" s="11">
        <v>179877</v>
      </c>
      <c r="K62" s="52">
        <v>3023580</v>
      </c>
      <c r="L62" s="52">
        <v>125089</v>
      </c>
      <c r="M62" s="52">
        <v>3431824</v>
      </c>
      <c r="N62" s="52">
        <v>241002</v>
      </c>
      <c r="O62" s="52">
        <v>193</v>
      </c>
      <c r="P62" s="52">
        <v>125206</v>
      </c>
      <c r="Q62" s="52">
        <v>3219</v>
      </c>
      <c r="R62" s="11">
        <v>748355</v>
      </c>
      <c r="S62" s="11">
        <v>732923</v>
      </c>
      <c r="T62" s="11">
        <v>0</v>
      </c>
      <c r="U62" s="11">
        <v>0</v>
      </c>
      <c r="V62" s="11">
        <v>9013290</v>
      </c>
      <c r="W62" s="13">
        <v>8.8300000000000003E-2</v>
      </c>
      <c r="X62" s="11">
        <v>2989747</v>
      </c>
      <c r="Y62" s="26">
        <f>594266/5942660</f>
        <v>0.1</v>
      </c>
      <c r="Z62" s="11">
        <v>533903</v>
      </c>
      <c r="AA62" s="11">
        <v>0</v>
      </c>
      <c r="AB62" s="11">
        <f>27992+389+578</f>
        <v>28959</v>
      </c>
      <c r="AC62" s="11">
        <v>177255</v>
      </c>
      <c r="AD62" s="11">
        <v>11260</v>
      </c>
      <c r="AE62" s="11">
        <v>47809</v>
      </c>
      <c r="AF62" s="11">
        <f>30000+2871</f>
        <v>32871</v>
      </c>
      <c r="AG62" s="11">
        <v>1115</v>
      </c>
      <c r="AH62" s="11">
        <v>36311</v>
      </c>
      <c r="AI62" s="11">
        <v>622</v>
      </c>
      <c r="AJ62" s="11">
        <v>59069</v>
      </c>
      <c r="AK62" s="11">
        <f>6675+13570+5795</f>
        <v>26040</v>
      </c>
      <c r="AL62" s="11">
        <v>3779</v>
      </c>
      <c r="AM62" s="11">
        <v>147</v>
      </c>
      <c r="AN62" s="11">
        <v>0</v>
      </c>
      <c r="AO62" s="11">
        <v>11476</v>
      </c>
      <c r="AP62" s="11">
        <v>1338</v>
      </c>
      <c r="AQ62" s="11">
        <v>0</v>
      </c>
      <c r="AR62" s="11">
        <v>425598</v>
      </c>
      <c r="AS62" s="11">
        <v>461619</v>
      </c>
      <c r="AT62" s="11">
        <v>0</v>
      </c>
      <c r="AU62" s="11">
        <v>0</v>
      </c>
      <c r="AV62" s="11">
        <v>143628</v>
      </c>
      <c r="AW62" s="11">
        <v>0</v>
      </c>
      <c r="AX62" s="11">
        <v>37128</v>
      </c>
      <c r="AY62" s="11">
        <v>0</v>
      </c>
      <c r="AZ62" s="11">
        <v>0</v>
      </c>
      <c r="BA62" s="11">
        <v>0</v>
      </c>
      <c r="BB62" s="11">
        <v>1190</v>
      </c>
      <c r="BC62" s="11">
        <v>1397</v>
      </c>
      <c r="BD62" s="11">
        <v>23</v>
      </c>
      <c r="BE62" s="11">
        <v>-3</v>
      </c>
      <c r="BF62" s="11">
        <v>-128</v>
      </c>
      <c r="BG62" s="11">
        <v>-397</v>
      </c>
      <c r="BH62" s="11">
        <v>-6</v>
      </c>
      <c r="BI62" s="11">
        <v>0</v>
      </c>
      <c r="BJ62" s="11">
        <f t="shared" si="7"/>
        <v>2076</v>
      </c>
      <c r="BK62" s="1">
        <v>0</v>
      </c>
      <c r="BL62" s="1">
        <v>6</v>
      </c>
      <c r="BM62" s="1">
        <v>0</v>
      </c>
      <c r="BN62" s="1">
        <v>0</v>
      </c>
      <c r="BO62" s="1">
        <v>0</v>
      </c>
      <c r="BP62" s="1">
        <v>0</v>
      </c>
      <c r="BQ62" s="1">
        <v>15</v>
      </c>
      <c r="BR62" s="1">
        <v>3</v>
      </c>
      <c r="BS62" s="1">
        <v>49</v>
      </c>
      <c r="BT62" s="1">
        <v>21</v>
      </c>
      <c r="BU62" s="1">
        <v>0</v>
      </c>
      <c r="BV62" s="1">
        <v>36</v>
      </c>
      <c r="BW62" s="1">
        <v>10</v>
      </c>
      <c r="BX62" s="1">
        <v>89</v>
      </c>
      <c r="BY62" s="1">
        <v>123</v>
      </c>
      <c r="BZ62" s="1">
        <v>2</v>
      </c>
    </row>
    <row r="63" spans="1:78">
      <c r="A63" s="16">
        <v>6</v>
      </c>
      <c r="B63" s="59" t="s">
        <v>159</v>
      </c>
      <c r="C63" s="60" t="s">
        <v>330</v>
      </c>
      <c r="D63" s="59" t="s">
        <v>527</v>
      </c>
      <c r="E63" s="59" t="s">
        <v>668</v>
      </c>
      <c r="F63" s="59" t="s">
        <v>208</v>
      </c>
      <c r="G63" s="59" t="s">
        <v>648</v>
      </c>
      <c r="H63" s="11">
        <v>24894522</v>
      </c>
      <c r="I63" s="11">
        <v>25001762</v>
      </c>
      <c r="J63" s="11">
        <v>1509519</v>
      </c>
      <c r="K63" s="52">
        <v>0</v>
      </c>
      <c r="L63" s="52">
        <v>1347376</v>
      </c>
      <c r="M63" s="52">
        <v>10586905</v>
      </c>
      <c r="N63" s="52">
        <v>0</v>
      </c>
      <c r="O63" s="52">
        <v>0</v>
      </c>
      <c r="P63" s="52">
        <v>3227674</v>
      </c>
      <c r="Q63" s="52">
        <v>0</v>
      </c>
      <c r="R63" s="11">
        <v>4141928</v>
      </c>
      <c r="S63" s="11">
        <v>2255201</v>
      </c>
      <c r="T63" s="11">
        <v>0</v>
      </c>
      <c r="U63" s="11">
        <v>0</v>
      </c>
      <c r="V63" s="11">
        <v>23334142</v>
      </c>
      <c r="W63" s="13">
        <v>0.11</v>
      </c>
      <c r="X63" s="11">
        <v>0</v>
      </c>
      <c r="Y63" s="26">
        <f>1776278/23047480</f>
        <v>7.707037819319075E-2</v>
      </c>
      <c r="Z63" s="11">
        <v>1775058</v>
      </c>
      <c r="AA63" s="11">
        <v>0</v>
      </c>
      <c r="AB63" s="11">
        <f>107240+3598</f>
        <v>110838</v>
      </c>
      <c r="AC63" s="11">
        <v>772542</v>
      </c>
      <c r="AD63" s="11">
        <v>61479</v>
      </c>
      <c r="AE63" s="11">
        <v>138271</v>
      </c>
      <c r="AF63" s="11">
        <f>214533+4649</f>
        <v>219182</v>
      </c>
      <c r="AG63" s="11">
        <v>53042</v>
      </c>
      <c r="AH63" s="11">
        <v>19423</v>
      </c>
      <c r="AI63" s="11">
        <v>30885</v>
      </c>
      <c r="AJ63" s="11">
        <v>0</v>
      </c>
      <c r="AK63" s="11">
        <f>22831+88832+58261</f>
        <v>169924</v>
      </c>
      <c r="AL63" s="11">
        <v>23479</v>
      </c>
      <c r="AM63" s="11">
        <v>340</v>
      </c>
      <c r="AN63" s="11">
        <v>22358</v>
      </c>
      <c r="AO63" s="11">
        <v>864</v>
      </c>
      <c r="AP63" s="11">
        <v>63291</v>
      </c>
      <c r="AQ63" s="11">
        <v>0</v>
      </c>
      <c r="AR63" s="11">
        <v>1782244</v>
      </c>
      <c r="AS63" s="11">
        <v>1784281</v>
      </c>
      <c r="AT63" s="11">
        <v>36827</v>
      </c>
      <c r="AU63" s="11">
        <v>0</v>
      </c>
      <c r="AV63" s="11">
        <v>143628</v>
      </c>
      <c r="AW63" s="11">
        <v>0</v>
      </c>
      <c r="AX63" s="11">
        <v>240063</v>
      </c>
      <c r="AY63" s="11">
        <v>0</v>
      </c>
      <c r="AZ63" s="11">
        <v>0</v>
      </c>
      <c r="BA63" s="11">
        <v>0</v>
      </c>
      <c r="BB63" s="11">
        <v>5330</v>
      </c>
      <c r="BC63" s="11">
        <v>1951</v>
      </c>
      <c r="BD63" s="11">
        <v>0</v>
      </c>
      <c r="BE63" s="11">
        <f>30+12-12</f>
        <v>30</v>
      </c>
      <c r="BF63" s="11">
        <v>-204</v>
      </c>
      <c r="BG63" s="11">
        <v>-1090</v>
      </c>
      <c r="BH63" s="11">
        <v>-1051</v>
      </c>
      <c r="BI63" s="11">
        <v>0</v>
      </c>
      <c r="BJ63" s="11">
        <f t="shared" si="7"/>
        <v>4966</v>
      </c>
      <c r="BK63" s="1">
        <v>2</v>
      </c>
      <c r="BL63" s="1">
        <v>74</v>
      </c>
      <c r="BM63" s="1">
        <v>49</v>
      </c>
      <c r="BN63" s="1">
        <v>651</v>
      </c>
      <c r="BO63" s="1">
        <v>36</v>
      </c>
      <c r="BP63" s="1">
        <v>3</v>
      </c>
      <c r="BQ63" s="1">
        <v>34</v>
      </c>
      <c r="BR63" s="1">
        <v>7</v>
      </c>
      <c r="BS63" s="1">
        <v>49</v>
      </c>
      <c r="BT63" s="1">
        <v>7</v>
      </c>
      <c r="BU63" s="1">
        <v>1</v>
      </c>
      <c r="BV63" s="1">
        <v>168</v>
      </c>
      <c r="BW63" s="1">
        <v>24</v>
      </c>
      <c r="BX63" s="1">
        <v>168</v>
      </c>
      <c r="BY63" s="1">
        <v>25</v>
      </c>
      <c r="BZ63" s="1">
        <v>2</v>
      </c>
    </row>
    <row r="64" spans="1:78">
      <c r="A64" s="16">
        <v>6</v>
      </c>
      <c r="B64" s="59" t="s">
        <v>276</v>
      </c>
      <c r="C64" s="60" t="s">
        <v>280</v>
      </c>
      <c r="D64" s="59" t="s">
        <v>669</v>
      </c>
      <c r="E64" s="59" t="s">
        <v>668</v>
      </c>
      <c r="F64" s="59" t="s">
        <v>208</v>
      </c>
      <c r="G64" s="59" t="s">
        <v>648</v>
      </c>
      <c r="H64" s="11">
        <v>33526571</v>
      </c>
      <c r="I64" s="11">
        <v>33646491</v>
      </c>
      <c r="J64" s="11">
        <v>1360484</v>
      </c>
      <c r="K64" s="52">
        <v>0</v>
      </c>
      <c r="L64" s="52">
        <v>276067</v>
      </c>
      <c r="M64" s="52">
        <v>6583955</v>
      </c>
      <c r="N64" s="52">
        <v>13071484</v>
      </c>
      <c r="O64" s="52">
        <v>0</v>
      </c>
      <c r="P64" s="52">
        <v>459521</v>
      </c>
      <c r="Q64" s="52">
        <v>2444454</v>
      </c>
      <c r="R64" s="11">
        <v>4139918</v>
      </c>
      <c r="S64" s="11">
        <v>3465466</v>
      </c>
      <c r="T64" s="11">
        <v>0</v>
      </c>
      <c r="U64" s="11">
        <v>0</v>
      </c>
      <c r="V64" s="11">
        <v>32366872</v>
      </c>
      <c r="W64" s="13">
        <v>0.1399</v>
      </c>
      <c r="X64" s="11">
        <v>0</v>
      </c>
      <c r="Y64" s="26">
        <f>1916713/32366872</f>
        <v>5.9218357584878763E-2</v>
      </c>
      <c r="Z64" s="11">
        <v>1917028</v>
      </c>
      <c r="AA64" s="11">
        <v>0</v>
      </c>
      <c r="AB64" s="11">
        <f>119920+10458</f>
        <v>130378</v>
      </c>
      <c r="AC64" s="11">
        <v>571434</v>
      </c>
      <c r="AD64" s="11">
        <v>45259</v>
      </c>
      <c r="AE64" s="11">
        <v>114027</v>
      </c>
      <c r="AF64" s="11">
        <v>199064</v>
      </c>
      <c r="AG64" s="11">
        <v>45006</v>
      </c>
      <c r="AH64" s="11">
        <v>135149</v>
      </c>
      <c r="AI64" s="11">
        <v>34773</v>
      </c>
      <c r="AJ64" s="11">
        <v>198170</v>
      </c>
      <c r="AK64" s="11">
        <f>32045+41992+49776</f>
        <v>123813</v>
      </c>
      <c r="AL64" s="11">
        <v>18547</v>
      </c>
      <c r="AM64" s="11">
        <v>384</v>
      </c>
      <c r="AN64" s="11">
        <v>46913</v>
      </c>
      <c r="AO64" s="11">
        <v>87028</v>
      </c>
      <c r="AP64" s="11">
        <v>6500</v>
      </c>
      <c r="AQ64" s="11">
        <v>263</v>
      </c>
      <c r="AR64" s="11">
        <v>1836357</v>
      </c>
      <c r="AS64" s="11">
        <v>1886260</v>
      </c>
      <c r="AT64" s="11">
        <v>3244</v>
      </c>
      <c r="AU64" s="11">
        <v>0</v>
      </c>
      <c r="AV64" s="11">
        <v>143628</v>
      </c>
      <c r="AW64" s="11">
        <v>0</v>
      </c>
      <c r="AX64" s="11">
        <v>259941</v>
      </c>
      <c r="AY64" s="11">
        <v>0</v>
      </c>
      <c r="AZ64" s="11">
        <v>0</v>
      </c>
      <c r="BA64" s="11">
        <v>0</v>
      </c>
      <c r="BB64" s="11">
        <v>7234</v>
      </c>
      <c r="BC64" s="11">
        <v>2866</v>
      </c>
      <c r="BD64" s="11">
        <v>1675</v>
      </c>
      <c r="BE64" s="11">
        <v>-9</v>
      </c>
      <c r="BF64" s="11">
        <v>-278</v>
      </c>
      <c r="BG64" s="11">
        <v>-1921</v>
      </c>
      <c r="BH64" s="11">
        <v>-2235</v>
      </c>
      <c r="BI64" s="11">
        <v>-6</v>
      </c>
      <c r="BJ64" s="11">
        <f t="shared" si="7"/>
        <v>7326</v>
      </c>
      <c r="BK64" s="1">
        <v>1</v>
      </c>
      <c r="BL64" s="1">
        <v>136</v>
      </c>
      <c r="BM64" s="1">
        <v>91</v>
      </c>
      <c r="BN64" s="1">
        <v>988</v>
      </c>
      <c r="BO64" s="1">
        <v>75</v>
      </c>
      <c r="BP64" s="1">
        <v>0</v>
      </c>
      <c r="BQ64" s="1">
        <v>0</v>
      </c>
      <c r="BR64" s="1">
        <v>0</v>
      </c>
      <c r="BS64" s="1">
        <v>26</v>
      </c>
      <c r="BT64" s="1">
        <v>107</v>
      </c>
      <c r="BU64" s="1">
        <v>0</v>
      </c>
      <c r="BV64" s="1">
        <v>2</v>
      </c>
      <c r="BW64" s="1">
        <v>10</v>
      </c>
      <c r="BX64" s="1">
        <v>106</v>
      </c>
      <c r="BY64" s="1">
        <v>726</v>
      </c>
      <c r="BZ64" s="1">
        <v>1</v>
      </c>
    </row>
    <row r="65" spans="1:78">
      <c r="A65" s="16">
        <v>6</v>
      </c>
      <c r="B65" s="59" t="s">
        <v>485</v>
      </c>
      <c r="C65" s="60" t="s">
        <v>683</v>
      </c>
      <c r="D65" s="59" t="s">
        <v>397</v>
      </c>
      <c r="E65" s="59" t="s">
        <v>668</v>
      </c>
      <c r="F65" s="59" t="s">
        <v>479</v>
      </c>
      <c r="G65" s="59" t="s">
        <v>648</v>
      </c>
      <c r="H65" s="11">
        <v>24553797</v>
      </c>
      <c r="I65" s="11">
        <v>24597065</v>
      </c>
      <c r="J65" s="11">
        <v>581312</v>
      </c>
      <c r="K65" s="52">
        <v>0</v>
      </c>
      <c r="L65" s="52">
        <v>557252</v>
      </c>
      <c r="M65" s="52">
        <v>11939480</v>
      </c>
      <c r="N65" s="52">
        <v>0</v>
      </c>
      <c r="O65" s="52">
        <v>0</v>
      </c>
      <c r="P65" s="52">
        <v>1171732</v>
      </c>
      <c r="Q65" s="52">
        <v>0</v>
      </c>
      <c r="R65" s="11">
        <v>6631784</v>
      </c>
      <c r="S65" s="11">
        <v>2206711</v>
      </c>
      <c r="T65" s="11">
        <v>0</v>
      </c>
      <c r="U65" s="11">
        <v>107341</v>
      </c>
      <c r="V65" s="11">
        <v>24393693</v>
      </c>
      <c r="W65" s="13">
        <v>5.0799999999999998E-2</v>
      </c>
      <c r="X65" s="11">
        <v>0</v>
      </c>
      <c r="Y65" s="26">
        <f>1779304/24286262</f>
        <v>7.3263806509210841E-2</v>
      </c>
      <c r="Z65" s="11">
        <v>1779303</v>
      </c>
      <c r="AA65" s="11">
        <v>0</v>
      </c>
      <c r="AB65" s="11">
        <f>40760+4213+3490</f>
        <v>48463</v>
      </c>
      <c r="AC65" s="11">
        <v>827119</v>
      </c>
      <c r="AD65" s="11">
        <v>64945</v>
      </c>
      <c r="AE65" s="11">
        <v>139783</v>
      </c>
      <c r="AF65" s="11">
        <v>115731</v>
      </c>
      <c r="AG65" s="11">
        <v>47664</v>
      </c>
      <c r="AH65" s="11">
        <v>114638</v>
      </c>
      <c r="AI65" s="11">
        <v>0</v>
      </c>
      <c r="AJ65" s="11">
        <v>64740</v>
      </c>
      <c r="AK65" s="11">
        <f>23559+50556+55415</f>
        <v>129530</v>
      </c>
      <c r="AL65" s="11">
        <v>12700</v>
      </c>
      <c r="AM65" s="11">
        <v>4605</v>
      </c>
      <c r="AN65" s="11">
        <v>17443</v>
      </c>
      <c r="AO65" s="11">
        <v>71233</v>
      </c>
      <c r="AP65" s="11">
        <v>34695</v>
      </c>
      <c r="AQ65" s="11">
        <v>0</v>
      </c>
      <c r="AR65" s="11">
        <v>1745927</v>
      </c>
      <c r="AS65" s="11">
        <v>1785298</v>
      </c>
      <c r="AT65" s="11">
        <v>2282</v>
      </c>
      <c r="AU65" s="11">
        <v>0</v>
      </c>
      <c r="AV65" s="11">
        <v>143628</v>
      </c>
      <c r="AW65" s="11">
        <v>0</v>
      </c>
      <c r="AX65" s="11">
        <v>246000</v>
      </c>
      <c r="AY65" s="11">
        <v>0</v>
      </c>
      <c r="AZ65" s="11">
        <v>0</v>
      </c>
      <c r="BA65" s="11">
        <v>0</v>
      </c>
      <c r="BB65" s="11">
        <v>5548</v>
      </c>
      <c r="BC65" s="11">
        <v>1570</v>
      </c>
      <c r="BD65" s="11">
        <v>3</v>
      </c>
      <c r="BE65" s="11">
        <f>2+9</f>
        <v>11</v>
      </c>
      <c r="BF65" s="11">
        <v>-297</v>
      </c>
      <c r="BG65" s="11">
        <v>-879</v>
      </c>
      <c r="BH65" s="11">
        <v>-660</v>
      </c>
      <c r="BI65" s="11">
        <v>-10</v>
      </c>
      <c r="BJ65" s="11">
        <f t="shared" si="7"/>
        <v>5286</v>
      </c>
      <c r="BK65" s="1">
        <v>2</v>
      </c>
      <c r="BL65" s="1">
        <v>234</v>
      </c>
      <c r="BM65" s="1">
        <v>87</v>
      </c>
      <c r="BN65" s="1">
        <v>352</v>
      </c>
      <c r="BO65" s="1">
        <v>12</v>
      </c>
      <c r="BP65" s="1">
        <v>0</v>
      </c>
      <c r="BQ65" s="1">
        <v>24</v>
      </c>
      <c r="BR65" s="1">
        <v>27</v>
      </c>
      <c r="BS65" s="1">
        <v>95</v>
      </c>
      <c r="BT65" s="1">
        <v>17</v>
      </c>
      <c r="BU65" s="1">
        <v>0</v>
      </c>
      <c r="BV65" s="1">
        <v>71</v>
      </c>
      <c r="BW65" s="1">
        <v>31</v>
      </c>
      <c r="BX65" s="1">
        <v>175</v>
      </c>
      <c r="BY65" s="1">
        <v>67</v>
      </c>
      <c r="BZ65" s="1">
        <v>0</v>
      </c>
    </row>
    <row r="66" spans="1:78">
      <c r="A66" s="16">
        <v>6</v>
      </c>
      <c r="B66" s="1" t="s">
        <v>532</v>
      </c>
      <c r="C66" s="62" t="s">
        <v>649</v>
      </c>
      <c r="D66" s="1" t="s">
        <v>166</v>
      </c>
      <c r="E66" s="1" t="s">
        <v>668</v>
      </c>
      <c r="F66" s="59" t="s">
        <v>479</v>
      </c>
      <c r="G66" s="59" t="s">
        <v>648</v>
      </c>
      <c r="H66" s="11">
        <v>48557114</v>
      </c>
      <c r="I66" s="11">
        <v>48897981</v>
      </c>
      <c r="J66" s="11">
        <v>1888283</v>
      </c>
      <c r="K66" s="52">
        <v>0</v>
      </c>
      <c r="L66" s="52">
        <v>5354416</v>
      </c>
      <c r="M66" s="52">
        <v>18048862</v>
      </c>
      <c r="N66" s="52">
        <v>0</v>
      </c>
      <c r="O66" s="52">
        <v>0</v>
      </c>
      <c r="P66" s="52">
        <v>6458949</v>
      </c>
      <c r="Q66" s="52">
        <v>0</v>
      </c>
      <c r="R66" s="11">
        <v>10083656</v>
      </c>
      <c r="S66" s="11">
        <v>4393501</v>
      </c>
      <c r="T66" s="11">
        <v>0</v>
      </c>
      <c r="U66" s="11">
        <v>185889</v>
      </c>
      <c r="V66" s="11">
        <v>47513037</v>
      </c>
      <c r="W66" s="13">
        <v>7.0000000000000007E-2</v>
      </c>
      <c r="X66" s="11">
        <v>0</v>
      </c>
      <c r="Y66" s="26">
        <f>2988564/47326474</f>
        <v>6.3147827154839381E-2</v>
      </c>
      <c r="Z66" s="11">
        <v>2987090</v>
      </c>
      <c r="AA66" s="11">
        <v>0</v>
      </c>
      <c r="AB66" s="11">
        <f>340867+780</f>
        <v>341647</v>
      </c>
      <c r="AC66" s="11">
        <v>1412762</v>
      </c>
      <c r="AD66" s="11">
        <v>112413</v>
      </c>
      <c r="AE66" s="11">
        <v>271869</v>
      </c>
      <c r="AF66" s="11">
        <f>300942+27389</f>
        <v>328331</v>
      </c>
      <c r="AG66" s="11">
        <v>73366</v>
      </c>
      <c r="AH66" s="11">
        <v>65614</v>
      </c>
      <c r="AI66" s="11">
        <v>16750</v>
      </c>
      <c r="AJ66" s="11">
        <v>0</v>
      </c>
      <c r="AK66" s="11">
        <f>33514+166305+90738</f>
        <v>290557</v>
      </c>
      <c r="AL66" s="11">
        <v>28922</v>
      </c>
      <c r="AM66" s="11">
        <v>153</v>
      </c>
      <c r="AN66" s="11">
        <v>64005</v>
      </c>
      <c r="AO66" s="11">
        <v>1631</v>
      </c>
      <c r="AP66" s="11">
        <v>138021</v>
      </c>
      <c r="AQ66" s="11">
        <v>0</v>
      </c>
      <c r="AR66" s="11">
        <v>3291628</v>
      </c>
      <c r="AS66" s="11">
        <v>3358435</v>
      </c>
      <c r="AT66" s="11">
        <v>24244</v>
      </c>
      <c r="AU66" s="11">
        <v>0</v>
      </c>
      <c r="AV66" s="11">
        <v>143628</v>
      </c>
      <c r="AW66" s="11">
        <v>0</v>
      </c>
      <c r="AX66" s="11">
        <v>474645</v>
      </c>
      <c r="AY66" s="11">
        <v>0</v>
      </c>
      <c r="AZ66" s="11">
        <v>0</v>
      </c>
      <c r="BA66" s="11">
        <v>0</v>
      </c>
      <c r="BB66" s="11">
        <v>10081</v>
      </c>
      <c r="BC66" s="11">
        <v>4865</v>
      </c>
      <c r="BD66" s="11">
        <v>0</v>
      </c>
      <c r="BE66" s="11">
        <f>19+40-21</f>
        <v>38</v>
      </c>
      <c r="BF66" s="11">
        <v>-364</v>
      </c>
      <c r="BG66" s="11">
        <v>-3003</v>
      </c>
      <c r="BH66" s="11">
        <v>-1964</v>
      </c>
      <c r="BI66" s="11">
        <v>0</v>
      </c>
      <c r="BJ66" s="11">
        <f t="shared" si="7"/>
        <v>9653</v>
      </c>
      <c r="BK66" s="1">
        <v>10</v>
      </c>
      <c r="BL66" s="1">
        <v>488</v>
      </c>
      <c r="BM66" s="1">
        <v>165</v>
      </c>
      <c r="BN66" s="1">
        <v>1300</v>
      </c>
      <c r="BO66" s="1">
        <v>7</v>
      </c>
      <c r="BP66" s="1">
        <v>36</v>
      </c>
      <c r="BQ66" s="1">
        <v>0</v>
      </c>
      <c r="BR66" s="1">
        <v>3</v>
      </c>
      <c r="BS66" s="1">
        <v>32</v>
      </c>
      <c r="BT66" s="1">
        <v>107</v>
      </c>
      <c r="BU66" s="1">
        <v>6</v>
      </c>
      <c r="BV66" s="1">
        <v>15</v>
      </c>
      <c r="BW66" s="1">
        <v>29</v>
      </c>
      <c r="BX66" s="1">
        <v>150</v>
      </c>
      <c r="BY66" s="1">
        <v>840</v>
      </c>
      <c r="BZ66" s="1">
        <v>91</v>
      </c>
    </row>
    <row r="67" spans="1:78">
      <c r="A67" s="16">
        <v>6</v>
      </c>
      <c r="B67" s="59" t="s">
        <v>663</v>
      </c>
      <c r="C67" s="60" t="s">
        <v>650</v>
      </c>
      <c r="D67" s="59" t="s">
        <v>247</v>
      </c>
      <c r="E67" s="59" t="s">
        <v>668</v>
      </c>
      <c r="F67" s="59" t="s">
        <v>479</v>
      </c>
      <c r="G67" s="59" t="s">
        <v>648</v>
      </c>
      <c r="H67" s="11">
        <v>40638370</v>
      </c>
      <c r="I67" s="11">
        <v>40833058</v>
      </c>
      <c r="J67" s="11">
        <v>769387</v>
      </c>
      <c r="K67" s="52">
        <v>0</v>
      </c>
      <c r="L67" s="52">
        <v>3141462</v>
      </c>
      <c r="M67" s="52">
        <v>15800939</v>
      </c>
      <c r="N67" s="52">
        <v>0</v>
      </c>
      <c r="O67" s="52">
        <v>0</v>
      </c>
      <c r="P67" s="52">
        <v>5635452</v>
      </c>
      <c r="Q67" s="52">
        <v>0</v>
      </c>
      <c r="R67" s="11">
        <v>6911062</v>
      </c>
      <c r="S67" s="11">
        <v>4916518</v>
      </c>
      <c r="T67" s="11">
        <v>0</v>
      </c>
      <c r="U67" s="11">
        <v>236033</v>
      </c>
      <c r="V67" s="11">
        <v>39030369</v>
      </c>
      <c r="W67" s="13">
        <v>7.0000000000000007E-2</v>
      </c>
      <c r="X67" s="11">
        <v>0</v>
      </c>
      <c r="Y67" s="26">
        <f>2388035/38794336</f>
        <v>6.1556279762076609E-2</v>
      </c>
      <c r="Z67" s="11">
        <v>2388903</v>
      </c>
      <c r="AA67" s="11">
        <v>0</v>
      </c>
      <c r="AB67" s="11">
        <f>175460+20744+3509</f>
        <v>199713</v>
      </c>
      <c r="AC67" s="11">
        <v>1040465</v>
      </c>
      <c r="AD67" s="11">
        <v>88972</v>
      </c>
      <c r="AE67" s="11">
        <v>275102</v>
      </c>
      <c r="AF67" s="11">
        <v>239435</v>
      </c>
      <c r="AG67" s="11">
        <v>48000</v>
      </c>
      <c r="AH67" s="11">
        <v>45946</v>
      </c>
      <c r="AI67" s="11">
        <v>78182</v>
      </c>
      <c r="AJ67" s="11">
        <v>185756</v>
      </c>
      <c r="AK67" s="11">
        <f>38263+59227+58509</f>
        <v>155999</v>
      </c>
      <c r="AL67" s="11">
        <v>31261</v>
      </c>
      <c r="AM67" s="11">
        <v>71</v>
      </c>
      <c r="AN67" s="11">
        <v>58748</v>
      </c>
      <c r="AO67" s="11">
        <v>60766</v>
      </c>
      <c r="AP67" s="11">
        <v>114754</v>
      </c>
      <c r="AQ67" s="11">
        <v>30161</v>
      </c>
      <c r="AR67" s="11">
        <v>2648094</v>
      </c>
      <c r="AS67" s="11">
        <v>2714877</v>
      </c>
      <c r="AT67" s="11">
        <v>0</v>
      </c>
      <c r="AU67" s="11">
        <v>0</v>
      </c>
      <c r="AV67" s="11">
        <v>143628</v>
      </c>
      <c r="AW67" s="11">
        <v>0</v>
      </c>
      <c r="AX67" s="11">
        <v>440279</v>
      </c>
      <c r="AY67" s="11">
        <v>0</v>
      </c>
      <c r="AZ67" s="11">
        <v>0</v>
      </c>
      <c r="BA67" s="11">
        <v>0</v>
      </c>
      <c r="BB67" s="11">
        <v>8432</v>
      </c>
      <c r="BC67" s="11">
        <v>4585</v>
      </c>
      <c r="BD67" s="11">
        <v>0</v>
      </c>
      <c r="BE67" s="11">
        <f>1+25-25+249</f>
        <v>250</v>
      </c>
      <c r="BF67" s="11">
        <v>-193</v>
      </c>
      <c r="BG67" s="11">
        <v>-2309</v>
      </c>
      <c r="BH67" s="11">
        <v>-1268</v>
      </c>
      <c r="BI67" s="11">
        <v>-1</v>
      </c>
      <c r="BJ67" s="11">
        <f t="shared" si="7"/>
        <v>9496</v>
      </c>
      <c r="BK67" s="1">
        <v>0</v>
      </c>
      <c r="BL67" s="1">
        <v>172</v>
      </c>
      <c r="BM67" s="1">
        <v>39</v>
      </c>
      <c r="BN67" s="1">
        <v>103</v>
      </c>
      <c r="BO67" s="1">
        <v>483</v>
      </c>
      <c r="BP67" s="1">
        <v>21</v>
      </c>
      <c r="BQ67" s="1">
        <v>17</v>
      </c>
      <c r="BR67" s="1">
        <v>10</v>
      </c>
      <c r="BS67" s="1">
        <v>16</v>
      </c>
      <c r="BT67" s="1">
        <v>40</v>
      </c>
      <c r="BU67" s="1">
        <v>0</v>
      </c>
      <c r="BV67" s="1">
        <v>285</v>
      </c>
      <c r="BW67" s="1">
        <v>73</v>
      </c>
      <c r="BX67" s="1">
        <v>806</v>
      </c>
      <c r="BY67" s="1">
        <v>104</v>
      </c>
      <c r="BZ67" s="1">
        <v>29</v>
      </c>
    </row>
    <row r="68" spans="1:78">
      <c r="A68" s="16">
        <v>6</v>
      </c>
      <c r="B68" s="59" t="s">
        <v>705</v>
      </c>
      <c r="C68" s="60" t="s">
        <v>569</v>
      </c>
      <c r="D68" s="59" t="s">
        <v>397</v>
      </c>
      <c r="E68" s="59" t="s">
        <v>668</v>
      </c>
      <c r="F68" s="59" t="s">
        <v>479</v>
      </c>
      <c r="G68" s="59" t="s">
        <v>648</v>
      </c>
      <c r="H68" s="11">
        <v>8697374</v>
      </c>
      <c r="I68" s="11">
        <v>8712165</v>
      </c>
      <c r="J68" s="11">
        <v>175188</v>
      </c>
      <c r="K68" s="52">
        <v>0</v>
      </c>
      <c r="L68" s="52">
        <v>315962</v>
      </c>
      <c r="M68" s="52">
        <v>4216938</v>
      </c>
      <c r="N68" s="52">
        <v>0</v>
      </c>
      <c r="O68" s="52">
        <v>0</v>
      </c>
      <c r="P68" s="52">
        <v>328599</v>
      </c>
      <c r="Q68" s="52">
        <v>0</v>
      </c>
      <c r="R68" s="11">
        <v>2232691</v>
      </c>
      <c r="S68" s="11">
        <v>652295</v>
      </c>
      <c r="T68" s="11">
        <v>0</v>
      </c>
      <c r="U68" s="11">
        <v>31849</v>
      </c>
      <c r="V68" s="11">
        <v>8451939</v>
      </c>
      <c r="W68" s="13">
        <v>3.3413999999999999E-2</v>
      </c>
      <c r="X68" s="11">
        <v>0</v>
      </c>
      <c r="Y68" s="26">
        <f>673607/8420090</f>
        <v>7.9999976247284763E-2</v>
      </c>
      <c r="Z68" s="11">
        <v>673605</v>
      </c>
      <c r="AA68" s="11">
        <v>0</v>
      </c>
      <c r="AB68" s="11">
        <f>13942+1336+2329</f>
        <v>17607</v>
      </c>
      <c r="AC68" s="11">
        <v>224668</v>
      </c>
      <c r="AD68" s="11">
        <v>17606</v>
      </c>
      <c r="AE68" s="11">
        <v>23686</v>
      </c>
      <c r="AF68" s="11">
        <v>46710</v>
      </c>
      <c r="AG68" s="11">
        <v>34620</v>
      </c>
      <c r="AH68" s="11">
        <v>28343</v>
      </c>
      <c r="AI68" s="11">
        <v>0</v>
      </c>
      <c r="AJ68" s="11">
        <v>31007</v>
      </c>
      <c r="AK68" s="11">
        <f>4832+18626+18411</f>
        <v>41869</v>
      </c>
      <c r="AL68" s="11">
        <v>11800</v>
      </c>
      <c r="AM68" s="11">
        <v>2430</v>
      </c>
      <c r="AN68" s="11">
        <v>5962</v>
      </c>
      <c r="AO68" s="11">
        <v>0</v>
      </c>
      <c r="AP68" s="11">
        <v>56590</v>
      </c>
      <c r="AQ68" s="11">
        <v>0</v>
      </c>
      <c r="AR68" s="11">
        <v>572337</v>
      </c>
      <c r="AS68" s="11">
        <v>638769</v>
      </c>
      <c r="AT68" s="11">
        <v>301</v>
      </c>
      <c r="AU68" s="11">
        <v>0</v>
      </c>
      <c r="AV68" s="11">
        <v>143628</v>
      </c>
      <c r="AW68" s="11">
        <v>0</v>
      </c>
      <c r="AX68" s="11">
        <v>87141</v>
      </c>
      <c r="AY68" s="11">
        <v>0</v>
      </c>
      <c r="AZ68" s="11">
        <v>0</v>
      </c>
      <c r="BA68" s="11">
        <v>0</v>
      </c>
      <c r="BB68" s="11">
        <v>1776</v>
      </c>
      <c r="BC68" s="11">
        <v>433</v>
      </c>
      <c r="BD68" s="1">
        <v>6</v>
      </c>
      <c r="BE68" s="11">
        <f>1+3-3</f>
        <v>1</v>
      </c>
      <c r="BF68" s="11">
        <v>-90</v>
      </c>
      <c r="BG68" s="11">
        <v>-206</v>
      </c>
      <c r="BH68" s="11">
        <v>-282</v>
      </c>
      <c r="BI68" s="11">
        <v>0</v>
      </c>
      <c r="BJ68" s="11">
        <f t="shared" si="7"/>
        <v>1638</v>
      </c>
      <c r="BK68" s="1">
        <v>0</v>
      </c>
      <c r="BL68" s="1">
        <v>125</v>
      </c>
      <c r="BM68" s="3">
        <v>58</v>
      </c>
      <c r="BN68" s="1">
        <v>92</v>
      </c>
      <c r="BO68" s="1">
        <v>0</v>
      </c>
      <c r="BP68" s="1">
        <v>7</v>
      </c>
      <c r="BQ68" s="1">
        <v>1</v>
      </c>
      <c r="BR68" s="1">
        <v>5</v>
      </c>
      <c r="BS68" s="1">
        <v>26</v>
      </c>
      <c r="BT68" s="1">
        <v>24</v>
      </c>
      <c r="BU68" s="1">
        <v>0</v>
      </c>
      <c r="BV68" s="1">
        <v>4</v>
      </c>
      <c r="BW68" s="1">
        <v>3</v>
      </c>
      <c r="BX68" s="1">
        <v>29</v>
      </c>
      <c r="BY68" s="1">
        <v>63</v>
      </c>
      <c r="BZ68" s="1">
        <v>6</v>
      </c>
    </row>
    <row r="69" spans="1:78">
      <c r="A69" s="16">
        <v>7</v>
      </c>
      <c r="B69" s="59" t="s">
        <v>86</v>
      </c>
      <c r="C69" s="60" t="s">
        <v>134</v>
      </c>
      <c r="D69" s="59" t="s">
        <v>157</v>
      </c>
      <c r="E69" s="59" t="s">
        <v>668</v>
      </c>
      <c r="F69" s="59" t="s">
        <v>618</v>
      </c>
      <c r="G69" s="59" t="s">
        <v>648</v>
      </c>
      <c r="H69" s="11">
        <v>24732156</v>
      </c>
      <c r="I69" s="11">
        <v>24836976</v>
      </c>
      <c r="J69" s="11">
        <v>646104</v>
      </c>
      <c r="K69" s="52">
        <v>60392</v>
      </c>
      <c r="L69" s="2">
        <v>148336</v>
      </c>
      <c r="M69" s="37">
        <v>1354921</v>
      </c>
      <c r="N69" s="52">
        <v>12114679</v>
      </c>
      <c r="O69" s="52">
        <v>0</v>
      </c>
      <c r="P69" s="37">
        <v>284885</v>
      </c>
      <c r="Q69" s="52">
        <v>1729932</v>
      </c>
      <c r="R69" s="11">
        <v>3765986</v>
      </c>
      <c r="S69" s="11">
        <v>2813628</v>
      </c>
      <c r="T69" s="11">
        <v>0</v>
      </c>
      <c r="U69" s="11">
        <v>0</v>
      </c>
      <c r="V69" s="11">
        <v>24221000</v>
      </c>
      <c r="W69" s="13">
        <v>6.2899999999999998E-2</v>
      </c>
      <c r="X69" s="11">
        <v>0</v>
      </c>
      <c r="Y69" s="26">
        <f>1947317/24221000</f>
        <v>8.0397877874571658E-2</v>
      </c>
      <c r="Z69" s="11">
        <v>1948241</v>
      </c>
      <c r="AA69" s="11">
        <v>0</v>
      </c>
      <c r="AB69" s="11">
        <f>98359+13183+3927</f>
        <v>115469</v>
      </c>
      <c r="AC69" s="11">
        <v>906171</v>
      </c>
      <c r="AD69" s="11">
        <v>83339</v>
      </c>
      <c r="AE69" s="11">
        <v>259561</v>
      </c>
      <c r="AF69" s="11">
        <v>108930</v>
      </c>
      <c r="AG69" s="11">
        <v>41600</v>
      </c>
      <c r="AH69" s="11">
        <v>36201</v>
      </c>
      <c r="AI69" s="11">
        <v>41913</v>
      </c>
      <c r="AJ69" s="11">
        <v>83130</v>
      </c>
      <c r="AK69" s="11">
        <f>13641+17126+54554</f>
        <v>85321</v>
      </c>
      <c r="AL69" s="11">
        <v>23897</v>
      </c>
      <c r="AM69" s="11">
        <v>0</v>
      </c>
      <c r="AN69" s="11">
        <v>18469</v>
      </c>
      <c r="AO69" s="11">
        <v>246</v>
      </c>
      <c r="AP69" s="11">
        <v>38110</v>
      </c>
      <c r="AQ69" s="11">
        <v>78822</v>
      </c>
      <c r="AR69" s="11">
        <v>1858410</v>
      </c>
      <c r="AS69" s="11">
        <v>1887656</v>
      </c>
      <c r="AT69" s="11">
        <v>1434</v>
      </c>
      <c r="AU69" s="11">
        <v>0</v>
      </c>
      <c r="AV69" s="11">
        <v>143628</v>
      </c>
      <c r="AW69" s="11">
        <v>0</v>
      </c>
      <c r="AX69" s="11">
        <v>234249</v>
      </c>
      <c r="AY69" s="11">
        <v>0</v>
      </c>
      <c r="AZ69" s="11">
        <v>0</v>
      </c>
      <c r="BA69" s="11">
        <v>0</v>
      </c>
      <c r="BB69" s="11">
        <v>6239</v>
      </c>
      <c r="BC69" s="11">
        <v>2260</v>
      </c>
      <c r="BD69" s="1">
        <v>0</v>
      </c>
      <c r="BE69" s="11">
        <f>9-2</f>
        <v>7</v>
      </c>
      <c r="BF69" s="11">
        <v>-222</v>
      </c>
      <c r="BG69" s="11">
        <v>-1594</v>
      </c>
      <c r="BH69" s="11">
        <v>-846</v>
      </c>
      <c r="BI69" s="11">
        <v>0</v>
      </c>
      <c r="BJ69" s="11">
        <f t="shared" si="7"/>
        <v>5844</v>
      </c>
      <c r="BK69" s="1">
        <v>64</v>
      </c>
      <c r="BL69" s="1">
        <v>153</v>
      </c>
      <c r="BM69" s="1">
        <v>102</v>
      </c>
      <c r="BN69" s="1">
        <v>552</v>
      </c>
      <c r="BO69" s="1">
        <v>1</v>
      </c>
      <c r="BP69" s="1">
        <v>38</v>
      </c>
      <c r="BQ69" s="1">
        <v>1</v>
      </c>
      <c r="BR69" s="1">
        <v>2</v>
      </c>
      <c r="BS69" s="1">
        <v>43</v>
      </c>
      <c r="BT69" s="1">
        <v>114</v>
      </c>
      <c r="BU69" s="1">
        <v>4</v>
      </c>
      <c r="BV69" s="1">
        <v>9</v>
      </c>
      <c r="BW69" s="1">
        <v>11</v>
      </c>
      <c r="BX69" s="1">
        <v>144</v>
      </c>
      <c r="BY69" s="1">
        <v>785</v>
      </c>
      <c r="BZ69" s="1">
        <v>77</v>
      </c>
    </row>
    <row r="70" spans="1:78">
      <c r="A70" s="16">
        <v>7</v>
      </c>
      <c r="B70" s="59" t="s">
        <v>90</v>
      </c>
      <c r="C70" s="60" t="s">
        <v>524</v>
      </c>
      <c r="D70" s="59" t="s">
        <v>214</v>
      </c>
      <c r="E70" s="59" t="s">
        <v>668</v>
      </c>
      <c r="F70" s="59" t="s">
        <v>694</v>
      </c>
      <c r="G70" s="59" t="s">
        <v>648</v>
      </c>
      <c r="H70" s="11">
        <v>24132667</v>
      </c>
      <c r="I70" s="11">
        <v>24151698</v>
      </c>
      <c r="J70" s="11">
        <v>622615</v>
      </c>
      <c r="K70" s="52">
        <v>0</v>
      </c>
      <c r="L70" s="52">
        <v>965609</v>
      </c>
      <c r="M70" s="52">
        <v>8137710</v>
      </c>
      <c r="N70" s="52">
        <v>0</v>
      </c>
      <c r="O70" s="52">
        <v>22596</v>
      </c>
      <c r="P70" s="52">
        <v>1238589</v>
      </c>
      <c r="Q70" s="52">
        <v>0</v>
      </c>
      <c r="R70" s="11">
        <v>8487437</v>
      </c>
      <c r="S70" s="11">
        <v>2716982</v>
      </c>
      <c r="T70" s="11">
        <v>0</v>
      </c>
      <c r="U70" s="11">
        <v>0</v>
      </c>
      <c r="V70" s="11">
        <v>23277170</v>
      </c>
      <c r="W70" s="13">
        <v>3.7900000000000003E-2</v>
      </c>
      <c r="X70" s="11">
        <v>0</v>
      </c>
      <c r="Y70" s="26">
        <f>1326507/23137057</f>
        <v>5.7332572591233193E-2</v>
      </c>
      <c r="Z70" s="11">
        <v>1329140</v>
      </c>
      <c r="AA70" s="11">
        <v>0</v>
      </c>
      <c r="AB70" s="11">
        <f>19031+888</f>
        <v>19919</v>
      </c>
      <c r="AC70" s="11">
        <v>467084</v>
      </c>
      <c r="AD70" s="11">
        <v>39192</v>
      </c>
      <c r="AE70" s="11">
        <v>140810</v>
      </c>
      <c r="AF70" s="11">
        <f>53789+11598</f>
        <v>65387</v>
      </c>
      <c r="AG70" s="11">
        <v>39544</v>
      </c>
      <c r="AH70" s="11">
        <v>29822</v>
      </c>
      <c r="AI70" s="11">
        <v>846</v>
      </c>
      <c r="AJ70" s="11">
        <v>130968</v>
      </c>
      <c r="AK70" s="11">
        <f>15427+49387+61759</f>
        <v>126573</v>
      </c>
      <c r="AL70" s="11">
        <v>16962</v>
      </c>
      <c r="AM70" s="11">
        <v>0</v>
      </c>
      <c r="AN70" s="11">
        <v>27776</v>
      </c>
      <c r="AO70" s="11">
        <v>5737</v>
      </c>
      <c r="AP70" s="11">
        <v>27887</v>
      </c>
      <c r="AQ70" s="11">
        <v>0</v>
      </c>
      <c r="AR70" s="11">
        <v>1219080</v>
      </c>
      <c r="AS70" s="11">
        <v>1297687</v>
      </c>
      <c r="AT70" s="11">
        <v>0</v>
      </c>
      <c r="AU70" s="11">
        <v>0</v>
      </c>
      <c r="AV70" s="11">
        <v>143628</v>
      </c>
      <c r="AW70" s="11">
        <v>0</v>
      </c>
      <c r="AX70" s="11">
        <v>234129</v>
      </c>
      <c r="AY70" s="11">
        <v>26885</v>
      </c>
      <c r="AZ70" s="11">
        <v>26885</v>
      </c>
      <c r="BA70" s="11">
        <v>0</v>
      </c>
      <c r="BB70" s="11">
        <v>5861</v>
      </c>
      <c r="BC70" s="11">
        <v>2211</v>
      </c>
      <c r="BD70" s="11">
        <v>0</v>
      </c>
      <c r="BE70" s="11">
        <v>0</v>
      </c>
      <c r="BF70" s="11">
        <v>-161</v>
      </c>
      <c r="BG70" s="11">
        <v>-946</v>
      </c>
      <c r="BH70" s="11">
        <v>-928</v>
      </c>
      <c r="BI70" s="11">
        <v>0</v>
      </c>
      <c r="BJ70" s="11">
        <f t="shared" si="7"/>
        <v>6037</v>
      </c>
      <c r="BK70" s="1">
        <v>0</v>
      </c>
      <c r="BL70" s="1">
        <v>291</v>
      </c>
      <c r="BM70" s="1">
        <v>173</v>
      </c>
      <c r="BN70" s="1">
        <v>419</v>
      </c>
      <c r="BO70" s="1">
        <v>3</v>
      </c>
      <c r="BP70" s="1">
        <v>42</v>
      </c>
      <c r="BQ70" s="1">
        <v>1</v>
      </c>
      <c r="BR70" s="1">
        <v>2</v>
      </c>
      <c r="BS70" s="1">
        <v>54</v>
      </c>
      <c r="BT70" s="1">
        <v>91</v>
      </c>
      <c r="BU70" s="1">
        <v>0</v>
      </c>
      <c r="BV70" s="1">
        <v>7</v>
      </c>
      <c r="BW70" s="1">
        <v>26</v>
      </c>
      <c r="BX70" s="1">
        <v>174</v>
      </c>
      <c r="BY70" s="1">
        <v>557</v>
      </c>
      <c r="BZ70" s="1">
        <v>0</v>
      </c>
    </row>
    <row r="71" spans="1:78">
      <c r="A71" s="16">
        <v>7</v>
      </c>
      <c r="B71" s="59" t="s">
        <v>292</v>
      </c>
      <c r="C71" s="60" t="s">
        <v>701</v>
      </c>
      <c r="D71" s="59" t="s">
        <v>304</v>
      </c>
      <c r="E71" s="59" t="s">
        <v>668</v>
      </c>
      <c r="F71" s="59" t="s">
        <v>618</v>
      </c>
      <c r="G71" s="59" t="s">
        <v>648</v>
      </c>
      <c r="H71" s="11">
        <v>20932872</v>
      </c>
      <c r="I71" s="11">
        <v>21003252</v>
      </c>
      <c r="J71" s="11">
        <v>544272</v>
      </c>
      <c r="K71" s="52">
        <v>0</v>
      </c>
      <c r="L71" s="52">
        <v>2735530</v>
      </c>
      <c r="M71" s="52">
        <v>0</v>
      </c>
      <c r="N71" s="52">
        <v>8164406</v>
      </c>
      <c r="O71" s="52">
        <v>0</v>
      </c>
      <c r="P71" s="52">
        <v>0</v>
      </c>
      <c r="Q71" s="52">
        <v>2666599</v>
      </c>
      <c r="R71" s="11">
        <v>2930030</v>
      </c>
      <c r="S71" s="11">
        <v>1874396</v>
      </c>
      <c r="T71" s="11">
        <v>310</v>
      </c>
      <c r="U71" s="11">
        <v>0</v>
      </c>
      <c r="V71" s="11">
        <v>20104962</v>
      </c>
      <c r="W71" s="13">
        <v>0.08</v>
      </c>
      <c r="X71" s="11">
        <v>0</v>
      </c>
      <c r="Y71" s="26">
        <f>1696612/19960136</f>
        <v>8.5000022043937973E-2</v>
      </c>
      <c r="Z71" s="11">
        <v>1696716</v>
      </c>
      <c r="AA71" s="11">
        <v>0</v>
      </c>
      <c r="AB71" s="11">
        <f>70380+1546</f>
        <v>71926</v>
      </c>
      <c r="AC71" s="11">
        <v>805255</v>
      </c>
      <c r="AD71" s="11">
        <v>67647</v>
      </c>
      <c r="AE71" s="11">
        <v>200498</v>
      </c>
      <c r="AF71" s="11">
        <v>136224</v>
      </c>
      <c r="AG71" s="11">
        <v>2303</v>
      </c>
      <c r="AH71" s="11">
        <v>29481</v>
      </c>
      <c r="AI71" s="11">
        <v>72387</v>
      </c>
      <c r="AJ71" s="11">
        <v>0</v>
      </c>
      <c r="AK71" s="11">
        <f>18129+71085+45669</f>
        <v>134883</v>
      </c>
      <c r="AL71" s="11">
        <v>15496</v>
      </c>
      <c r="AM71" s="11">
        <v>0</v>
      </c>
      <c r="AN71" s="11">
        <v>47042</v>
      </c>
      <c r="AO71" s="11">
        <v>12028</v>
      </c>
      <c r="AP71" s="11">
        <v>17114</v>
      </c>
      <c r="AQ71" s="11">
        <v>84819</v>
      </c>
      <c r="AR71" s="11">
        <v>1649887</v>
      </c>
      <c r="AS71" s="11">
        <v>1674428</v>
      </c>
      <c r="AT71" s="11">
        <v>0</v>
      </c>
      <c r="AU71" s="11">
        <v>0</v>
      </c>
      <c r="AV71" s="11">
        <v>143628</v>
      </c>
      <c r="AW71" s="11">
        <v>0</v>
      </c>
      <c r="AX71" s="11">
        <v>148750</v>
      </c>
      <c r="AY71" s="11">
        <v>0</v>
      </c>
      <c r="AZ71" s="11">
        <v>0</v>
      </c>
      <c r="BA71" s="11">
        <v>0</v>
      </c>
      <c r="BB71" s="11">
        <v>4515</v>
      </c>
      <c r="BC71" s="11">
        <v>2420</v>
      </c>
      <c r="BD71" s="11">
        <v>0</v>
      </c>
      <c r="BE71" s="11">
        <v>-1</v>
      </c>
      <c r="BF71" s="11">
        <v>-198</v>
      </c>
      <c r="BG71" s="11">
        <v>-1484</v>
      </c>
      <c r="BH71" s="11">
        <v>-639</v>
      </c>
      <c r="BI71" s="11">
        <v>-2</v>
      </c>
      <c r="BJ71" s="11">
        <f t="shared" si="7"/>
        <v>4611</v>
      </c>
      <c r="BK71" s="1">
        <v>16</v>
      </c>
      <c r="BL71" s="1">
        <v>57</v>
      </c>
      <c r="BM71" s="1">
        <v>34</v>
      </c>
      <c r="BN71" s="1">
        <v>517</v>
      </c>
      <c r="BO71" s="1">
        <v>8</v>
      </c>
      <c r="BP71" s="1">
        <v>23</v>
      </c>
      <c r="BQ71" s="1">
        <v>0</v>
      </c>
      <c r="BR71" s="1">
        <v>0</v>
      </c>
      <c r="BS71" s="1">
        <v>19</v>
      </c>
      <c r="BT71" s="1">
        <v>102</v>
      </c>
      <c r="BU71" s="1">
        <v>2</v>
      </c>
      <c r="BV71" s="1">
        <v>2</v>
      </c>
      <c r="BW71" s="1">
        <v>3</v>
      </c>
      <c r="BX71" s="1">
        <v>46</v>
      </c>
      <c r="BY71" s="1">
        <v>668</v>
      </c>
      <c r="BZ71" s="1">
        <v>59</v>
      </c>
    </row>
    <row r="72" spans="1:78">
      <c r="A72" s="16">
        <v>7</v>
      </c>
      <c r="B72" s="59" t="s">
        <v>294</v>
      </c>
      <c r="C72" s="60" t="s">
        <v>545</v>
      </c>
      <c r="D72" s="59" t="s">
        <v>54</v>
      </c>
      <c r="E72" s="59" t="s">
        <v>668</v>
      </c>
      <c r="F72" s="59" t="s">
        <v>694</v>
      </c>
      <c r="G72" s="59" t="s">
        <v>648</v>
      </c>
      <c r="H72" s="11">
        <v>39932037</v>
      </c>
      <c r="I72" s="11">
        <v>40012994</v>
      </c>
      <c r="J72" s="11">
        <v>1823516</v>
      </c>
      <c r="K72" s="52">
        <v>0</v>
      </c>
      <c r="L72" s="52">
        <v>2866889</v>
      </c>
      <c r="M72" s="52">
        <v>16397242</v>
      </c>
      <c r="N72" s="52">
        <v>0</v>
      </c>
      <c r="O72" s="52">
        <v>51815</v>
      </c>
      <c r="P72" s="52">
        <v>2915112</v>
      </c>
      <c r="Q72" s="52">
        <v>0</v>
      </c>
      <c r="R72" s="11">
        <v>11763651</v>
      </c>
      <c r="S72" s="11">
        <v>2526941</v>
      </c>
      <c r="T72" s="11">
        <v>7184</v>
      </c>
      <c r="U72" s="11">
        <v>122578</v>
      </c>
      <c r="V72" s="11">
        <v>38546499</v>
      </c>
      <c r="W72" s="13">
        <v>2.4199999999999999E-2</v>
      </c>
      <c r="X72" s="11">
        <v>0</v>
      </c>
      <c r="Y72" s="26">
        <f>1895080/37901591</f>
        <v>5.0000011872852516E-2</v>
      </c>
      <c r="Z72" s="11">
        <v>1895087</v>
      </c>
      <c r="AA72" s="11">
        <v>0</v>
      </c>
      <c r="AB72" s="11">
        <f>80957+10991</f>
        <v>91948</v>
      </c>
      <c r="AC72" s="11">
        <v>871297</v>
      </c>
      <c r="AD72" s="11">
        <v>69698</v>
      </c>
      <c r="AE72" s="11">
        <v>202887</v>
      </c>
      <c r="AF72" s="11">
        <v>278730</v>
      </c>
      <c r="AG72" s="11">
        <v>0</v>
      </c>
      <c r="AH72" s="11">
        <v>42452</v>
      </c>
      <c r="AI72" s="11">
        <v>4527</v>
      </c>
      <c r="AJ72" s="11">
        <v>121460</v>
      </c>
      <c r="AK72" s="11">
        <f>20069+38218+43943</f>
        <v>102230</v>
      </c>
      <c r="AL72" s="11">
        <v>17655</v>
      </c>
      <c r="AM72" s="11">
        <v>0</v>
      </c>
      <c r="AN72" s="11">
        <v>10147</v>
      </c>
      <c r="AO72" s="11">
        <v>0</v>
      </c>
      <c r="AP72" s="11">
        <v>74194</v>
      </c>
      <c r="AQ72" s="11">
        <v>0</v>
      </c>
      <c r="AR72" s="11">
        <v>1999052</v>
      </c>
      <c r="AS72" s="11">
        <v>2009189</v>
      </c>
      <c r="AT72" s="11">
        <v>0</v>
      </c>
      <c r="AU72" s="11">
        <v>0</v>
      </c>
      <c r="AV72" s="11">
        <v>143628</v>
      </c>
      <c r="AW72" s="11">
        <v>0</v>
      </c>
      <c r="AX72" s="11">
        <v>232285</v>
      </c>
      <c r="AY72" s="11">
        <v>0</v>
      </c>
      <c r="AZ72" s="11">
        <v>0</v>
      </c>
      <c r="BA72" s="11">
        <v>0</v>
      </c>
      <c r="BB72" s="11">
        <v>6696</v>
      </c>
      <c r="BC72" s="11">
        <v>2808</v>
      </c>
      <c r="BD72" s="11">
        <v>19</v>
      </c>
      <c r="BE72" s="11">
        <f>18-2</f>
        <v>16</v>
      </c>
      <c r="BF72" s="11">
        <v>-340</v>
      </c>
      <c r="BG72" s="11">
        <v>-1617</v>
      </c>
      <c r="BH72" s="11">
        <v>-1081</v>
      </c>
      <c r="BI72" s="11">
        <v>-7</v>
      </c>
      <c r="BJ72" s="11">
        <f t="shared" si="7"/>
        <v>6494</v>
      </c>
      <c r="BK72" s="1">
        <v>0</v>
      </c>
      <c r="BL72" s="1">
        <v>511</v>
      </c>
      <c r="BM72" s="1">
        <v>179</v>
      </c>
      <c r="BN72" s="1">
        <v>378</v>
      </c>
      <c r="BO72" s="1">
        <v>13</v>
      </c>
      <c r="BP72" s="1">
        <v>1</v>
      </c>
      <c r="BQ72" s="1">
        <v>150</v>
      </c>
      <c r="BR72" s="1">
        <v>30</v>
      </c>
      <c r="BS72" s="1">
        <v>102</v>
      </c>
      <c r="BT72" s="1">
        <v>3</v>
      </c>
      <c r="BU72" s="1">
        <v>0</v>
      </c>
      <c r="BV72" s="1">
        <v>318</v>
      </c>
      <c r="BW72" s="1">
        <v>75</v>
      </c>
      <c r="BX72" s="1">
        <v>365</v>
      </c>
      <c r="BY72" s="1">
        <v>20</v>
      </c>
      <c r="BZ72" s="1">
        <v>0</v>
      </c>
    </row>
    <row r="73" spans="1:78">
      <c r="A73" s="16">
        <v>7</v>
      </c>
      <c r="B73" s="59" t="s">
        <v>481</v>
      </c>
      <c r="C73" s="60" t="s">
        <v>259</v>
      </c>
      <c r="D73" s="59" t="s">
        <v>432</v>
      </c>
      <c r="E73" s="59" t="s">
        <v>668</v>
      </c>
      <c r="F73" s="59" t="s">
        <v>694</v>
      </c>
      <c r="G73" s="59" t="s">
        <v>648</v>
      </c>
      <c r="H73" s="11">
        <v>2908142</v>
      </c>
      <c r="I73" s="11">
        <v>2909535</v>
      </c>
      <c r="J73" s="11">
        <v>110595</v>
      </c>
      <c r="K73" s="52">
        <v>0</v>
      </c>
      <c r="L73" s="52">
        <v>25789</v>
      </c>
      <c r="M73" s="52">
        <v>1024874</v>
      </c>
      <c r="N73" s="52">
        <v>588843</v>
      </c>
      <c r="O73" s="52">
        <v>0</v>
      </c>
      <c r="P73" s="52">
        <v>66156</v>
      </c>
      <c r="Q73" s="52">
        <v>53942</v>
      </c>
      <c r="R73" s="11">
        <v>565653</v>
      </c>
      <c r="S73" s="11">
        <v>234152</v>
      </c>
      <c r="T73" s="11">
        <v>9218</v>
      </c>
      <c r="U73" s="11">
        <v>0</v>
      </c>
      <c r="V73" s="11">
        <v>2856670</v>
      </c>
      <c r="W73" s="13">
        <v>1.1299999999999999E-2</v>
      </c>
      <c r="X73" s="11">
        <v>0</v>
      </c>
      <c r="Y73" s="26">
        <f>284366/2843656</f>
        <v>0.10000014066399029</v>
      </c>
      <c r="Z73" s="11">
        <v>284247</v>
      </c>
      <c r="AA73" s="11">
        <v>0</v>
      </c>
      <c r="AB73" s="11">
        <f>1393+55</f>
        <v>1448</v>
      </c>
      <c r="AC73" s="11">
        <v>70249</v>
      </c>
      <c r="AD73" s="11">
        <v>5747</v>
      </c>
      <c r="AE73" s="11">
        <v>0</v>
      </c>
      <c r="AF73" s="11">
        <v>12798</v>
      </c>
      <c r="AG73" s="11">
        <v>0</v>
      </c>
      <c r="AH73" s="11">
        <v>17961</v>
      </c>
      <c r="AI73" s="11">
        <v>0</v>
      </c>
      <c r="AJ73" s="11">
        <v>7618</v>
      </c>
      <c r="AK73" s="11">
        <f>3470+5294+4547</f>
        <v>13311</v>
      </c>
      <c r="AL73" s="11">
        <v>798</v>
      </c>
      <c r="AM73" s="11">
        <v>300</v>
      </c>
      <c r="AN73" s="11">
        <v>0</v>
      </c>
      <c r="AO73" s="11">
        <v>0</v>
      </c>
      <c r="AP73" s="11">
        <v>3901</v>
      </c>
      <c r="AQ73" s="11">
        <v>38611</v>
      </c>
      <c r="AR73" s="11">
        <v>144832</v>
      </c>
      <c r="AS73" s="11">
        <v>147000</v>
      </c>
      <c r="AT73" s="11">
        <v>0</v>
      </c>
      <c r="AU73" s="11">
        <v>0</v>
      </c>
      <c r="AV73" s="11">
        <v>141627</v>
      </c>
      <c r="AW73" s="11">
        <v>0</v>
      </c>
      <c r="AX73" s="11">
        <v>12128</v>
      </c>
      <c r="AY73" s="11">
        <v>0</v>
      </c>
      <c r="AZ73" s="11">
        <v>0</v>
      </c>
      <c r="BA73" s="11">
        <v>0</v>
      </c>
      <c r="BB73" s="11">
        <v>437</v>
      </c>
      <c r="BC73" s="11">
        <v>171</v>
      </c>
      <c r="BD73" s="11">
        <v>0</v>
      </c>
      <c r="BE73" s="11">
        <v>2</v>
      </c>
      <c r="BF73" s="11">
        <v>-48</v>
      </c>
      <c r="BG73" s="11">
        <v>-97</v>
      </c>
      <c r="BH73" s="11">
        <v>-47</v>
      </c>
      <c r="BI73" s="11">
        <v>0</v>
      </c>
      <c r="BJ73" s="11">
        <f t="shared" si="7"/>
        <v>418</v>
      </c>
      <c r="BK73" s="1">
        <v>0</v>
      </c>
      <c r="BL73" s="1">
        <v>11</v>
      </c>
      <c r="BM73" s="1">
        <v>8</v>
      </c>
      <c r="BN73" s="1">
        <v>27</v>
      </c>
      <c r="BO73" s="1">
        <v>0</v>
      </c>
      <c r="BP73" s="1">
        <v>1</v>
      </c>
      <c r="BQ73" s="1">
        <v>0</v>
      </c>
      <c r="BR73" s="1">
        <v>0</v>
      </c>
      <c r="BS73" s="1">
        <v>9</v>
      </c>
      <c r="BT73" s="1">
        <v>12</v>
      </c>
      <c r="BU73" s="1">
        <v>1</v>
      </c>
      <c r="BV73" s="1">
        <v>0</v>
      </c>
      <c r="BW73" s="1">
        <v>0</v>
      </c>
      <c r="BX73" s="1">
        <v>4</v>
      </c>
      <c r="BY73" s="1">
        <v>39</v>
      </c>
      <c r="BZ73" s="1">
        <v>0</v>
      </c>
    </row>
    <row r="74" spans="1:78">
      <c r="A74" s="16">
        <v>7</v>
      </c>
      <c r="B74" s="59" t="s">
        <v>486</v>
      </c>
      <c r="C74" s="60" t="s">
        <v>167</v>
      </c>
      <c r="D74" s="59" t="s">
        <v>375</v>
      </c>
      <c r="E74" s="59" t="s">
        <v>668</v>
      </c>
      <c r="F74" s="59" t="s">
        <v>618</v>
      </c>
      <c r="G74" s="59" t="s">
        <v>648</v>
      </c>
      <c r="H74" s="11">
        <v>19939269</v>
      </c>
      <c r="I74" s="11">
        <v>20014933</v>
      </c>
      <c r="J74" s="11">
        <v>808754</v>
      </c>
      <c r="K74" s="52">
        <v>817</v>
      </c>
      <c r="L74" s="52">
        <v>998343</v>
      </c>
      <c r="M74" s="52">
        <v>4011913</v>
      </c>
      <c r="N74" s="52">
        <v>5694421</v>
      </c>
      <c r="O74" s="52">
        <v>616</v>
      </c>
      <c r="P74" s="52">
        <v>349883</v>
      </c>
      <c r="Q74" s="52">
        <v>2394668</v>
      </c>
      <c r="R74" s="11">
        <v>2645361</v>
      </c>
      <c r="S74" s="11">
        <v>1762688</v>
      </c>
      <c r="T74" s="11">
        <v>0</v>
      </c>
      <c r="U74" s="11">
        <v>0</v>
      </c>
      <c r="V74" s="11">
        <v>19856349</v>
      </c>
      <c r="W74" s="13">
        <v>7.9299999999999995E-2</v>
      </c>
      <c r="X74" s="11">
        <v>0</v>
      </c>
      <c r="Y74" s="26">
        <f>1822020/19797562</f>
        <v>9.2032544209231418E-2</v>
      </c>
      <c r="Z74" s="11">
        <v>1819769</v>
      </c>
      <c r="AA74" s="11">
        <v>0</v>
      </c>
      <c r="AB74" s="11">
        <f>75664+7246</f>
        <v>82910</v>
      </c>
      <c r="AC74" s="11">
        <v>593182</v>
      </c>
      <c r="AD74" s="11">
        <v>49351</v>
      </c>
      <c r="AE74" s="11">
        <v>218485</v>
      </c>
      <c r="AF74" s="11">
        <v>143367</v>
      </c>
      <c r="AG74" s="11">
        <v>39781</v>
      </c>
      <c r="AH74" s="11">
        <v>73419</v>
      </c>
      <c r="AI74" s="11">
        <v>120067</v>
      </c>
      <c r="AJ74" s="11">
        <v>180203</v>
      </c>
      <c r="AK74" s="11">
        <f>16430+45439+99099</f>
        <v>160968</v>
      </c>
      <c r="AL74" s="11">
        <v>689</v>
      </c>
      <c r="AM74" s="11">
        <v>22251</v>
      </c>
      <c r="AN74" s="11">
        <v>17286</v>
      </c>
      <c r="AO74" s="11">
        <v>32482</v>
      </c>
      <c r="AP74" s="11">
        <v>13820</v>
      </c>
      <c r="AQ74" s="11">
        <v>0</v>
      </c>
      <c r="AR74" s="11">
        <v>1761767</v>
      </c>
      <c r="AS74" s="11">
        <v>1771276</v>
      </c>
      <c r="AT74" s="11">
        <v>0</v>
      </c>
      <c r="AU74" s="11">
        <v>0</v>
      </c>
      <c r="AV74" s="11">
        <v>143628</v>
      </c>
      <c r="AW74" s="11">
        <v>0</v>
      </c>
      <c r="AX74" s="11">
        <v>203077</v>
      </c>
      <c r="AY74" s="11">
        <v>0</v>
      </c>
      <c r="AZ74" s="11">
        <v>0</v>
      </c>
      <c r="BA74" s="11">
        <v>0</v>
      </c>
      <c r="BB74" s="11">
        <v>4404</v>
      </c>
      <c r="BC74" s="11">
        <v>1962</v>
      </c>
      <c r="BD74" s="11">
        <v>669</v>
      </c>
      <c r="BE74" s="11">
        <v>0</v>
      </c>
      <c r="BF74" s="11">
        <v>-304</v>
      </c>
      <c r="BG74" s="11">
        <v>-1557</v>
      </c>
      <c r="BH74" s="11">
        <v>-905</v>
      </c>
      <c r="BI74" s="11">
        <v>-17</v>
      </c>
      <c r="BJ74" s="11">
        <f t="shared" si="7"/>
        <v>4252</v>
      </c>
      <c r="BK74" s="1">
        <v>15</v>
      </c>
      <c r="BL74" s="1">
        <v>70</v>
      </c>
      <c r="BM74" s="1">
        <v>40</v>
      </c>
      <c r="BN74" s="1">
        <v>594</v>
      </c>
      <c r="BO74" s="1">
        <v>31</v>
      </c>
      <c r="BP74" s="1">
        <v>2</v>
      </c>
      <c r="BQ74" s="1">
        <v>0</v>
      </c>
      <c r="BR74" s="1">
        <v>0</v>
      </c>
      <c r="BS74" s="1">
        <v>17</v>
      </c>
      <c r="BT74" s="1">
        <v>171</v>
      </c>
      <c r="BU74" s="1">
        <v>0</v>
      </c>
      <c r="BV74" s="1">
        <v>4</v>
      </c>
      <c r="BW74" s="1">
        <v>3</v>
      </c>
      <c r="BX74" s="1">
        <v>53</v>
      </c>
      <c r="BY74" s="1">
        <v>649</v>
      </c>
      <c r="BZ74" s="1">
        <v>0</v>
      </c>
    </row>
    <row r="75" spans="1:78">
      <c r="A75" s="16">
        <v>7</v>
      </c>
      <c r="B75" s="59" t="s">
        <v>495</v>
      </c>
      <c r="C75" s="60" t="s">
        <v>4</v>
      </c>
      <c r="D75" s="59" t="s">
        <v>589</v>
      </c>
      <c r="E75" s="59" t="s">
        <v>668</v>
      </c>
      <c r="F75" s="59" t="s">
        <v>694</v>
      </c>
      <c r="G75" s="59" t="s">
        <v>648</v>
      </c>
      <c r="H75" s="11">
        <v>39178812</v>
      </c>
      <c r="I75" s="11">
        <v>39332093</v>
      </c>
      <c r="J75" s="11">
        <v>1753738</v>
      </c>
      <c r="K75" s="52">
        <v>0</v>
      </c>
      <c r="L75" s="52">
        <v>1575169</v>
      </c>
      <c r="M75" s="52">
        <v>16058591</v>
      </c>
      <c r="N75" s="52">
        <v>535200</v>
      </c>
      <c r="O75" s="52">
        <v>0</v>
      </c>
      <c r="P75" s="52">
        <v>2112406</v>
      </c>
      <c r="Q75" s="52">
        <v>35501</v>
      </c>
      <c r="R75" s="11">
        <v>11046607</v>
      </c>
      <c r="S75" s="11">
        <v>3499898</v>
      </c>
      <c r="T75" s="11">
        <v>11291</v>
      </c>
      <c r="U75" s="11">
        <v>123621</v>
      </c>
      <c r="V75" s="11">
        <v>37659879</v>
      </c>
      <c r="W75" s="13">
        <v>4.5999999999999999E-2</v>
      </c>
      <c r="X75" s="11">
        <v>0</v>
      </c>
      <c r="Y75" s="26">
        <f>2659593/37402607</f>
        <v>7.11071557124347E-2</v>
      </c>
      <c r="Z75" s="11">
        <v>2661595</v>
      </c>
      <c r="AA75" s="11">
        <v>0</v>
      </c>
      <c r="AB75" s="11">
        <f>153281+3941</f>
        <v>157222</v>
      </c>
      <c r="AC75" s="11">
        <v>1248981</v>
      </c>
      <c r="AD75" s="11">
        <v>99060</v>
      </c>
      <c r="AE75" s="11">
        <v>354559</v>
      </c>
      <c r="AF75" s="11">
        <f>267804+1803</f>
        <v>269607</v>
      </c>
      <c r="AG75" s="11">
        <v>12600</v>
      </c>
      <c r="AH75" s="11">
        <v>36865</v>
      </c>
      <c r="AI75" s="11">
        <v>79419</v>
      </c>
      <c r="AJ75" s="11">
        <v>133899</v>
      </c>
      <c r="AK75" s="11">
        <f>34696+38605+59240</f>
        <v>132541</v>
      </c>
      <c r="AL75" s="11">
        <v>21640</v>
      </c>
      <c r="AM75" s="11">
        <v>0</v>
      </c>
      <c r="AN75" s="11">
        <v>42853</v>
      </c>
      <c r="AO75" s="11">
        <v>0</v>
      </c>
      <c r="AP75" s="11">
        <v>75315</v>
      </c>
      <c r="AQ75" s="11">
        <v>0</v>
      </c>
      <c r="AR75" s="11">
        <v>2690458</v>
      </c>
      <c r="AS75" s="11">
        <v>2747743</v>
      </c>
      <c r="AT75" s="11">
        <v>0</v>
      </c>
      <c r="AU75" s="11">
        <v>0</v>
      </c>
      <c r="AV75" s="11">
        <v>143628</v>
      </c>
      <c r="AW75" s="11">
        <v>0</v>
      </c>
      <c r="AX75" s="11">
        <v>341477</v>
      </c>
      <c r="AY75" s="11">
        <v>0</v>
      </c>
      <c r="AZ75" s="11">
        <v>0</v>
      </c>
      <c r="BA75" s="11">
        <v>0</v>
      </c>
      <c r="BB75" s="11">
        <v>6765</v>
      </c>
      <c r="BC75" s="11">
        <v>2385</v>
      </c>
      <c r="BD75" s="11">
        <v>34</v>
      </c>
      <c r="BE75" s="11">
        <v>-84</v>
      </c>
      <c r="BF75" s="11">
        <v>-265</v>
      </c>
      <c r="BG75" s="11">
        <v>-1268</v>
      </c>
      <c r="BH75" s="11">
        <v>-1009</v>
      </c>
      <c r="BI75" s="11">
        <v>-27</v>
      </c>
      <c r="BJ75" s="11">
        <f t="shared" si="7"/>
        <v>6531</v>
      </c>
      <c r="BK75" s="1">
        <v>23</v>
      </c>
      <c r="BL75" s="1">
        <v>469</v>
      </c>
      <c r="BM75" s="1">
        <v>192</v>
      </c>
      <c r="BN75" s="1">
        <v>337</v>
      </c>
      <c r="BO75" s="1">
        <v>0</v>
      </c>
      <c r="BP75" s="1">
        <v>11</v>
      </c>
      <c r="BQ75" s="1">
        <v>4</v>
      </c>
      <c r="BR75" s="1">
        <v>16</v>
      </c>
      <c r="BS75" s="1">
        <v>95</v>
      </c>
      <c r="BT75" s="1">
        <v>101</v>
      </c>
      <c r="BU75" s="1">
        <v>0</v>
      </c>
      <c r="BV75" s="1">
        <v>46</v>
      </c>
      <c r="BW75" s="1">
        <v>27</v>
      </c>
      <c r="BX75" s="1">
        <v>159</v>
      </c>
      <c r="BY75" s="1">
        <v>530</v>
      </c>
      <c r="BZ75" s="1">
        <v>19</v>
      </c>
    </row>
    <row r="76" spans="1:78">
      <c r="A76" s="16">
        <v>7</v>
      </c>
      <c r="B76" s="59" t="s">
        <v>515</v>
      </c>
      <c r="C76" s="60" t="s">
        <v>169</v>
      </c>
      <c r="D76" s="59" t="s">
        <v>304</v>
      </c>
      <c r="E76" s="59" t="s">
        <v>668</v>
      </c>
      <c r="F76" s="59" t="s">
        <v>618</v>
      </c>
      <c r="G76" s="59" t="s">
        <v>648</v>
      </c>
      <c r="H76" s="11">
        <v>11315292</v>
      </c>
      <c r="I76" s="11">
        <v>11351936</v>
      </c>
      <c r="J76" s="11">
        <v>684704</v>
      </c>
      <c r="K76" s="52">
        <v>0</v>
      </c>
      <c r="L76" s="52">
        <v>0</v>
      </c>
      <c r="M76" s="52">
        <v>0</v>
      </c>
      <c r="N76" s="52">
        <v>4956765</v>
      </c>
      <c r="O76" s="52">
        <v>0</v>
      </c>
      <c r="P76" s="52">
        <v>0</v>
      </c>
      <c r="Q76" s="52">
        <v>1261403</v>
      </c>
      <c r="R76" s="11">
        <v>1272535</v>
      </c>
      <c r="S76" s="11">
        <v>1144233</v>
      </c>
      <c r="T76" s="11">
        <v>0</v>
      </c>
      <c r="U76" s="11">
        <v>0</v>
      </c>
      <c r="V76" s="11">
        <v>9591622</v>
      </c>
      <c r="W76" s="13">
        <v>0.16450000000000001</v>
      </c>
      <c r="X76" s="11">
        <v>0</v>
      </c>
      <c r="Y76" s="26">
        <f>959061/9590612</f>
        <v>9.9999979146273454E-2</v>
      </c>
      <c r="Z76" s="11">
        <v>955676</v>
      </c>
      <c r="AA76" s="11">
        <v>0</v>
      </c>
      <c r="AB76" s="11">
        <f>36644+757</f>
        <v>37401</v>
      </c>
      <c r="AC76" s="11">
        <v>412498</v>
      </c>
      <c r="AD76" s="11">
        <v>34670</v>
      </c>
      <c r="AE76" s="11">
        <v>81570</v>
      </c>
      <c r="AF76" s="11">
        <v>66011</v>
      </c>
      <c r="AG76" s="11">
        <v>23086</v>
      </c>
      <c r="AH76" s="11">
        <v>19931</v>
      </c>
      <c r="AI76" s="11">
        <v>4356</v>
      </c>
      <c r="AJ76" s="11">
        <v>47618</v>
      </c>
      <c r="AK76" s="11">
        <f>38014+15225+21255</f>
        <v>74494</v>
      </c>
      <c r="AL76" s="11">
        <v>7904</v>
      </c>
      <c r="AM76" s="11">
        <v>0</v>
      </c>
      <c r="AN76" s="11">
        <v>16260</v>
      </c>
      <c r="AO76" s="11">
        <v>18515</v>
      </c>
      <c r="AP76" s="11">
        <v>1654</v>
      </c>
      <c r="AQ76" s="11">
        <v>0</v>
      </c>
      <c r="AR76" s="11">
        <v>865335</v>
      </c>
      <c r="AS76" s="11">
        <v>919237</v>
      </c>
      <c r="AT76" s="11">
        <v>0</v>
      </c>
      <c r="AU76" s="11">
        <v>0</v>
      </c>
      <c r="AV76" s="11">
        <v>143628</v>
      </c>
      <c r="AW76" s="11">
        <v>0</v>
      </c>
      <c r="AX76" s="11">
        <v>61543</v>
      </c>
      <c r="AY76" s="11">
        <v>0</v>
      </c>
      <c r="AZ76" s="11">
        <v>0</v>
      </c>
      <c r="BA76" s="11">
        <v>0</v>
      </c>
      <c r="BB76" s="11">
        <v>2211</v>
      </c>
      <c r="BC76" s="11">
        <v>1765</v>
      </c>
      <c r="BD76" s="11">
        <v>8</v>
      </c>
      <c r="BE76" s="11">
        <v>-1</v>
      </c>
      <c r="BF76" s="11">
        <v>-114</v>
      </c>
      <c r="BG76" s="11">
        <v>-711</v>
      </c>
      <c r="BH76" s="11">
        <v>-332</v>
      </c>
      <c r="BI76" s="11">
        <v>0</v>
      </c>
      <c r="BJ76" s="11">
        <f t="shared" ref="BJ76:BJ107" si="8">SUM(BB76:BI76)</f>
        <v>2826</v>
      </c>
      <c r="BK76" s="1">
        <v>11</v>
      </c>
      <c r="BL76" s="1">
        <v>29</v>
      </c>
      <c r="BM76" s="1">
        <v>32</v>
      </c>
      <c r="BN76" s="1">
        <v>258</v>
      </c>
      <c r="BO76" s="1">
        <v>13</v>
      </c>
      <c r="BP76" s="1">
        <v>0</v>
      </c>
      <c r="BQ76" s="1">
        <v>0</v>
      </c>
      <c r="BR76" s="1">
        <v>1</v>
      </c>
      <c r="BS76" s="1">
        <v>14</v>
      </c>
      <c r="BT76" s="1">
        <v>68</v>
      </c>
      <c r="BU76" s="1">
        <v>0</v>
      </c>
      <c r="BV76" s="1">
        <v>2</v>
      </c>
      <c r="BW76" s="1">
        <v>0</v>
      </c>
      <c r="BX76" s="1">
        <v>24</v>
      </c>
      <c r="BY76" s="1">
        <v>296</v>
      </c>
      <c r="BZ76" s="1">
        <v>0</v>
      </c>
    </row>
    <row r="77" spans="1:78">
      <c r="A77" s="16">
        <v>8</v>
      </c>
      <c r="B77" s="59" t="s">
        <v>103</v>
      </c>
      <c r="C77" s="60" t="s">
        <v>77</v>
      </c>
      <c r="D77" s="59" t="s">
        <v>385</v>
      </c>
      <c r="E77" s="59" t="s">
        <v>368</v>
      </c>
      <c r="F77" s="59" t="s">
        <v>208</v>
      </c>
      <c r="G77" s="59" t="s">
        <v>358</v>
      </c>
      <c r="H77" s="11">
        <v>13899203</v>
      </c>
      <c r="I77" s="11">
        <v>13950647</v>
      </c>
      <c r="J77" s="11">
        <v>369482</v>
      </c>
      <c r="K77" s="52">
        <v>0</v>
      </c>
      <c r="L77" s="52">
        <v>927397</v>
      </c>
      <c r="M77" s="52">
        <v>5221056</v>
      </c>
      <c r="N77" s="52">
        <v>0</v>
      </c>
      <c r="O77" s="52">
        <v>0</v>
      </c>
      <c r="P77" s="52">
        <v>527880</v>
      </c>
      <c r="Q77" s="52">
        <v>0</v>
      </c>
      <c r="R77" s="11">
        <v>5323910</v>
      </c>
      <c r="S77" s="11">
        <v>709362</v>
      </c>
      <c r="T77" s="11">
        <v>0</v>
      </c>
      <c r="U77" s="11">
        <v>0</v>
      </c>
      <c r="V77" s="11">
        <v>13629945</v>
      </c>
      <c r="W77" s="13">
        <v>6.0400000000000002E-2</v>
      </c>
      <c r="X77" s="11">
        <v>0</v>
      </c>
      <c r="Y77" s="26">
        <f>919511/13622391</f>
        <v>6.7499971187143279E-2</v>
      </c>
      <c r="Z77" s="11">
        <v>920340</v>
      </c>
      <c r="AA77" s="11">
        <v>0</v>
      </c>
      <c r="AB77" s="11">
        <f>27057+3243+824</f>
        <v>31124</v>
      </c>
      <c r="AC77" s="11">
        <v>404319</v>
      </c>
      <c r="AD77" s="11">
        <v>33482</v>
      </c>
      <c r="AE77" s="11">
        <v>84538</v>
      </c>
      <c r="AF77" s="11">
        <v>74368</v>
      </c>
      <c r="AG77" s="11">
        <v>2684</v>
      </c>
      <c r="AH77" s="11">
        <v>30866</v>
      </c>
      <c r="AI77" s="11">
        <v>0</v>
      </c>
      <c r="AJ77" s="11">
        <v>0</v>
      </c>
      <c r="AK77" s="11">
        <f>7209+19038+20827</f>
        <v>47074</v>
      </c>
      <c r="AL77" s="11">
        <v>8922</v>
      </c>
      <c r="AM77" s="11">
        <v>243</v>
      </c>
      <c r="AN77" s="11">
        <v>0</v>
      </c>
      <c r="AO77" s="11">
        <v>4137</v>
      </c>
      <c r="AP77" s="11">
        <v>14129</v>
      </c>
      <c r="AQ77" s="11">
        <v>0</v>
      </c>
      <c r="AR77" s="11">
        <v>773607</v>
      </c>
      <c r="AS77" s="11">
        <v>775912</v>
      </c>
      <c r="AT77" s="11">
        <v>0</v>
      </c>
      <c r="AU77" s="11">
        <v>0</v>
      </c>
      <c r="AV77" s="11">
        <v>143628</v>
      </c>
      <c r="AW77" s="11">
        <v>0</v>
      </c>
      <c r="AX77" s="11">
        <v>113502</v>
      </c>
      <c r="AY77" s="11">
        <v>0</v>
      </c>
      <c r="AZ77" s="11">
        <v>0</v>
      </c>
      <c r="BA77" s="11">
        <v>0</v>
      </c>
      <c r="BB77" s="11">
        <v>3430</v>
      </c>
      <c r="BC77" s="11">
        <v>1362</v>
      </c>
      <c r="BD77" s="11">
        <v>13</v>
      </c>
      <c r="BE77" s="11">
        <f>1+23</f>
        <v>24</v>
      </c>
      <c r="BF77" s="11">
        <v>-289</v>
      </c>
      <c r="BG77" s="11">
        <v>-605</v>
      </c>
      <c r="BH77" s="11">
        <v>-505</v>
      </c>
      <c r="BI77" s="11">
        <v>-19</v>
      </c>
      <c r="BJ77" s="11">
        <f t="shared" si="8"/>
        <v>3411</v>
      </c>
      <c r="BK77" s="1">
        <v>48</v>
      </c>
      <c r="BL77" s="1">
        <v>236</v>
      </c>
      <c r="BM77" s="1">
        <v>106</v>
      </c>
      <c r="BN77" s="1">
        <v>145</v>
      </c>
      <c r="BO77" s="1">
        <v>1</v>
      </c>
      <c r="BP77" s="1">
        <v>17</v>
      </c>
      <c r="BQ77" s="1">
        <v>3</v>
      </c>
      <c r="BR77" s="1">
        <v>4</v>
      </c>
      <c r="BS77" s="1">
        <v>65</v>
      </c>
      <c r="BT77" s="1">
        <v>146</v>
      </c>
      <c r="BU77" s="1">
        <v>4</v>
      </c>
      <c r="BV77" s="1">
        <v>14</v>
      </c>
      <c r="BW77" s="1">
        <v>21</v>
      </c>
      <c r="BX77" s="1">
        <v>108</v>
      </c>
      <c r="BY77" s="1">
        <v>255</v>
      </c>
      <c r="BZ77" s="1">
        <v>14</v>
      </c>
    </row>
    <row r="78" spans="1:78">
      <c r="A78" s="16">
        <v>8</v>
      </c>
      <c r="B78" s="59" t="s">
        <v>218</v>
      </c>
      <c r="C78" s="60" t="s">
        <v>262</v>
      </c>
      <c r="D78" s="59" t="s">
        <v>422</v>
      </c>
      <c r="E78" s="59" t="s">
        <v>652</v>
      </c>
      <c r="F78" s="59" t="s">
        <v>694</v>
      </c>
      <c r="G78" s="59" t="s">
        <v>644</v>
      </c>
      <c r="H78" s="11">
        <v>85968951</v>
      </c>
      <c r="I78" s="11">
        <v>86212687</v>
      </c>
      <c r="J78" s="11">
        <v>1951282</v>
      </c>
      <c r="K78" s="52">
        <v>33379908</v>
      </c>
      <c r="L78" s="52">
        <v>5368416</v>
      </c>
      <c r="M78" s="52">
        <v>21896003</v>
      </c>
      <c r="N78" s="52">
        <v>0</v>
      </c>
      <c r="O78" s="52">
        <v>782780</v>
      </c>
      <c r="P78" s="52">
        <v>2679466</v>
      </c>
      <c r="Q78" s="52">
        <v>0</v>
      </c>
      <c r="R78" s="11">
        <v>10503264</v>
      </c>
      <c r="S78" s="11">
        <v>3338816</v>
      </c>
      <c r="T78" s="11">
        <v>0</v>
      </c>
      <c r="U78" s="11">
        <v>0</v>
      </c>
      <c r="V78" s="11">
        <v>83782239</v>
      </c>
      <c r="W78" s="13">
        <v>0.08</v>
      </c>
      <c r="X78" s="11">
        <f>33379908+782780</f>
        <v>34162688</v>
      </c>
      <c r="Y78" s="26">
        <f>1887029/49571243</f>
        <v>3.806700993961358E-2</v>
      </c>
      <c r="Z78" s="11">
        <v>1885398</v>
      </c>
      <c r="AA78" s="11">
        <v>0</v>
      </c>
      <c r="AB78" s="11">
        <f>230772+21637</f>
        <v>252409</v>
      </c>
      <c r="AC78" s="11">
        <v>1016937</v>
      </c>
      <c r="AD78" s="11">
        <v>79730</v>
      </c>
      <c r="AE78" s="11">
        <v>247300</v>
      </c>
      <c r="AF78" s="11">
        <v>152543</v>
      </c>
      <c r="AG78" s="11">
        <v>0</v>
      </c>
      <c r="AH78" s="11">
        <v>26428</v>
      </c>
      <c r="AI78" s="11">
        <v>20</v>
      </c>
      <c r="AJ78" s="11">
        <v>0</v>
      </c>
      <c r="AK78" s="11">
        <f>17186+88227+71785</f>
        <v>177198</v>
      </c>
      <c r="AL78" s="11">
        <v>18705</v>
      </c>
      <c r="AM78" s="11">
        <v>0</v>
      </c>
      <c r="AN78" s="11">
        <v>0</v>
      </c>
      <c r="AO78" s="11">
        <v>0</v>
      </c>
      <c r="AP78" s="11">
        <v>75274</v>
      </c>
      <c r="AQ78" s="11">
        <v>0</v>
      </c>
      <c r="AR78" s="11">
        <v>1938763</v>
      </c>
      <c r="AS78" s="11">
        <v>2057870</v>
      </c>
      <c r="AT78" s="11">
        <v>0</v>
      </c>
      <c r="AU78" s="11">
        <v>0</v>
      </c>
      <c r="AV78" s="11">
        <v>143573</v>
      </c>
      <c r="AW78" s="11">
        <v>0</v>
      </c>
      <c r="AX78" s="11">
        <v>270196</v>
      </c>
      <c r="AY78" s="11">
        <v>0</v>
      </c>
      <c r="AZ78" s="11">
        <v>0</v>
      </c>
      <c r="BA78" s="11">
        <v>0</v>
      </c>
      <c r="BB78" s="11">
        <v>13963</v>
      </c>
      <c r="BC78" s="11">
        <v>7065</v>
      </c>
      <c r="BD78" s="11">
        <v>0</v>
      </c>
      <c r="BE78" s="11">
        <v>-7</v>
      </c>
      <c r="BF78" s="11">
        <v>-440</v>
      </c>
      <c r="BG78" s="11">
        <v>-4588</v>
      </c>
      <c r="BH78" s="11">
        <v>-1504</v>
      </c>
      <c r="BI78" s="11">
        <v>-2</v>
      </c>
      <c r="BJ78" s="11">
        <f t="shared" si="8"/>
        <v>14487</v>
      </c>
      <c r="BK78" s="1">
        <v>234</v>
      </c>
      <c r="BL78" s="1">
        <v>768</v>
      </c>
      <c r="BM78" s="1">
        <v>193</v>
      </c>
      <c r="BN78" s="1">
        <v>503</v>
      </c>
      <c r="BO78" s="1">
        <v>4</v>
      </c>
      <c r="BP78" s="1">
        <v>36</v>
      </c>
      <c r="BQ78" s="1">
        <v>2</v>
      </c>
      <c r="BR78" s="1">
        <v>16</v>
      </c>
      <c r="BS78" s="1">
        <v>136</v>
      </c>
      <c r="BT78" s="1">
        <v>245</v>
      </c>
      <c r="BU78" s="1">
        <v>1</v>
      </c>
      <c r="BV78" s="1">
        <v>45</v>
      </c>
      <c r="BW78" s="1">
        <v>88</v>
      </c>
      <c r="BX78" s="1">
        <v>767</v>
      </c>
      <c r="BY78" s="1">
        <v>2104</v>
      </c>
      <c r="BZ78" s="1">
        <v>98</v>
      </c>
    </row>
    <row r="79" spans="1:78">
      <c r="A79" s="16">
        <v>8</v>
      </c>
      <c r="B79" s="59" t="s">
        <v>300</v>
      </c>
      <c r="C79" s="60" t="s">
        <v>296</v>
      </c>
      <c r="D79" s="59" t="s">
        <v>458</v>
      </c>
      <c r="E79" s="59" t="s">
        <v>652</v>
      </c>
      <c r="F79" s="59" t="s">
        <v>431</v>
      </c>
      <c r="G79" s="59" t="s">
        <v>644</v>
      </c>
      <c r="H79" s="11">
        <v>92837400</v>
      </c>
      <c r="I79" s="11">
        <v>93095313</v>
      </c>
      <c r="J79" s="11">
        <v>3082198</v>
      </c>
      <c r="K79" s="52">
        <v>31241515</v>
      </c>
      <c r="L79" s="52">
        <v>3997881</v>
      </c>
      <c r="M79" s="52">
        <v>23103914</v>
      </c>
      <c r="N79" s="52">
        <v>714547</v>
      </c>
      <c r="O79" s="52">
        <v>1962251</v>
      </c>
      <c r="P79" s="52">
        <v>2158482</v>
      </c>
      <c r="Q79" s="52">
        <v>891870</v>
      </c>
      <c r="R79" s="11">
        <v>18247602</v>
      </c>
      <c r="S79" s="11">
        <v>4098422</v>
      </c>
      <c r="T79" s="11">
        <v>0</v>
      </c>
      <c r="U79" s="11">
        <v>0</v>
      </c>
      <c r="V79" s="11">
        <v>89447702</v>
      </c>
      <c r="W79" s="13">
        <v>2.2499999999999999E-2</v>
      </c>
      <c r="X79" s="11">
        <v>31241515</v>
      </c>
      <c r="Y79" s="26">
        <f>2330742/55493864</f>
        <v>4.1999994810237036E-2</v>
      </c>
      <c r="Z79" s="11">
        <v>2329345</v>
      </c>
      <c r="AA79" s="11">
        <v>0</v>
      </c>
      <c r="AB79" s="11">
        <f>242857+24971</f>
        <v>267828</v>
      </c>
      <c r="AC79" s="11">
        <v>1419231</v>
      </c>
      <c r="AD79" s="11">
        <v>113301</v>
      </c>
      <c r="AE79" s="11">
        <v>357436</v>
      </c>
      <c r="AF79" s="11">
        <v>243869</v>
      </c>
      <c r="AG79" s="11">
        <v>0</v>
      </c>
      <c r="AH79" s="11">
        <v>21018</v>
      </c>
      <c r="AI79" s="11">
        <v>15280</v>
      </c>
      <c r="AJ79" s="11">
        <v>21517</v>
      </c>
      <c r="AK79" s="11">
        <f>51299+47118+48007</f>
        <v>146424</v>
      </c>
      <c r="AL79" s="11">
        <v>24033</v>
      </c>
      <c r="AM79" s="11">
        <v>0</v>
      </c>
      <c r="AN79" s="11">
        <v>2990</v>
      </c>
      <c r="AO79" s="11">
        <v>14081</v>
      </c>
      <c r="AP79" s="11">
        <v>35418</v>
      </c>
      <c r="AQ79" s="11">
        <v>0</v>
      </c>
      <c r="AR79" s="11">
        <v>2529746</v>
      </c>
      <c r="AS79" s="11">
        <v>2638441</v>
      </c>
      <c r="AT79" s="11">
        <v>0</v>
      </c>
      <c r="AU79" s="11">
        <v>0</v>
      </c>
      <c r="AV79" s="11">
        <v>143628</v>
      </c>
      <c r="AW79" s="11">
        <v>0</v>
      </c>
      <c r="AX79" s="11">
        <v>262245</v>
      </c>
      <c r="AY79" s="11">
        <v>0</v>
      </c>
      <c r="AZ79" s="11">
        <v>0</v>
      </c>
      <c r="BA79" s="11">
        <v>0</v>
      </c>
      <c r="BB79" s="11">
        <v>11802</v>
      </c>
      <c r="BC79" s="11">
        <v>5025</v>
      </c>
      <c r="BD79" s="11">
        <v>0</v>
      </c>
      <c r="BE79" s="11">
        <v>-2</v>
      </c>
      <c r="BF79" s="11">
        <v>-860</v>
      </c>
      <c r="BG79" s="11">
        <v>-2263</v>
      </c>
      <c r="BH79" s="11">
        <v>-1972</v>
      </c>
      <c r="BI79" s="11">
        <v>0</v>
      </c>
      <c r="BJ79" s="11">
        <f t="shared" si="8"/>
        <v>11730</v>
      </c>
      <c r="BK79" s="1">
        <v>70</v>
      </c>
      <c r="BL79" s="1">
        <v>811</v>
      </c>
      <c r="BM79" s="1">
        <v>241</v>
      </c>
      <c r="BN79" s="1">
        <v>438</v>
      </c>
      <c r="BO79" s="1">
        <v>444</v>
      </c>
      <c r="BP79" s="1">
        <v>0</v>
      </c>
      <c r="BQ79" s="1">
        <v>195</v>
      </c>
      <c r="BR79" s="1">
        <v>30</v>
      </c>
      <c r="BS79" s="1">
        <v>275</v>
      </c>
      <c r="BT79" s="1">
        <v>269</v>
      </c>
      <c r="BU79" s="1">
        <v>0</v>
      </c>
      <c r="BV79" s="1">
        <v>600</v>
      </c>
      <c r="BW79" s="1">
        <v>65</v>
      </c>
      <c r="BX79" s="1">
        <v>599</v>
      </c>
      <c r="BY79" s="1">
        <v>727</v>
      </c>
      <c r="BZ79" s="1">
        <v>0</v>
      </c>
    </row>
    <row r="80" spans="1:78">
      <c r="A80" s="16">
        <v>8</v>
      </c>
      <c r="B80" s="59" t="s">
        <v>324</v>
      </c>
      <c r="C80" s="60" t="s">
        <v>651</v>
      </c>
      <c r="D80" s="59" t="s">
        <v>326</v>
      </c>
      <c r="E80" s="59" t="s">
        <v>652</v>
      </c>
      <c r="F80" s="59" t="s">
        <v>694</v>
      </c>
      <c r="G80" s="59" t="s">
        <v>644</v>
      </c>
      <c r="H80" s="11">
        <v>35066284</v>
      </c>
      <c r="I80" s="11">
        <v>35154584</v>
      </c>
      <c r="J80" s="11">
        <v>861131</v>
      </c>
      <c r="K80" s="52">
        <v>10232012</v>
      </c>
      <c r="L80" s="52">
        <v>1227385</v>
      </c>
      <c r="M80" s="52">
        <v>12243041</v>
      </c>
      <c r="N80" s="52">
        <v>0</v>
      </c>
      <c r="O80" s="52">
        <v>24410</v>
      </c>
      <c r="P80" s="52">
        <v>561026</v>
      </c>
      <c r="Q80" s="52">
        <v>0</v>
      </c>
      <c r="R80" s="11">
        <v>4178163</v>
      </c>
      <c r="S80" s="11">
        <v>1835447</v>
      </c>
      <c r="T80" s="11">
        <v>0</v>
      </c>
      <c r="U80" s="11">
        <v>0</v>
      </c>
      <c r="V80" s="11">
        <v>33825377</v>
      </c>
      <c r="W80" s="13">
        <v>9.11E-2</v>
      </c>
      <c r="X80" s="11">
        <f>10232012+24410</f>
        <v>10256422</v>
      </c>
      <c r="Y80" s="26">
        <f>1622543/23547946</f>
        <v>6.8903801630936304E-2</v>
      </c>
      <c r="Z80" s="11">
        <v>1622528</v>
      </c>
      <c r="AA80" s="11">
        <v>0</v>
      </c>
      <c r="AB80" s="11">
        <f>86298+8973+1722</f>
        <v>96993</v>
      </c>
      <c r="AC80" s="11">
        <v>828822</v>
      </c>
      <c r="AD80" s="11">
        <v>68628</v>
      </c>
      <c r="AE80" s="11">
        <v>150112</v>
      </c>
      <c r="AF80" s="11">
        <v>89053</v>
      </c>
      <c r="AG80" s="11">
        <v>1374</v>
      </c>
      <c r="AH80" s="11">
        <v>28251</v>
      </c>
      <c r="AI80" s="11">
        <v>69720</v>
      </c>
      <c r="AJ80" s="11">
        <v>0</v>
      </c>
      <c r="AK80" s="11">
        <f>23036+40000+31624</f>
        <v>94660</v>
      </c>
      <c r="AL80" s="11">
        <v>14944</v>
      </c>
      <c r="AM80" s="11">
        <v>350</v>
      </c>
      <c r="AN80" s="11">
        <v>0</v>
      </c>
      <c r="AO80" s="11">
        <v>12222</v>
      </c>
      <c r="AP80" s="11">
        <v>10529</v>
      </c>
      <c r="AQ80" s="11">
        <v>0</v>
      </c>
      <c r="AR80" s="11">
        <v>1430904</v>
      </c>
      <c r="AS80" s="11">
        <v>1497902</v>
      </c>
      <c r="AT80" s="11">
        <v>0</v>
      </c>
      <c r="AU80" s="11">
        <v>0</v>
      </c>
      <c r="AV80" s="11">
        <v>143628</v>
      </c>
      <c r="AW80" s="11">
        <v>0</v>
      </c>
      <c r="AX80" s="11">
        <v>192743</v>
      </c>
      <c r="AY80" s="11">
        <v>0</v>
      </c>
      <c r="AZ80" s="11">
        <v>0</v>
      </c>
      <c r="BA80" s="11">
        <v>0</v>
      </c>
      <c r="BB80" s="11">
        <v>6784</v>
      </c>
      <c r="BC80" s="11">
        <v>3747</v>
      </c>
      <c r="BD80" s="11">
        <v>0</v>
      </c>
      <c r="BE80" s="11">
        <f>3+13-1</f>
        <v>15</v>
      </c>
      <c r="BF80" s="11">
        <v>-354</v>
      </c>
      <c r="BG80" s="11">
        <v>-2302</v>
      </c>
      <c r="BH80" s="11">
        <v>-879</v>
      </c>
      <c r="BI80" s="11">
        <v>0</v>
      </c>
      <c r="BJ80" s="11">
        <f t="shared" si="8"/>
        <v>7011</v>
      </c>
      <c r="BK80" s="1">
        <v>34</v>
      </c>
      <c r="BL80" s="1">
        <v>288</v>
      </c>
      <c r="BM80" s="1">
        <v>90</v>
      </c>
      <c r="BN80" s="1">
        <v>499</v>
      </c>
      <c r="BO80" s="1">
        <v>0</v>
      </c>
      <c r="BP80" s="1">
        <v>2</v>
      </c>
      <c r="BQ80" s="1">
        <v>61</v>
      </c>
      <c r="BR80" s="1">
        <v>24</v>
      </c>
      <c r="BS80" s="1">
        <v>78</v>
      </c>
      <c r="BT80" s="1">
        <v>0</v>
      </c>
      <c r="BU80" s="1">
        <v>2</v>
      </c>
      <c r="BV80" s="1">
        <v>349</v>
      </c>
      <c r="BW80" s="1">
        <v>78</v>
      </c>
      <c r="BX80" s="1">
        <v>403</v>
      </c>
      <c r="BY80" s="1">
        <v>0</v>
      </c>
      <c r="BZ80" s="1">
        <v>20</v>
      </c>
    </row>
    <row r="81" spans="1:78">
      <c r="A81" s="16">
        <v>8</v>
      </c>
      <c r="B81" s="59" t="s">
        <v>359</v>
      </c>
      <c r="C81" s="60" t="s">
        <v>279</v>
      </c>
      <c r="D81" s="59" t="s">
        <v>363</v>
      </c>
      <c r="E81" s="59" t="s">
        <v>652</v>
      </c>
      <c r="F81" s="59" t="s">
        <v>208</v>
      </c>
      <c r="G81" s="59" t="s">
        <v>644</v>
      </c>
      <c r="H81" s="11">
        <v>42244245</v>
      </c>
      <c r="I81" s="11">
        <v>42287028</v>
      </c>
      <c r="J81" s="11">
        <v>868779</v>
      </c>
      <c r="K81" s="52">
        <v>10821975</v>
      </c>
      <c r="L81" s="52">
        <v>1553980</v>
      </c>
      <c r="M81" s="52">
        <v>12855080</v>
      </c>
      <c r="N81" s="52">
        <v>0</v>
      </c>
      <c r="O81" s="52">
        <v>0</v>
      </c>
      <c r="P81" s="52">
        <v>803288</v>
      </c>
      <c r="Q81" s="52">
        <v>0</v>
      </c>
      <c r="R81" s="11">
        <v>11515228</v>
      </c>
      <c r="S81" s="11">
        <v>2010946</v>
      </c>
      <c r="T81" s="11">
        <v>0</v>
      </c>
      <c r="U81" s="11">
        <v>0</v>
      </c>
      <c r="V81" s="11">
        <v>40981459</v>
      </c>
      <c r="W81" s="13">
        <v>8.5199999999999998E-2</v>
      </c>
      <c r="X81" s="11">
        <v>10821975</v>
      </c>
      <c r="Y81" s="26">
        <f>1130981/30159484</f>
        <v>3.7500011604973085E-2</v>
      </c>
      <c r="Z81" s="11">
        <v>1130164</v>
      </c>
      <c r="AA81" s="11">
        <v>0</v>
      </c>
      <c r="AB81" s="11">
        <f>42783+742</f>
        <v>43525</v>
      </c>
      <c r="AC81" s="11">
        <v>518429</v>
      </c>
      <c r="AD81" s="11">
        <v>42284</v>
      </c>
      <c r="AE81" s="11">
        <v>117286</v>
      </c>
      <c r="AF81" s="11">
        <v>82336</v>
      </c>
      <c r="AG81" s="11">
        <v>0</v>
      </c>
      <c r="AH81" s="11">
        <v>41756</v>
      </c>
      <c r="AI81" s="11">
        <v>2110</v>
      </c>
      <c r="AJ81" s="11">
        <v>29118</v>
      </c>
      <c r="AK81" s="11">
        <f>21049+48938+42258</f>
        <v>112245</v>
      </c>
      <c r="AL81" s="11">
        <v>11530</v>
      </c>
      <c r="AM81" s="11">
        <v>432</v>
      </c>
      <c r="AN81" s="11">
        <v>0</v>
      </c>
      <c r="AO81" s="11">
        <v>0</v>
      </c>
      <c r="AP81" s="11">
        <v>20606</v>
      </c>
      <c r="AQ81" s="11">
        <v>0</v>
      </c>
      <c r="AR81" s="11">
        <v>1060069</v>
      </c>
      <c r="AS81" s="11">
        <v>1107609</v>
      </c>
      <c r="AT81" s="11">
        <v>0</v>
      </c>
      <c r="AU81" s="11">
        <v>0</v>
      </c>
      <c r="AV81" s="11">
        <v>143628</v>
      </c>
      <c r="AW81" s="11">
        <v>0</v>
      </c>
      <c r="AX81" s="11">
        <v>64948</v>
      </c>
      <c r="AY81" s="11">
        <v>0</v>
      </c>
      <c r="AZ81" s="11">
        <v>0</v>
      </c>
      <c r="BA81" s="11">
        <v>0</v>
      </c>
      <c r="BB81" s="11">
        <v>6593</v>
      </c>
      <c r="BC81" s="11">
        <v>2716</v>
      </c>
      <c r="BD81" s="11">
        <v>0</v>
      </c>
      <c r="BE81" s="11">
        <f>7-443</f>
        <v>-436</v>
      </c>
      <c r="BF81" s="11">
        <v>-311</v>
      </c>
      <c r="BG81" s="11">
        <v>-1183</v>
      </c>
      <c r="BH81" s="11">
        <v>-832</v>
      </c>
      <c r="BI81" s="11">
        <v>-10</v>
      </c>
      <c r="BJ81" s="11">
        <f t="shared" si="8"/>
        <v>6537</v>
      </c>
      <c r="BK81" s="1">
        <v>12</v>
      </c>
      <c r="BL81" s="1">
        <v>578</v>
      </c>
      <c r="BM81" s="1">
        <v>104</v>
      </c>
      <c r="BN81" s="1">
        <v>132</v>
      </c>
      <c r="BO81" s="1">
        <v>0</v>
      </c>
      <c r="BP81" s="1">
        <v>18</v>
      </c>
      <c r="BQ81" s="1">
        <v>42</v>
      </c>
      <c r="BR81" s="1">
        <v>85</v>
      </c>
      <c r="BS81" s="1">
        <v>355</v>
      </c>
      <c r="BT81" s="1">
        <v>685</v>
      </c>
      <c r="BU81" s="1">
        <v>16</v>
      </c>
      <c r="BV81" s="1">
        <v>9</v>
      </c>
      <c r="BW81" s="1">
        <v>16</v>
      </c>
      <c r="BX81" s="1">
        <v>95</v>
      </c>
      <c r="BY81" s="1">
        <v>124</v>
      </c>
      <c r="BZ81" s="1">
        <v>67</v>
      </c>
    </row>
    <row r="82" spans="1:78">
      <c r="A82" s="16">
        <v>8</v>
      </c>
      <c r="B82" s="59" t="s">
        <v>382</v>
      </c>
      <c r="C82" s="60" t="s">
        <v>701</v>
      </c>
      <c r="D82" s="59" t="s">
        <v>396</v>
      </c>
      <c r="E82" s="59" t="s">
        <v>368</v>
      </c>
      <c r="F82" s="59" t="s">
        <v>694</v>
      </c>
      <c r="G82" s="59" t="s">
        <v>358</v>
      </c>
      <c r="H82" s="11">
        <v>22262139</v>
      </c>
      <c r="I82" s="11">
        <v>22359481</v>
      </c>
      <c r="J82" s="11">
        <v>332185</v>
      </c>
      <c r="K82" s="52">
        <v>0</v>
      </c>
      <c r="L82" s="52">
        <v>984844</v>
      </c>
      <c r="M82" s="52">
        <v>8408061</v>
      </c>
      <c r="N82" s="52">
        <v>0</v>
      </c>
      <c r="O82" s="52">
        <v>0</v>
      </c>
      <c r="P82" s="52">
        <v>927437</v>
      </c>
      <c r="Q82" s="52">
        <v>0</v>
      </c>
      <c r="R82" s="11">
        <v>8568870</v>
      </c>
      <c r="S82" s="11">
        <v>2257766</v>
      </c>
      <c r="T82" s="11">
        <v>0</v>
      </c>
      <c r="U82" s="11">
        <v>0</v>
      </c>
      <c r="V82" s="11">
        <v>21918845</v>
      </c>
      <c r="W82" s="13">
        <v>0.13900000000000001</v>
      </c>
      <c r="X82" s="11">
        <v>0</v>
      </c>
      <c r="Y82" s="26">
        <f>602768/21918845</f>
        <v>2.749998916457505E-2</v>
      </c>
      <c r="Z82" s="11">
        <v>603511</v>
      </c>
      <c r="AA82" s="11">
        <v>0</v>
      </c>
      <c r="AB82" s="11">
        <f>97342+904</f>
        <v>98246</v>
      </c>
      <c r="AC82" s="11">
        <v>296630</v>
      </c>
      <c r="AD82" s="11">
        <v>20711</v>
      </c>
      <c r="AE82" s="11">
        <v>67700</v>
      </c>
      <c r="AF82" s="11">
        <v>54035</v>
      </c>
      <c r="AG82" s="11">
        <v>13440</v>
      </c>
      <c r="AH82" s="11">
        <v>26370</v>
      </c>
      <c r="AI82" s="11">
        <v>0</v>
      </c>
      <c r="AJ82" s="11">
        <v>0</v>
      </c>
      <c r="AK82" s="11">
        <f>5116+20049+9854</f>
        <v>35019</v>
      </c>
      <c r="AL82" s="11">
        <v>5478</v>
      </c>
      <c r="AM82" s="11">
        <v>491</v>
      </c>
      <c r="AN82" s="11">
        <v>755</v>
      </c>
      <c r="AO82" s="11">
        <v>770</v>
      </c>
      <c r="AP82" s="11">
        <v>2511</v>
      </c>
      <c r="AQ82" s="11">
        <v>52254</v>
      </c>
      <c r="AR82" s="11">
        <v>565520</v>
      </c>
      <c r="AS82" s="11">
        <v>609497</v>
      </c>
      <c r="AT82" s="11">
        <v>0</v>
      </c>
      <c r="AU82" s="11">
        <v>0</v>
      </c>
      <c r="AV82" s="11">
        <v>143628</v>
      </c>
      <c r="AW82" s="11">
        <v>0</v>
      </c>
      <c r="AX82" s="11">
        <v>51827</v>
      </c>
      <c r="AY82" s="11">
        <v>0</v>
      </c>
      <c r="AZ82" s="11">
        <v>0</v>
      </c>
      <c r="BA82" s="11">
        <v>0</v>
      </c>
      <c r="BB82" s="11">
        <v>5304</v>
      </c>
      <c r="BC82" s="11">
        <v>2589</v>
      </c>
      <c r="BD82" s="11">
        <v>0</v>
      </c>
      <c r="BE82" s="11">
        <v>0</v>
      </c>
      <c r="BF82" s="11">
        <v>-493</v>
      </c>
      <c r="BG82" s="11">
        <v>-1274</v>
      </c>
      <c r="BH82" s="11">
        <v>-737</v>
      </c>
      <c r="BI82" s="11">
        <v>-25</v>
      </c>
      <c r="BJ82" s="11">
        <f t="shared" si="8"/>
        <v>5364</v>
      </c>
      <c r="BK82" s="1">
        <v>30</v>
      </c>
      <c r="BL82" s="1">
        <v>695</v>
      </c>
      <c r="BM82" s="1">
        <v>25</v>
      </c>
      <c r="BN82" s="1">
        <v>17</v>
      </c>
      <c r="BO82" s="1">
        <v>0</v>
      </c>
      <c r="BP82" s="1">
        <v>0</v>
      </c>
      <c r="BQ82" s="1">
        <v>395</v>
      </c>
      <c r="BR82" s="1">
        <v>21</v>
      </c>
      <c r="BS82" s="1">
        <v>25</v>
      </c>
      <c r="BT82" s="1">
        <v>0</v>
      </c>
      <c r="BU82" s="1">
        <v>0</v>
      </c>
      <c r="BV82" s="1">
        <v>947</v>
      </c>
      <c r="BW82" s="1">
        <v>36</v>
      </c>
      <c r="BX82" s="1">
        <v>49</v>
      </c>
      <c r="BY82" s="1">
        <v>0</v>
      </c>
      <c r="BZ82" s="1">
        <v>0</v>
      </c>
    </row>
    <row r="83" spans="1:78">
      <c r="A83" s="16">
        <v>8</v>
      </c>
      <c r="B83" s="59" t="s">
        <v>629</v>
      </c>
      <c r="C83" s="60" t="s">
        <v>262</v>
      </c>
      <c r="D83" s="59" t="s">
        <v>422</v>
      </c>
      <c r="E83" s="59" t="s">
        <v>652</v>
      </c>
      <c r="F83" s="59" t="s">
        <v>694</v>
      </c>
      <c r="G83" s="59" t="s">
        <v>644</v>
      </c>
      <c r="H83" s="11">
        <v>85525670</v>
      </c>
      <c r="I83" s="11">
        <v>85770750</v>
      </c>
      <c r="J83" s="11">
        <v>2001157</v>
      </c>
      <c r="K83" s="52">
        <v>32869151</v>
      </c>
      <c r="L83" s="52">
        <v>5176891</v>
      </c>
      <c r="M83" s="52">
        <v>21973137</v>
      </c>
      <c r="N83" s="52">
        <v>0</v>
      </c>
      <c r="O83" s="52">
        <v>769381</v>
      </c>
      <c r="P83" s="52">
        <v>2486864</v>
      </c>
      <c r="Q83" s="52">
        <v>0</v>
      </c>
      <c r="R83" s="11">
        <v>10469021</v>
      </c>
      <c r="S83" s="11">
        <v>3322910</v>
      </c>
      <c r="T83" s="11">
        <v>0</v>
      </c>
      <c r="U83" s="11">
        <v>0</v>
      </c>
      <c r="V83" s="11">
        <v>82944360</v>
      </c>
      <c r="W83" s="13">
        <v>0.08</v>
      </c>
      <c r="X83" s="11">
        <f>32869151+769381</f>
        <v>33638532</v>
      </c>
      <c r="Y83" s="26">
        <f>1868077/49229464</f>
        <v>3.7946320114312031E-2</v>
      </c>
      <c r="Z83" s="11">
        <v>1867211</v>
      </c>
      <c r="AA83" s="11">
        <v>0</v>
      </c>
      <c r="AB83" s="11">
        <f>231455+21427</f>
        <v>252882</v>
      </c>
      <c r="AC83" s="11">
        <v>1008002</v>
      </c>
      <c r="AD83" s="11">
        <v>77759</v>
      </c>
      <c r="AE83" s="11">
        <v>238493</v>
      </c>
      <c r="AF83" s="11">
        <v>152543</v>
      </c>
      <c r="AG83" s="11">
        <v>0</v>
      </c>
      <c r="AH83" s="11">
        <v>26428</v>
      </c>
      <c r="AI83" s="11">
        <v>20</v>
      </c>
      <c r="AJ83" s="11">
        <v>0</v>
      </c>
      <c r="AK83" s="11">
        <f>17186+88227+71785</f>
        <v>177198</v>
      </c>
      <c r="AL83" s="11">
        <v>18705</v>
      </c>
      <c r="AM83" s="11">
        <v>0</v>
      </c>
      <c r="AN83" s="11">
        <v>0</v>
      </c>
      <c r="AO83" s="11">
        <v>0</v>
      </c>
      <c r="AP83" s="11">
        <v>75274</v>
      </c>
      <c r="AQ83" s="11">
        <v>0</v>
      </c>
      <c r="AR83" s="11">
        <v>1919050</v>
      </c>
      <c r="AS83" s="11">
        <v>2060458</v>
      </c>
      <c r="AT83" s="11">
        <v>0</v>
      </c>
      <c r="AU83" s="11">
        <v>0</v>
      </c>
      <c r="AV83" s="11">
        <v>143578</v>
      </c>
      <c r="AW83" s="11">
        <v>0</v>
      </c>
      <c r="AX83" s="11">
        <v>252229</v>
      </c>
      <c r="AY83" s="11">
        <v>0</v>
      </c>
      <c r="AZ83" s="11">
        <v>0</v>
      </c>
      <c r="BA83" s="11">
        <v>0</v>
      </c>
      <c r="BB83" s="11">
        <v>13955</v>
      </c>
      <c r="BC83" s="11">
        <v>7118</v>
      </c>
      <c r="BD83" s="11">
        <v>0</v>
      </c>
      <c r="BE83" s="11">
        <v>-8</v>
      </c>
      <c r="BF83" s="11">
        <v>-525</v>
      </c>
      <c r="BG83" s="11">
        <v>-4636</v>
      </c>
      <c r="BH83" s="11">
        <v>-1561</v>
      </c>
      <c r="BI83" s="11">
        <v>-1</v>
      </c>
      <c r="BJ83" s="11">
        <f t="shared" si="8"/>
        <v>14342</v>
      </c>
      <c r="BK83" s="1">
        <v>221</v>
      </c>
      <c r="BL83" s="1">
        <v>766</v>
      </c>
      <c r="BM83" s="1">
        <v>229</v>
      </c>
      <c r="BN83" s="1">
        <v>535</v>
      </c>
      <c r="BO83" s="1">
        <v>1</v>
      </c>
      <c r="BP83" s="1">
        <v>30</v>
      </c>
      <c r="BQ83" s="1">
        <v>2</v>
      </c>
      <c r="BR83" s="1">
        <v>17</v>
      </c>
      <c r="BS83" s="1">
        <v>168</v>
      </c>
      <c r="BT83" s="1">
        <v>293</v>
      </c>
      <c r="BU83" s="1">
        <v>3</v>
      </c>
      <c r="BV83" s="1">
        <v>37</v>
      </c>
      <c r="BW83" s="1">
        <v>87</v>
      </c>
      <c r="BX83" s="1">
        <v>799</v>
      </c>
      <c r="BY83" s="1">
        <v>1993</v>
      </c>
      <c r="BZ83" s="1">
        <v>92</v>
      </c>
    </row>
    <row r="84" spans="1:78">
      <c r="A84" s="16">
        <v>8</v>
      </c>
      <c r="B84" s="59" t="s">
        <v>631</v>
      </c>
      <c r="C84" s="60" t="s">
        <v>107</v>
      </c>
      <c r="D84" s="59" t="s">
        <v>126</v>
      </c>
      <c r="E84" s="59" t="s">
        <v>652</v>
      </c>
      <c r="F84" s="59" t="s">
        <v>208</v>
      </c>
      <c r="G84" s="59" t="s">
        <v>644</v>
      </c>
      <c r="H84" s="11">
        <v>67329386</v>
      </c>
      <c r="I84" s="11">
        <v>67527252</v>
      </c>
      <c r="J84" s="11">
        <v>861155</v>
      </c>
      <c r="K84" s="52">
        <v>8623298</v>
      </c>
      <c r="L84" s="52">
        <v>458258</v>
      </c>
      <c r="M84" s="52">
        <v>13730464</v>
      </c>
      <c r="N84" s="52">
        <v>23537612</v>
      </c>
      <c r="O84" s="52">
        <v>48468</v>
      </c>
      <c r="P84" s="52">
        <v>483445</v>
      </c>
      <c r="Q84" s="52">
        <v>1029755</v>
      </c>
      <c r="R84" s="11">
        <v>14177132</v>
      </c>
      <c r="S84" s="11">
        <v>3310928</v>
      </c>
      <c r="T84" s="11">
        <v>0</v>
      </c>
      <c r="U84" s="11">
        <v>0</v>
      </c>
      <c r="V84" s="11">
        <v>67370972</v>
      </c>
      <c r="W84" s="13">
        <v>7.6799999999999993E-2</v>
      </c>
      <c r="X84" s="11">
        <v>18209005</v>
      </c>
      <c r="Y84" s="26">
        <f>1404937/49161967</f>
        <v>2.8577721473186782E-2</v>
      </c>
      <c r="Z84" s="11">
        <v>1404937</v>
      </c>
      <c r="AA84" s="11">
        <v>0</v>
      </c>
      <c r="AB84" s="11">
        <f>197866+3852</f>
        <v>201718</v>
      </c>
      <c r="AC84" s="11">
        <v>786832</v>
      </c>
      <c r="AD84" s="11">
        <v>62381</v>
      </c>
      <c r="AE84" s="11">
        <v>116453</v>
      </c>
      <c r="AF84" s="11">
        <v>107600</v>
      </c>
      <c r="AG84" s="11">
        <v>1345</v>
      </c>
      <c r="AH84" s="11">
        <v>65890</v>
      </c>
      <c r="AI84" s="11">
        <v>7556</v>
      </c>
      <c r="AJ84" s="11">
        <v>32306</v>
      </c>
      <c r="AK84" s="11">
        <f>22973+36237+162297</f>
        <v>221507</v>
      </c>
      <c r="AL84" s="11">
        <v>9364</v>
      </c>
      <c r="AM84" s="11">
        <v>191</v>
      </c>
      <c r="AN84" s="11">
        <v>0</v>
      </c>
      <c r="AO84" s="11">
        <v>35914</v>
      </c>
      <c r="AP84" s="11">
        <v>4913</v>
      </c>
      <c r="AQ84" s="11">
        <v>0</v>
      </c>
      <c r="AR84" s="11">
        <v>1505138</v>
      </c>
      <c r="AS84" s="11">
        <v>1516277</v>
      </c>
      <c r="AT84" s="11">
        <v>0</v>
      </c>
      <c r="AU84" s="11">
        <v>0</v>
      </c>
      <c r="AV84" s="11">
        <v>143628</v>
      </c>
      <c r="AW84" s="11">
        <v>0</v>
      </c>
      <c r="AX84" s="11">
        <v>110532</v>
      </c>
      <c r="AY84" s="11">
        <v>0</v>
      </c>
      <c r="AZ84" s="11">
        <v>0</v>
      </c>
      <c r="BA84" s="11">
        <v>0</v>
      </c>
      <c r="BB84" s="11">
        <v>9376</v>
      </c>
      <c r="BC84" s="11">
        <v>4636</v>
      </c>
      <c r="BD84" s="11">
        <v>1433</v>
      </c>
      <c r="BE84" s="11">
        <v>0</v>
      </c>
      <c r="BF84" s="11">
        <v>-949</v>
      </c>
      <c r="BG84" s="11">
        <v>-2606</v>
      </c>
      <c r="BH84" s="11">
        <v>-2379</v>
      </c>
      <c r="BI84" s="11">
        <v>0</v>
      </c>
      <c r="BJ84" s="11">
        <f t="shared" si="8"/>
        <v>9511</v>
      </c>
      <c r="BK84" s="1">
        <v>253</v>
      </c>
      <c r="BL84" s="1">
        <v>1073</v>
      </c>
      <c r="BM84" s="1">
        <v>84</v>
      </c>
      <c r="BN84" s="1">
        <v>220</v>
      </c>
      <c r="BO84" s="1">
        <v>3</v>
      </c>
      <c r="BP84" s="1">
        <v>7</v>
      </c>
      <c r="BQ84" s="1">
        <v>147</v>
      </c>
      <c r="BR84" s="1">
        <v>5</v>
      </c>
      <c r="BS84" s="1">
        <v>78</v>
      </c>
      <c r="BT84" s="1">
        <v>23</v>
      </c>
      <c r="BU84" s="1">
        <v>38</v>
      </c>
      <c r="BV84" s="1">
        <v>375</v>
      </c>
      <c r="BW84" s="1">
        <v>26</v>
      </c>
      <c r="BX84" s="1">
        <v>173</v>
      </c>
      <c r="BY84" s="1">
        <v>70</v>
      </c>
      <c r="BZ84" s="1">
        <v>26</v>
      </c>
    </row>
    <row r="85" spans="1:78">
      <c r="A85" s="16">
        <v>9</v>
      </c>
      <c r="B85" s="59" t="s">
        <v>71</v>
      </c>
      <c r="C85" s="60" t="s">
        <v>114</v>
      </c>
      <c r="D85" s="59" t="s">
        <v>243</v>
      </c>
      <c r="E85" s="1" t="s">
        <v>427</v>
      </c>
      <c r="F85" s="59" t="s">
        <v>208</v>
      </c>
      <c r="G85" s="59" t="s">
        <v>429</v>
      </c>
      <c r="H85" s="11">
        <v>16758986</v>
      </c>
      <c r="I85" s="11">
        <v>16853077</v>
      </c>
      <c r="J85" s="11">
        <v>798201</v>
      </c>
      <c r="K85" s="52">
        <v>6642003</v>
      </c>
      <c r="L85" s="52">
        <v>669398</v>
      </c>
      <c r="M85" s="52">
        <v>3704275</v>
      </c>
      <c r="N85" s="52">
        <v>0</v>
      </c>
      <c r="O85" s="52">
        <v>0</v>
      </c>
      <c r="P85" s="52">
        <v>699694</v>
      </c>
      <c r="Q85" s="52">
        <v>0</v>
      </c>
      <c r="R85" s="11">
        <v>2311776</v>
      </c>
      <c r="S85" s="11">
        <v>524409</v>
      </c>
      <c r="T85" s="11">
        <v>0</v>
      </c>
      <c r="U85" s="11">
        <v>0</v>
      </c>
      <c r="V85" s="11">
        <v>15321798</v>
      </c>
      <c r="W85" s="13">
        <v>0.13850000000000001</v>
      </c>
      <c r="X85" s="11">
        <v>0</v>
      </c>
      <c r="Y85" s="26">
        <f>646733/15144616</f>
        <v>4.2703822929548031E-2</v>
      </c>
      <c r="Z85" s="11">
        <v>638002</v>
      </c>
      <c r="AA85" s="11">
        <v>0</v>
      </c>
      <c r="AB85" s="11">
        <f>91445+3342</f>
        <v>94787</v>
      </c>
      <c r="AC85" s="11">
        <v>241888</v>
      </c>
      <c r="AD85" s="11">
        <v>22580</v>
      </c>
      <c r="AE85" s="11">
        <v>44939</v>
      </c>
      <c r="AF85" s="11">
        <f>33756+6430</f>
        <v>40186</v>
      </c>
      <c r="AG85" s="11">
        <v>25040</v>
      </c>
      <c r="AH85" s="11">
        <v>26346</v>
      </c>
      <c r="AI85" s="11">
        <v>600</v>
      </c>
      <c r="AJ85" s="11">
        <v>0</v>
      </c>
      <c r="AK85" s="11">
        <f>10206+23356+30957</f>
        <v>64519</v>
      </c>
      <c r="AL85" s="11">
        <v>11610</v>
      </c>
      <c r="AM85" s="11">
        <v>0</v>
      </c>
      <c r="AN85" s="11">
        <v>2325</v>
      </c>
      <c r="AO85" s="11">
        <v>318</v>
      </c>
      <c r="AP85" s="11">
        <v>32482</v>
      </c>
      <c r="AQ85" s="11">
        <v>0</v>
      </c>
      <c r="AR85" s="11">
        <v>616338</v>
      </c>
      <c r="AS85" s="11">
        <v>659999</v>
      </c>
      <c r="AT85" s="11">
        <v>0</v>
      </c>
      <c r="AU85" s="11">
        <v>0</v>
      </c>
      <c r="AV85" s="11">
        <v>143628</v>
      </c>
      <c r="AW85" s="11">
        <v>0</v>
      </c>
      <c r="AX85" s="11">
        <v>72262</v>
      </c>
      <c r="AY85" s="11">
        <v>0</v>
      </c>
      <c r="AZ85" s="11">
        <v>0</v>
      </c>
      <c r="BA85" s="11">
        <v>0</v>
      </c>
      <c r="BB85" s="11">
        <v>1635</v>
      </c>
      <c r="BC85" s="11">
        <v>764</v>
      </c>
      <c r="BD85" s="11">
        <v>0</v>
      </c>
      <c r="BE85" s="11">
        <f>4+6</f>
        <v>10</v>
      </c>
      <c r="BF85" s="11">
        <v>-134</v>
      </c>
      <c r="BG85" s="11">
        <v>-258</v>
      </c>
      <c r="BH85" s="11">
        <v>-223</v>
      </c>
      <c r="BI85" s="11">
        <v>0</v>
      </c>
      <c r="BJ85" s="11">
        <f t="shared" si="8"/>
        <v>1794</v>
      </c>
      <c r="BK85" s="1">
        <v>4</v>
      </c>
      <c r="BL85" s="1">
        <v>101</v>
      </c>
      <c r="BM85" s="1">
        <v>22</v>
      </c>
      <c r="BN85" s="1">
        <v>94</v>
      </c>
      <c r="BO85" s="1">
        <v>13</v>
      </c>
      <c r="BP85" s="1">
        <v>2</v>
      </c>
      <c r="BQ85" s="1">
        <v>2</v>
      </c>
      <c r="BR85" s="1">
        <v>1</v>
      </c>
      <c r="BS85" s="1">
        <v>14</v>
      </c>
      <c r="BT85" s="1">
        <v>62</v>
      </c>
      <c r="BU85" s="1">
        <v>1</v>
      </c>
      <c r="BV85" s="1">
        <v>5</v>
      </c>
      <c r="BW85" s="1">
        <v>2</v>
      </c>
      <c r="BX85" s="1">
        <v>10</v>
      </c>
      <c r="BY85" s="1">
        <v>110</v>
      </c>
      <c r="BZ85" s="1">
        <v>1</v>
      </c>
    </row>
    <row r="86" spans="1:78">
      <c r="A86" s="16">
        <v>9</v>
      </c>
      <c r="B86" s="1" t="s">
        <v>81</v>
      </c>
      <c r="C86" s="62" t="s">
        <v>339</v>
      </c>
      <c r="D86" s="1" t="s">
        <v>374</v>
      </c>
      <c r="E86" s="1" t="s">
        <v>427</v>
      </c>
      <c r="F86" s="59" t="s">
        <v>694</v>
      </c>
      <c r="G86" s="59" t="s">
        <v>429</v>
      </c>
      <c r="H86" s="11">
        <v>6688600</v>
      </c>
      <c r="I86" s="11">
        <v>6700127</v>
      </c>
      <c r="J86" s="11">
        <v>304361</v>
      </c>
      <c r="K86" s="52">
        <v>2313735</v>
      </c>
      <c r="L86" s="52">
        <v>279716</v>
      </c>
      <c r="M86" s="52">
        <v>1563009</v>
      </c>
      <c r="N86" s="52">
        <v>0</v>
      </c>
      <c r="O86" s="52">
        <v>0</v>
      </c>
      <c r="P86" s="52">
        <v>411255</v>
      </c>
      <c r="Q86" s="52">
        <v>0</v>
      </c>
      <c r="R86" s="11">
        <v>1522329</v>
      </c>
      <c r="S86" s="11">
        <v>290355</v>
      </c>
      <c r="T86" s="11">
        <v>0</v>
      </c>
      <c r="U86" s="11">
        <v>3469</v>
      </c>
      <c r="V86" s="11">
        <v>6724552</v>
      </c>
      <c r="W86" s="13">
        <v>0</v>
      </c>
      <c r="X86" s="11">
        <v>0</v>
      </c>
      <c r="Y86" s="26">
        <f>335426/6724552</f>
        <v>4.9880795032888434E-2</v>
      </c>
      <c r="Z86" s="11">
        <v>335223</v>
      </c>
      <c r="AA86" s="11">
        <v>0</v>
      </c>
      <c r="AB86" s="11">
        <f>11527+656</f>
        <v>12183</v>
      </c>
      <c r="AC86" s="11">
        <v>104604</v>
      </c>
      <c r="AD86" s="11">
        <v>8440</v>
      </c>
      <c r="AE86" s="11">
        <v>13518</v>
      </c>
      <c r="AF86" s="11">
        <v>14088</v>
      </c>
      <c r="AG86" s="11">
        <v>7490</v>
      </c>
      <c r="AH86" s="11">
        <v>5999</v>
      </c>
      <c r="AI86" s="11">
        <v>0</v>
      </c>
      <c r="AJ86" s="11">
        <v>1804</v>
      </c>
      <c r="AK86" s="11">
        <f>1768+2908+4382</f>
        <v>9058</v>
      </c>
      <c r="AL86" s="11">
        <v>1150</v>
      </c>
      <c r="AM86" s="11">
        <v>0</v>
      </c>
      <c r="AN86" s="11">
        <v>0</v>
      </c>
      <c r="AO86" s="11">
        <v>735</v>
      </c>
      <c r="AP86" s="11">
        <v>4026</v>
      </c>
      <c r="AQ86" s="11">
        <v>0</v>
      </c>
      <c r="AR86" s="11">
        <v>212169</v>
      </c>
      <c r="AS86" s="11">
        <v>203651</v>
      </c>
      <c r="AT86" s="11">
        <v>0</v>
      </c>
      <c r="AU86" s="11">
        <v>0</v>
      </c>
      <c r="AV86" s="11">
        <v>143628</v>
      </c>
      <c r="AW86" s="11">
        <v>0</v>
      </c>
      <c r="AX86" s="11">
        <v>0</v>
      </c>
      <c r="AY86" s="11">
        <v>0</v>
      </c>
      <c r="AZ86" s="11">
        <v>0</v>
      </c>
      <c r="BA86" s="11">
        <v>0</v>
      </c>
      <c r="BB86" s="11">
        <v>646</v>
      </c>
      <c r="BC86" s="11">
        <v>214</v>
      </c>
      <c r="BD86" s="11">
        <v>57</v>
      </c>
      <c r="BE86" s="11">
        <v>-622</v>
      </c>
      <c r="BF86" s="11">
        <v>-56</v>
      </c>
      <c r="BG86" s="11">
        <v>-100</v>
      </c>
      <c r="BH86" s="11">
        <v>-139</v>
      </c>
      <c r="BI86" s="11">
        <v>0</v>
      </c>
      <c r="BJ86" s="11">
        <f t="shared" si="8"/>
        <v>0</v>
      </c>
      <c r="BK86" s="1">
        <v>0</v>
      </c>
      <c r="BL86" s="1">
        <v>39</v>
      </c>
      <c r="BM86" s="1">
        <v>20</v>
      </c>
      <c r="BN86" s="1">
        <v>80</v>
      </c>
      <c r="BO86" s="1">
        <v>0</v>
      </c>
      <c r="BP86" s="1">
        <v>0</v>
      </c>
      <c r="BQ86" s="1">
        <v>0</v>
      </c>
      <c r="BR86" s="1">
        <v>1</v>
      </c>
      <c r="BS86" s="1">
        <v>13</v>
      </c>
      <c r="BT86" s="1">
        <v>27</v>
      </c>
      <c r="BU86" s="1">
        <v>0</v>
      </c>
      <c r="BV86" s="1">
        <v>0</v>
      </c>
      <c r="BW86" s="1">
        <v>4</v>
      </c>
      <c r="BX86" s="1">
        <v>9</v>
      </c>
      <c r="BY86" s="1">
        <v>35</v>
      </c>
      <c r="BZ86" s="1">
        <v>0</v>
      </c>
    </row>
    <row r="87" spans="1:78">
      <c r="A87" s="16">
        <v>9</v>
      </c>
      <c r="B87" s="59" t="s">
        <v>104</v>
      </c>
      <c r="C87" s="60" t="s">
        <v>408</v>
      </c>
      <c r="D87" s="59" t="s">
        <v>133</v>
      </c>
      <c r="E87" s="59" t="s">
        <v>490</v>
      </c>
      <c r="F87" s="59" t="s">
        <v>618</v>
      </c>
      <c r="G87" s="59" t="s">
        <v>491</v>
      </c>
      <c r="H87" s="11">
        <v>17342313</v>
      </c>
      <c r="I87" s="11">
        <v>17367459</v>
      </c>
      <c r="J87" s="11">
        <v>791884</v>
      </c>
      <c r="K87" s="52">
        <v>282952</v>
      </c>
      <c r="L87" s="52">
        <v>1307940</v>
      </c>
      <c r="M87" s="52">
        <v>6559468</v>
      </c>
      <c r="N87" s="52">
        <v>0</v>
      </c>
      <c r="O87" s="52">
        <v>6414</v>
      </c>
      <c r="P87" s="52">
        <v>828768</v>
      </c>
      <c r="Q87" s="52">
        <v>0</v>
      </c>
      <c r="R87" s="11">
        <v>5581297</v>
      </c>
      <c r="S87" s="11">
        <v>871255</v>
      </c>
      <c r="T87" s="11">
        <v>0</v>
      </c>
      <c r="U87" s="11">
        <v>56926</v>
      </c>
      <c r="V87" s="11">
        <v>16336525</v>
      </c>
      <c r="W87" s="13">
        <v>5.7000000000000002E-2</v>
      </c>
      <c r="X87" s="11">
        <v>0</v>
      </c>
      <c r="Y87" s="26">
        <f>839628/16277953</f>
        <v>5.1580687080248974E-2</v>
      </c>
      <c r="Z87" s="11">
        <v>839859</v>
      </c>
      <c r="AA87" s="3">
        <v>0</v>
      </c>
      <c r="AB87" s="11">
        <f>25146+90</f>
        <v>25236</v>
      </c>
      <c r="AC87" s="11">
        <v>380036</v>
      </c>
      <c r="AD87" s="11">
        <v>30168</v>
      </c>
      <c r="AE87" s="11">
        <v>81960</v>
      </c>
      <c r="AF87" s="11">
        <f>46929+5629</f>
        <v>52558</v>
      </c>
      <c r="AG87" s="11">
        <v>2338</v>
      </c>
      <c r="AH87" s="11">
        <v>32180</v>
      </c>
      <c r="AI87" s="11">
        <v>0</v>
      </c>
      <c r="AJ87" s="11">
        <v>49629</v>
      </c>
      <c r="AK87" s="11">
        <f>12595+10199+19587</f>
        <v>42381</v>
      </c>
      <c r="AL87" s="11">
        <v>6965</v>
      </c>
      <c r="AM87" s="11">
        <v>0</v>
      </c>
      <c r="AN87" s="11">
        <v>53</v>
      </c>
      <c r="AO87" s="11">
        <v>23855</v>
      </c>
      <c r="AP87" s="11">
        <v>11484</v>
      </c>
      <c r="AQ87" s="11">
        <v>0</v>
      </c>
      <c r="AR87" s="11">
        <v>767696</v>
      </c>
      <c r="AS87" s="11">
        <v>751426</v>
      </c>
      <c r="AT87" s="11">
        <v>0</v>
      </c>
      <c r="AU87" s="11">
        <v>0</v>
      </c>
      <c r="AV87" s="11">
        <v>143628</v>
      </c>
      <c r="AW87" s="11">
        <v>0</v>
      </c>
      <c r="AX87" s="11">
        <v>101585</v>
      </c>
      <c r="AY87" s="11">
        <v>0</v>
      </c>
      <c r="AZ87" s="11">
        <v>0</v>
      </c>
      <c r="BA87" s="11">
        <v>0</v>
      </c>
      <c r="BB87" s="11">
        <v>3411</v>
      </c>
      <c r="BC87" s="11">
        <v>1564</v>
      </c>
      <c r="BD87" s="11">
        <v>2</v>
      </c>
      <c r="BE87" s="11">
        <f>7-3</f>
        <v>4</v>
      </c>
      <c r="BF87" s="11">
        <v>-209</v>
      </c>
      <c r="BG87" s="11">
        <v>-562</v>
      </c>
      <c r="BH87" s="11">
        <v>-603</v>
      </c>
      <c r="BI87" s="11">
        <v>-6</v>
      </c>
      <c r="BJ87" s="11">
        <f t="shared" si="8"/>
        <v>3601</v>
      </c>
      <c r="BK87" s="1">
        <v>7</v>
      </c>
      <c r="BL87" s="1">
        <v>374</v>
      </c>
      <c r="BM87" s="1">
        <v>90</v>
      </c>
      <c r="BN87" s="1">
        <v>109</v>
      </c>
      <c r="BO87" s="1">
        <v>2</v>
      </c>
      <c r="BP87" s="1">
        <v>28</v>
      </c>
      <c r="BQ87" s="1">
        <v>3</v>
      </c>
      <c r="BR87" s="1">
        <v>4</v>
      </c>
      <c r="BS87" s="1">
        <v>51</v>
      </c>
      <c r="BT87" s="1">
        <v>106</v>
      </c>
      <c r="BU87" s="1">
        <v>3</v>
      </c>
      <c r="BV87" s="1">
        <v>12</v>
      </c>
      <c r="BW87" s="1">
        <v>9</v>
      </c>
      <c r="BX87" s="1">
        <v>107</v>
      </c>
      <c r="BY87" s="1">
        <v>275</v>
      </c>
      <c r="BZ87" s="1">
        <v>52</v>
      </c>
    </row>
    <row r="88" spans="1:78">
      <c r="A88" s="16">
        <v>9</v>
      </c>
      <c r="B88" s="1" t="s">
        <v>117</v>
      </c>
      <c r="C88" s="62" t="s">
        <v>364</v>
      </c>
      <c r="D88" s="59" t="s">
        <v>189</v>
      </c>
      <c r="E88" s="59" t="s">
        <v>427</v>
      </c>
      <c r="F88" s="59" t="s">
        <v>208</v>
      </c>
      <c r="G88" s="59" t="s">
        <v>429</v>
      </c>
      <c r="H88" s="11">
        <v>33337339</v>
      </c>
      <c r="I88" s="11">
        <v>33424119</v>
      </c>
      <c r="J88" s="11">
        <v>1467618</v>
      </c>
      <c r="K88" s="52">
        <v>13273832</v>
      </c>
      <c r="L88" s="52">
        <v>1945885</v>
      </c>
      <c r="M88" s="52">
        <v>6596207</v>
      </c>
      <c r="N88" s="52">
        <v>0</v>
      </c>
      <c r="O88" s="52">
        <v>0</v>
      </c>
      <c r="P88" s="52">
        <v>777253</v>
      </c>
      <c r="Q88" s="52">
        <v>0</v>
      </c>
      <c r="R88" s="11">
        <v>4676711</v>
      </c>
      <c r="S88" s="11">
        <v>2473214</v>
      </c>
      <c r="T88" s="11">
        <v>33122</v>
      </c>
      <c r="U88" s="11">
        <v>0</v>
      </c>
      <c r="V88" s="11">
        <v>31064640</v>
      </c>
      <c r="W88" s="13">
        <v>0.1195</v>
      </c>
      <c r="X88" s="11">
        <v>0</v>
      </c>
      <c r="Y88" s="26">
        <f>1285256/30854887</f>
        <v>4.1654860055070048E-2</v>
      </c>
      <c r="Z88" s="11">
        <v>1285088</v>
      </c>
      <c r="AA88" s="11">
        <v>0</v>
      </c>
      <c r="AB88" s="11">
        <f>84131+3164</f>
        <v>87295</v>
      </c>
      <c r="AC88" s="11">
        <v>622220</v>
      </c>
      <c r="AD88" s="11">
        <v>54049</v>
      </c>
      <c r="AE88" s="11">
        <v>153785</v>
      </c>
      <c r="AF88" s="11">
        <f>129814+8939</f>
        <v>138753</v>
      </c>
      <c r="AG88" s="11">
        <v>2134</v>
      </c>
      <c r="AH88" s="11">
        <v>19833</v>
      </c>
      <c r="AI88" s="11">
        <v>19507</v>
      </c>
      <c r="AJ88" s="11">
        <v>0</v>
      </c>
      <c r="AK88" s="11">
        <f>22960+31194+39217</f>
        <v>93371</v>
      </c>
      <c r="AL88" s="11">
        <v>22900</v>
      </c>
      <c r="AM88" s="11">
        <v>50</v>
      </c>
      <c r="AN88" s="11">
        <v>0</v>
      </c>
      <c r="AO88" s="11">
        <v>1002</v>
      </c>
      <c r="AP88" s="11">
        <v>16313</v>
      </c>
      <c r="AQ88" s="11">
        <v>0</v>
      </c>
      <c r="AR88" s="11">
        <v>1215968</v>
      </c>
      <c r="AS88" s="11">
        <v>1257386</v>
      </c>
      <c r="AT88" s="11">
        <v>0</v>
      </c>
      <c r="AU88" s="11">
        <v>0</v>
      </c>
      <c r="AV88" s="11">
        <v>143628</v>
      </c>
      <c r="AW88" s="11">
        <v>0</v>
      </c>
      <c r="AX88" s="11">
        <v>197066</v>
      </c>
      <c r="AY88" s="11">
        <v>0</v>
      </c>
      <c r="AZ88" s="11">
        <v>0</v>
      </c>
      <c r="BA88" s="11">
        <v>0</v>
      </c>
      <c r="BB88" s="11">
        <v>3529</v>
      </c>
      <c r="BC88" s="11">
        <v>2580</v>
      </c>
      <c r="BD88" s="11">
        <v>0</v>
      </c>
      <c r="BE88" s="11">
        <v>-34</v>
      </c>
      <c r="BF88" s="11">
        <v>-152</v>
      </c>
      <c r="BG88" s="11">
        <v>-1301</v>
      </c>
      <c r="BH88" s="11">
        <v>-161</v>
      </c>
      <c r="BI88" s="11">
        <v>0</v>
      </c>
      <c r="BJ88" s="11">
        <f t="shared" si="8"/>
        <v>4461</v>
      </c>
      <c r="BK88" s="1">
        <v>0</v>
      </c>
      <c r="BL88" s="1">
        <v>96</v>
      </c>
      <c r="BM88" s="1">
        <v>21</v>
      </c>
      <c r="BN88" s="1">
        <v>27</v>
      </c>
      <c r="BO88" s="1">
        <v>4</v>
      </c>
      <c r="BP88" s="1">
        <v>13</v>
      </c>
      <c r="BQ88" s="1">
        <v>1</v>
      </c>
      <c r="BR88" s="1">
        <v>6</v>
      </c>
      <c r="BS88" s="1">
        <v>34</v>
      </c>
      <c r="BT88" s="1">
        <v>108</v>
      </c>
      <c r="BU88" s="1">
        <v>3</v>
      </c>
      <c r="BV88" s="1">
        <v>8</v>
      </c>
      <c r="BW88" s="1">
        <v>8</v>
      </c>
      <c r="BX88" s="1">
        <v>139</v>
      </c>
      <c r="BY88" s="1">
        <v>1053</v>
      </c>
      <c r="BZ88" s="1">
        <v>93</v>
      </c>
    </row>
    <row r="89" spans="1:78">
      <c r="A89" s="16">
        <v>9</v>
      </c>
      <c r="B89" s="59" t="s">
        <v>193</v>
      </c>
      <c r="C89" s="60" t="s">
        <v>43</v>
      </c>
      <c r="D89" s="59" t="s">
        <v>656</v>
      </c>
      <c r="E89" s="59" t="s">
        <v>490</v>
      </c>
      <c r="F89" s="59" t="s">
        <v>479</v>
      </c>
      <c r="G89" s="59" t="s">
        <v>491</v>
      </c>
      <c r="H89" s="11">
        <v>5024103</v>
      </c>
      <c r="I89" s="11">
        <v>5028861</v>
      </c>
      <c r="J89" s="11">
        <v>135493</v>
      </c>
      <c r="K89" s="52">
        <v>62263</v>
      </c>
      <c r="L89" s="52">
        <v>367261</v>
      </c>
      <c r="M89" s="52">
        <v>414034</v>
      </c>
      <c r="N89" s="52">
        <v>690505</v>
      </c>
      <c r="O89" s="52">
        <v>12468</v>
      </c>
      <c r="P89" s="52">
        <v>133012</v>
      </c>
      <c r="Q89" s="52">
        <v>190059</v>
      </c>
      <c r="R89" s="11">
        <v>2385611</v>
      </c>
      <c r="S89" s="11">
        <v>164365</v>
      </c>
      <c r="T89" s="11">
        <v>0</v>
      </c>
      <c r="U89" s="11">
        <v>0</v>
      </c>
      <c r="V89" s="11">
        <v>4884214</v>
      </c>
      <c r="W89" s="13">
        <v>4.6199999999999998E-2</v>
      </c>
      <c r="X89" s="11">
        <v>0</v>
      </c>
      <c r="Y89" s="26">
        <f>465861/4884214</f>
        <v>9.5380955871302936E-2</v>
      </c>
      <c r="Z89" s="11">
        <v>464276</v>
      </c>
      <c r="AA89" s="11">
        <v>0</v>
      </c>
      <c r="AB89" s="11">
        <f>4758+221</f>
        <v>4979</v>
      </c>
      <c r="AC89" s="11">
        <v>145827</v>
      </c>
      <c r="AD89" s="11">
        <v>11636</v>
      </c>
      <c r="AE89" s="11">
        <v>43678</v>
      </c>
      <c r="AF89" s="11">
        <f>16524+2149</f>
        <v>18673</v>
      </c>
      <c r="AG89" s="11">
        <v>7025</v>
      </c>
      <c r="AH89" s="11">
        <v>24687</v>
      </c>
      <c r="AI89" s="11">
        <v>0</v>
      </c>
      <c r="AJ89" s="11">
        <v>31224</v>
      </c>
      <c r="AK89" s="11">
        <f>4691+11910+5196</f>
        <v>21797</v>
      </c>
      <c r="AL89" s="11">
        <v>2212</v>
      </c>
      <c r="AM89" s="11">
        <v>122</v>
      </c>
      <c r="AN89" s="11">
        <v>0</v>
      </c>
      <c r="AO89" s="11">
        <v>971</v>
      </c>
      <c r="AP89" s="11">
        <v>5233</v>
      </c>
      <c r="AQ89" s="11">
        <v>0</v>
      </c>
      <c r="AR89" s="11">
        <v>333809</v>
      </c>
      <c r="AS89" s="11">
        <v>329355</v>
      </c>
      <c r="AT89" s="11">
        <v>0</v>
      </c>
      <c r="AU89" s="11">
        <v>0</v>
      </c>
      <c r="AV89" s="11">
        <v>143628</v>
      </c>
      <c r="AW89" s="11">
        <v>0</v>
      </c>
      <c r="AX89" s="11">
        <v>38292</v>
      </c>
      <c r="AY89" s="11">
        <v>0</v>
      </c>
      <c r="AZ89" s="11">
        <v>0</v>
      </c>
      <c r="BA89" s="11">
        <v>0</v>
      </c>
      <c r="BB89" s="11">
        <v>906</v>
      </c>
      <c r="BC89" s="11">
        <v>582</v>
      </c>
      <c r="BD89" s="11">
        <v>2</v>
      </c>
      <c r="BE89" s="11">
        <f>2+11-2</f>
        <v>11</v>
      </c>
      <c r="BF89" s="11">
        <v>-94</v>
      </c>
      <c r="BG89" s="11">
        <v>-227</v>
      </c>
      <c r="BH89" s="11">
        <v>-146</v>
      </c>
      <c r="BI89" s="11">
        <v>-1</v>
      </c>
      <c r="BJ89" s="11">
        <f t="shared" si="8"/>
        <v>1033</v>
      </c>
      <c r="BK89" s="1">
        <v>1</v>
      </c>
      <c r="BL89" s="1">
        <v>137</v>
      </c>
      <c r="BM89" s="1">
        <v>4</v>
      </c>
      <c r="BN89" s="1">
        <v>3</v>
      </c>
      <c r="BO89" s="1">
        <v>0</v>
      </c>
      <c r="BP89" s="1">
        <v>2</v>
      </c>
      <c r="BQ89" s="1">
        <v>47</v>
      </c>
      <c r="BR89" s="1">
        <v>2</v>
      </c>
      <c r="BS89" s="1">
        <v>2</v>
      </c>
      <c r="BT89" s="1">
        <v>0</v>
      </c>
      <c r="BU89" s="1">
        <v>0</v>
      </c>
      <c r="BV89" s="1">
        <v>123</v>
      </c>
      <c r="BW89" s="1">
        <v>1</v>
      </c>
      <c r="BX89" s="1">
        <v>1</v>
      </c>
      <c r="BY89" s="1">
        <v>0</v>
      </c>
      <c r="BZ89" s="1">
        <v>5</v>
      </c>
    </row>
    <row r="90" spans="1:78">
      <c r="A90" s="16">
        <v>9</v>
      </c>
      <c r="B90" s="59" t="s">
        <v>257</v>
      </c>
      <c r="C90" s="60" t="s">
        <v>428</v>
      </c>
      <c r="D90" s="59" t="s">
        <v>716</v>
      </c>
      <c r="E90" s="59" t="s">
        <v>490</v>
      </c>
      <c r="F90" s="59" t="s">
        <v>479</v>
      </c>
      <c r="G90" s="59" t="s">
        <v>491</v>
      </c>
      <c r="H90" s="11">
        <v>7878690</v>
      </c>
      <c r="I90" s="11">
        <v>7932146</v>
      </c>
      <c r="J90" s="11">
        <v>297801</v>
      </c>
      <c r="K90" s="52">
        <v>25915</v>
      </c>
      <c r="L90" s="52">
        <v>177031</v>
      </c>
      <c r="M90" s="52">
        <v>0</v>
      </c>
      <c r="N90" s="52">
        <v>2767713</v>
      </c>
      <c r="O90" s="52">
        <v>0</v>
      </c>
      <c r="P90" s="52">
        <v>0</v>
      </c>
      <c r="Q90" s="52">
        <v>250638</v>
      </c>
      <c r="R90" s="11">
        <v>2769674</v>
      </c>
      <c r="S90" s="11">
        <v>587981</v>
      </c>
      <c r="T90" s="11">
        <v>0</v>
      </c>
      <c r="U90" s="11">
        <v>0</v>
      </c>
      <c r="V90" s="11">
        <v>7334124</v>
      </c>
      <c r="W90" s="13">
        <v>0.1321</v>
      </c>
      <c r="X90" s="11">
        <v>0</v>
      </c>
      <c r="Y90" s="26">
        <f>684481/7232932</f>
        <v>9.4633960335863798E-2</v>
      </c>
      <c r="Z90" s="11">
        <v>684033</v>
      </c>
      <c r="AA90" s="11">
        <v>0</v>
      </c>
      <c r="AB90" s="11">
        <f>50567+1100</f>
        <v>51667</v>
      </c>
      <c r="AC90" s="11">
        <v>234965</v>
      </c>
      <c r="AD90" s="11">
        <v>21327</v>
      </c>
      <c r="AE90" s="11">
        <v>38988</v>
      </c>
      <c r="AF90" s="11">
        <v>35392</v>
      </c>
      <c r="AG90" s="11">
        <v>0</v>
      </c>
      <c r="AH90" s="11">
        <v>63732</v>
      </c>
      <c r="AI90" s="11">
        <v>0</v>
      </c>
      <c r="AJ90" s="11">
        <v>21900</v>
      </c>
      <c r="AK90" s="11">
        <f>4601+14427+13946</f>
        <v>32974</v>
      </c>
      <c r="AL90" s="11">
        <v>1675</v>
      </c>
      <c r="AM90" s="11">
        <v>0</v>
      </c>
      <c r="AN90" s="11">
        <v>0</v>
      </c>
      <c r="AO90" s="11">
        <v>933</v>
      </c>
      <c r="AP90" s="11">
        <v>64167</v>
      </c>
      <c r="AQ90" s="11">
        <v>0</v>
      </c>
      <c r="AR90" s="11">
        <v>558563</v>
      </c>
      <c r="AS90" s="11">
        <v>566494</v>
      </c>
      <c r="AT90" s="11">
        <v>0</v>
      </c>
      <c r="AU90" s="11">
        <v>0</v>
      </c>
      <c r="AV90" s="11">
        <v>143628</v>
      </c>
      <c r="AW90" s="11">
        <v>0</v>
      </c>
      <c r="AX90" s="11">
        <v>79695</v>
      </c>
      <c r="AY90" s="11">
        <v>0</v>
      </c>
      <c r="AZ90" s="11">
        <v>0</v>
      </c>
      <c r="BA90" s="11">
        <v>0</v>
      </c>
      <c r="BB90" s="11">
        <v>1779</v>
      </c>
      <c r="BC90" s="11">
        <v>876</v>
      </c>
      <c r="BD90" s="11">
        <v>0</v>
      </c>
      <c r="BE90" s="11">
        <v>0</v>
      </c>
      <c r="BF90" s="11">
        <v>-100</v>
      </c>
      <c r="BG90" s="11">
        <v>-275</v>
      </c>
      <c r="BH90" s="11">
        <v>-282</v>
      </c>
      <c r="BI90" s="11">
        <v>0</v>
      </c>
      <c r="BJ90" s="11">
        <f t="shared" si="8"/>
        <v>1998</v>
      </c>
      <c r="BK90" s="1">
        <v>7</v>
      </c>
      <c r="BL90" s="1">
        <v>55</v>
      </c>
      <c r="BM90" s="1">
        <v>39</v>
      </c>
      <c r="BN90" s="1">
        <v>209</v>
      </c>
      <c r="BO90" s="1">
        <v>0</v>
      </c>
      <c r="BP90" s="1">
        <v>1</v>
      </c>
      <c r="BQ90" s="1">
        <v>9</v>
      </c>
      <c r="BR90" s="1">
        <v>5</v>
      </c>
      <c r="BS90" s="1">
        <v>36</v>
      </c>
      <c r="BT90" s="1">
        <v>1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</row>
    <row r="91" spans="1:78">
      <c r="A91" s="16">
        <v>9</v>
      </c>
      <c r="B91" s="1" t="s">
        <v>282</v>
      </c>
      <c r="C91" s="62" t="s">
        <v>414</v>
      </c>
      <c r="D91" s="1" t="s">
        <v>348</v>
      </c>
      <c r="E91" s="1" t="s">
        <v>427</v>
      </c>
      <c r="F91" s="59" t="s">
        <v>694</v>
      </c>
      <c r="G91" s="59" t="s">
        <v>429</v>
      </c>
      <c r="H91" s="11">
        <v>11659976</v>
      </c>
      <c r="I91" s="11">
        <v>11724411</v>
      </c>
      <c r="J91" s="11">
        <v>582588</v>
      </c>
      <c r="K91" s="52">
        <v>3333668</v>
      </c>
      <c r="L91" s="52">
        <v>448032</v>
      </c>
      <c r="M91" s="52">
        <v>2490085</v>
      </c>
      <c r="N91" s="52">
        <v>0</v>
      </c>
      <c r="O91" s="52">
        <v>0</v>
      </c>
      <c r="P91" s="52">
        <v>546291</v>
      </c>
      <c r="Q91" s="52">
        <v>0</v>
      </c>
      <c r="R91" s="11">
        <v>2829781</v>
      </c>
      <c r="S91" s="11">
        <v>636932</v>
      </c>
      <c r="T91" s="11">
        <v>0</v>
      </c>
      <c r="U91" s="11">
        <v>0</v>
      </c>
      <c r="V91" s="11">
        <v>10931075</v>
      </c>
      <c r="W91" s="13">
        <v>0.18021000000000001</v>
      </c>
      <c r="X91" s="11">
        <v>0</v>
      </c>
      <c r="Y91" s="26">
        <f>599303/10931075</f>
        <v>5.4825623280418442E-2</v>
      </c>
      <c r="Z91" s="11">
        <v>599482</v>
      </c>
      <c r="AA91" s="11">
        <v>0</v>
      </c>
      <c r="AB91" s="11">
        <f>64435+836</f>
        <v>65271</v>
      </c>
      <c r="AC91" s="11">
        <v>240424</v>
      </c>
      <c r="AD91" s="11">
        <v>19817</v>
      </c>
      <c r="AE91" s="11">
        <v>15858</v>
      </c>
      <c r="AF91" s="11">
        <f>56609+6086</f>
        <v>62695</v>
      </c>
      <c r="AG91" s="11">
        <v>8855</v>
      </c>
      <c r="AH91" s="11">
        <v>26343</v>
      </c>
      <c r="AI91" s="11">
        <v>0</v>
      </c>
      <c r="AJ91" s="11">
        <v>5003</v>
      </c>
      <c r="AK91" s="11">
        <f>7249+12520+18285</f>
        <v>38054</v>
      </c>
      <c r="AL91" s="11">
        <v>10027</v>
      </c>
      <c r="AM91" s="11">
        <v>0</v>
      </c>
      <c r="AN91" s="11">
        <v>0</v>
      </c>
      <c r="AO91" s="11">
        <v>811</v>
      </c>
      <c r="AP91" s="11">
        <v>28191</v>
      </c>
      <c r="AQ91" s="11">
        <v>0</v>
      </c>
      <c r="AR91" s="11">
        <v>560176</v>
      </c>
      <c r="AS91" s="11">
        <v>569795</v>
      </c>
      <c r="AT91" s="11">
        <v>0</v>
      </c>
      <c r="AU91" s="11">
        <v>0</v>
      </c>
      <c r="AV91" s="11">
        <v>143628</v>
      </c>
      <c r="AW91" s="11">
        <v>0</v>
      </c>
      <c r="AX91" s="11">
        <v>55810</v>
      </c>
      <c r="AY91" s="11">
        <v>0</v>
      </c>
      <c r="AZ91" s="11">
        <v>0</v>
      </c>
      <c r="BA91" s="11">
        <v>0</v>
      </c>
      <c r="BB91" s="11">
        <v>1470</v>
      </c>
      <c r="BC91" s="11">
        <v>790</v>
      </c>
      <c r="BD91" s="11">
        <v>5</v>
      </c>
      <c r="BE91" s="11">
        <v>622</v>
      </c>
      <c r="BF91" s="11">
        <v>-100</v>
      </c>
      <c r="BG91" s="11">
        <v>-427</v>
      </c>
      <c r="BH91" s="11">
        <v>-199</v>
      </c>
      <c r="BI91" s="11">
        <v>-1</v>
      </c>
      <c r="BJ91" s="11">
        <f t="shared" si="8"/>
        <v>2160</v>
      </c>
      <c r="BK91" s="1">
        <v>2</v>
      </c>
      <c r="BL91" s="1">
        <v>112</v>
      </c>
      <c r="BM91" s="1">
        <v>22</v>
      </c>
      <c r="BN91" s="1">
        <v>65</v>
      </c>
      <c r="BO91" s="1">
        <v>0</v>
      </c>
      <c r="BP91" s="1">
        <v>0</v>
      </c>
      <c r="BQ91" s="1">
        <v>32</v>
      </c>
      <c r="BR91" s="1">
        <v>9</v>
      </c>
      <c r="BS91" s="1">
        <v>29</v>
      </c>
      <c r="BT91" s="1">
        <v>0</v>
      </c>
      <c r="BU91" s="1">
        <v>0</v>
      </c>
      <c r="BV91" s="1">
        <v>173</v>
      </c>
      <c r="BW91" s="1">
        <v>23</v>
      </c>
      <c r="BX91" s="1">
        <v>106</v>
      </c>
      <c r="BY91" s="1">
        <v>0</v>
      </c>
      <c r="BZ91" s="1">
        <v>0</v>
      </c>
    </row>
    <row r="92" spans="1:78">
      <c r="A92" s="16">
        <v>9</v>
      </c>
      <c r="B92" s="59" t="s">
        <v>301</v>
      </c>
      <c r="C92" s="60" t="s">
        <v>335</v>
      </c>
      <c r="D92" s="59" t="s">
        <v>26</v>
      </c>
      <c r="E92" s="59" t="s">
        <v>490</v>
      </c>
      <c r="F92" s="59" t="s">
        <v>479</v>
      </c>
      <c r="G92" s="59" t="s">
        <v>491</v>
      </c>
      <c r="H92" s="11">
        <v>8185182</v>
      </c>
      <c r="I92" s="11">
        <v>8209991</v>
      </c>
      <c r="J92" s="11">
        <v>401394</v>
      </c>
      <c r="K92" s="52">
        <v>0</v>
      </c>
      <c r="L92" s="52">
        <v>748722</v>
      </c>
      <c r="M92" s="52">
        <v>2758607</v>
      </c>
      <c r="N92" s="52">
        <v>0</v>
      </c>
      <c r="O92" s="52">
        <v>0</v>
      </c>
      <c r="P92" s="52">
        <v>698294</v>
      </c>
      <c r="Q92" s="52">
        <v>0</v>
      </c>
      <c r="R92" s="11">
        <v>2340998</v>
      </c>
      <c r="S92" s="11">
        <v>562499</v>
      </c>
      <c r="T92" s="11">
        <v>1994</v>
      </c>
      <c r="U92" s="11">
        <v>0</v>
      </c>
      <c r="V92" s="11">
        <v>7746303</v>
      </c>
      <c r="W92" s="13">
        <v>5.7099999999999998E-2</v>
      </c>
      <c r="X92" s="11">
        <v>0</v>
      </c>
      <c r="Y92" s="26">
        <f>619345/7744168</f>
        <v>7.9975666850202631E-2</v>
      </c>
      <c r="Z92" s="11">
        <v>619272</v>
      </c>
      <c r="AA92" s="11">
        <v>0</v>
      </c>
      <c r="AB92" s="11">
        <f>24809+821</f>
        <v>25630</v>
      </c>
      <c r="AC92" s="11">
        <v>251773</v>
      </c>
      <c r="AD92" s="11">
        <v>20311</v>
      </c>
      <c r="AE92" s="11">
        <v>56224</v>
      </c>
      <c r="AF92" s="11">
        <f>63032+5194</f>
        <v>68226</v>
      </c>
      <c r="AG92" s="11">
        <v>3023</v>
      </c>
      <c r="AH92" s="11">
        <v>13395</v>
      </c>
      <c r="AI92" s="11">
        <v>1150</v>
      </c>
      <c r="AJ92" s="11">
        <v>20093</v>
      </c>
      <c r="AK92" s="11">
        <f>7859+5024+14316</f>
        <v>27199</v>
      </c>
      <c r="AL92" s="11">
        <v>6719</v>
      </c>
      <c r="AM92" s="11">
        <v>0</v>
      </c>
      <c r="AN92" s="11">
        <v>0</v>
      </c>
      <c r="AO92" s="11">
        <v>7317</v>
      </c>
      <c r="AP92" s="11">
        <v>3484</v>
      </c>
      <c r="AQ92" s="11">
        <v>0</v>
      </c>
      <c r="AR92" s="11">
        <v>518144</v>
      </c>
      <c r="AS92" s="11">
        <v>522122</v>
      </c>
      <c r="AT92" s="11">
        <v>0</v>
      </c>
      <c r="AU92" s="11">
        <v>0</v>
      </c>
      <c r="AV92" s="11">
        <v>143628</v>
      </c>
      <c r="AW92" s="11">
        <v>0</v>
      </c>
      <c r="AX92" s="11">
        <v>68136</v>
      </c>
      <c r="AY92" s="11">
        <v>0</v>
      </c>
      <c r="AZ92" s="11">
        <v>0</v>
      </c>
      <c r="BA92" s="11">
        <v>0</v>
      </c>
      <c r="BB92" s="11">
        <v>1783</v>
      </c>
      <c r="BC92" s="11">
        <v>909</v>
      </c>
      <c r="BD92" s="11">
        <v>0</v>
      </c>
      <c r="BE92" s="11">
        <v>0</v>
      </c>
      <c r="BF92" s="11">
        <v>-163</v>
      </c>
      <c r="BG92" s="11">
        <v>-186</v>
      </c>
      <c r="BH92" s="11">
        <v>-320</v>
      </c>
      <c r="BI92" s="11">
        <v>-9</v>
      </c>
      <c r="BJ92" s="11">
        <f t="shared" si="8"/>
        <v>2014</v>
      </c>
      <c r="BK92" s="1">
        <v>4</v>
      </c>
      <c r="BL92" s="1">
        <v>70</v>
      </c>
      <c r="BM92" s="1">
        <v>40</v>
      </c>
      <c r="BN92" s="1">
        <v>197</v>
      </c>
      <c r="BO92" s="1">
        <v>6</v>
      </c>
      <c r="BP92" s="1">
        <v>16</v>
      </c>
      <c r="BQ92" s="1">
        <v>1</v>
      </c>
      <c r="BR92" s="1">
        <v>2</v>
      </c>
      <c r="BS92" s="1">
        <v>27</v>
      </c>
      <c r="BT92" s="1">
        <v>94</v>
      </c>
      <c r="BU92" s="1">
        <v>4</v>
      </c>
      <c r="BV92" s="1">
        <v>2</v>
      </c>
      <c r="BW92" s="1">
        <v>4</v>
      </c>
      <c r="BX92" s="1">
        <v>22</v>
      </c>
      <c r="BY92" s="1">
        <v>87</v>
      </c>
      <c r="BZ92" s="1">
        <v>11</v>
      </c>
    </row>
    <row r="93" spans="1:78">
      <c r="A93" s="16">
        <v>9</v>
      </c>
      <c r="B93" s="59" t="s">
        <v>340</v>
      </c>
      <c r="C93" s="60" t="s">
        <v>546</v>
      </c>
      <c r="D93" s="59" t="s">
        <v>271</v>
      </c>
      <c r="E93" s="59" t="s">
        <v>427</v>
      </c>
      <c r="F93" s="59" t="s">
        <v>694</v>
      </c>
      <c r="G93" s="59" t="s">
        <v>429</v>
      </c>
      <c r="H93" s="11">
        <v>21848509</v>
      </c>
      <c r="I93" s="11">
        <v>22536634</v>
      </c>
      <c r="J93" s="11">
        <v>620489</v>
      </c>
      <c r="K93" s="52">
        <v>6773965</v>
      </c>
      <c r="L93" s="52">
        <v>1004933</v>
      </c>
      <c r="M93" s="52">
        <v>0</v>
      </c>
      <c r="N93" s="52">
        <v>4937257</v>
      </c>
      <c r="O93" s="52">
        <v>0</v>
      </c>
      <c r="P93" s="52">
        <v>0</v>
      </c>
      <c r="Q93" s="52">
        <v>787355</v>
      </c>
      <c r="R93" s="11">
        <v>4294098</v>
      </c>
      <c r="S93" s="11">
        <v>1565631</v>
      </c>
      <c r="T93" s="11">
        <v>0</v>
      </c>
      <c r="U93" s="11">
        <v>11144</v>
      </c>
      <c r="V93" s="11">
        <v>21233099</v>
      </c>
      <c r="W93" s="13">
        <v>0.11</v>
      </c>
      <c r="X93" s="11">
        <v>0</v>
      </c>
      <c r="Y93" s="26">
        <f>1282655/20832731</f>
        <v>6.1569220089291221E-2</v>
      </c>
      <c r="Z93" s="11">
        <v>1282966</v>
      </c>
      <c r="AA93" s="11">
        <v>0</v>
      </c>
      <c r="AB93" s="11">
        <f>61688+5328</f>
        <v>67016</v>
      </c>
      <c r="AC93" s="11">
        <v>504513</v>
      </c>
      <c r="AD93" s="11">
        <v>41312</v>
      </c>
      <c r="AE93" s="11">
        <v>144087</v>
      </c>
      <c r="AF93" s="11">
        <f>85619+10342</f>
        <v>95961</v>
      </c>
      <c r="AG93" s="11">
        <v>0</v>
      </c>
      <c r="AH93" s="11">
        <v>40266</v>
      </c>
      <c r="AI93" s="11">
        <v>1082</v>
      </c>
      <c r="AJ93" s="11">
        <v>8176</v>
      </c>
      <c r="AK93" s="11">
        <f>14396+34121+34026</f>
        <v>82543</v>
      </c>
      <c r="AL93" s="3">
        <v>12216</v>
      </c>
      <c r="AM93" s="3">
        <v>0</v>
      </c>
      <c r="AN93" s="3">
        <v>0</v>
      </c>
      <c r="AO93" s="11">
        <v>1213</v>
      </c>
      <c r="AP93" s="11">
        <v>42212</v>
      </c>
      <c r="AQ93" s="11">
        <v>0</v>
      </c>
      <c r="AR93" s="11">
        <v>1046694</v>
      </c>
      <c r="AS93" s="11">
        <v>1053816</v>
      </c>
      <c r="AT93" s="11">
        <v>0</v>
      </c>
      <c r="AU93" s="11">
        <v>0</v>
      </c>
      <c r="AV93" s="11">
        <v>143628</v>
      </c>
      <c r="AW93" s="11">
        <v>0</v>
      </c>
      <c r="AX93" s="11">
        <v>164322</v>
      </c>
      <c r="AY93" s="11">
        <v>0</v>
      </c>
      <c r="AZ93" s="11">
        <v>0</v>
      </c>
      <c r="BA93" s="11">
        <v>0</v>
      </c>
      <c r="BB93" s="11">
        <v>2824</v>
      </c>
      <c r="BC93" s="11">
        <v>1296</v>
      </c>
      <c r="BD93" s="11">
        <v>9</v>
      </c>
      <c r="BE93" s="11">
        <f>1624-992</f>
        <v>632</v>
      </c>
      <c r="BF93" s="11">
        <v>-187</v>
      </c>
      <c r="BG93" s="11">
        <v>-587</v>
      </c>
      <c r="BH93" s="11">
        <v>-573</v>
      </c>
      <c r="BI93" s="11">
        <v>-3</v>
      </c>
      <c r="BJ93" s="11">
        <f t="shared" si="8"/>
        <v>3411</v>
      </c>
      <c r="BK93" s="1">
        <v>5</v>
      </c>
      <c r="BL93" s="1">
        <v>145</v>
      </c>
      <c r="BM93" s="1">
        <v>80</v>
      </c>
      <c r="BN93" s="1">
        <v>338</v>
      </c>
      <c r="BO93" s="1">
        <v>1</v>
      </c>
      <c r="BP93" s="1">
        <v>10</v>
      </c>
      <c r="BQ93" s="1">
        <v>0</v>
      </c>
      <c r="BR93" s="1">
        <v>6</v>
      </c>
      <c r="BS93" s="1">
        <v>31</v>
      </c>
      <c r="BT93" s="1">
        <v>114</v>
      </c>
      <c r="BU93" s="1">
        <v>5</v>
      </c>
      <c r="BV93" s="1">
        <v>3</v>
      </c>
      <c r="BW93" s="1">
        <v>7</v>
      </c>
      <c r="BX93" s="1">
        <v>67</v>
      </c>
      <c r="BY93" s="1">
        <v>304</v>
      </c>
      <c r="BZ93" s="1">
        <v>15</v>
      </c>
    </row>
    <row r="94" spans="1:78">
      <c r="A94" s="16">
        <v>9</v>
      </c>
      <c r="B94" s="59" t="s">
        <v>357</v>
      </c>
      <c r="C94" s="60" t="s">
        <v>333</v>
      </c>
      <c r="D94" s="59" t="s">
        <v>222</v>
      </c>
      <c r="E94" s="59" t="s">
        <v>490</v>
      </c>
      <c r="F94" s="59" t="s">
        <v>618</v>
      </c>
      <c r="G94" s="59" t="s">
        <v>491</v>
      </c>
      <c r="H94" s="11">
        <v>30427842</v>
      </c>
      <c r="I94" s="11">
        <v>30626337</v>
      </c>
      <c r="J94" s="11">
        <v>4854393</v>
      </c>
      <c r="K94" s="52">
        <v>9141821</v>
      </c>
      <c r="L94" s="52">
        <v>1431280</v>
      </c>
      <c r="M94" s="52">
        <v>5335992</v>
      </c>
      <c r="N94" s="52">
        <v>0</v>
      </c>
      <c r="O94" s="52">
        <v>0</v>
      </c>
      <c r="P94" s="52">
        <v>851874</v>
      </c>
      <c r="Q94" s="52">
        <v>0</v>
      </c>
      <c r="R94" s="11">
        <v>5947276</v>
      </c>
      <c r="S94" s="11">
        <v>1226096</v>
      </c>
      <c r="T94" s="11">
        <v>3988</v>
      </c>
      <c r="U94" s="11">
        <v>84061</v>
      </c>
      <c r="V94" s="11">
        <v>25229044</v>
      </c>
      <c r="W94" s="13">
        <v>0.17</v>
      </c>
      <c r="X94" s="11">
        <v>0</v>
      </c>
      <c r="Y94" s="26">
        <f>1206651/25138574</f>
        <v>4.7999978041713902E-2</v>
      </c>
      <c r="Z94" s="11">
        <v>1206656</v>
      </c>
      <c r="AA94" s="11">
        <v>0</v>
      </c>
      <c r="AB94" s="11">
        <v>198495</v>
      </c>
      <c r="AC94" s="11">
        <v>865161</v>
      </c>
      <c r="AD94" s="11">
        <v>66376</v>
      </c>
      <c r="AE94" s="11">
        <v>169464</v>
      </c>
      <c r="AF94" s="11">
        <f>48112+11281</f>
        <v>59393</v>
      </c>
      <c r="AG94" s="11">
        <v>920</v>
      </c>
      <c r="AH94" s="11">
        <v>28585</v>
      </c>
      <c r="AI94" s="11">
        <v>2808</v>
      </c>
      <c r="AJ94" s="11">
        <v>60082</v>
      </c>
      <c r="AK94" s="11">
        <f>14867+48948+16760</f>
        <v>80575</v>
      </c>
      <c r="AL94" s="11">
        <v>19473</v>
      </c>
      <c r="AM94" s="11">
        <v>0</v>
      </c>
      <c r="AN94" s="11">
        <v>0</v>
      </c>
      <c r="AO94" s="11">
        <v>21121</v>
      </c>
      <c r="AP94" s="11">
        <v>90084</v>
      </c>
      <c r="AQ94" s="11">
        <v>0</v>
      </c>
      <c r="AR94" s="11">
        <v>1587955</v>
      </c>
      <c r="AS94" s="11">
        <v>2052757</v>
      </c>
      <c r="AT94" s="11">
        <v>0</v>
      </c>
      <c r="AU94" s="11">
        <v>0</v>
      </c>
      <c r="AV94" s="11">
        <v>108123</v>
      </c>
      <c r="AW94" s="11">
        <v>0</v>
      </c>
      <c r="AX94" s="11">
        <v>66887</v>
      </c>
      <c r="AY94" s="11">
        <v>0</v>
      </c>
      <c r="AZ94" s="11">
        <v>0</v>
      </c>
      <c r="BA94" s="11">
        <v>0</v>
      </c>
      <c r="BB94" s="11">
        <v>6002</v>
      </c>
      <c r="BC94" s="11">
        <v>1537</v>
      </c>
      <c r="BD94" s="11">
        <v>0</v>
      </c>
      <c r="BE94" s="11">
        <v>15</v>
      </c>
      <c r="BF94" s="11">
        <v>-218</v>
      </c>
      <c r="BG94" s="11">
        <v>-799</v>
      </c>
      <c r="BH94" s="11">
        <v>-1106</v>
      </c>
      <c r="BI94" s="11">
        <v>-1</v>
      </c>
      <c r="BJ94" s="11">
        <f t="shared" si="8"/>
        <v>5430</v>
      </c>
      <c r="BK94" s="1">
        <v>31</v>
      </c>
      <c r="BL94" s="1">
        <v>227</v>
      </c>
      <c r="BM94" s="1">
        <v>100</v>
      </c>
      <c r="BN94" s="1">
        <v>768</v>
      </c>
      <c r="BO94" s="1">
        <v>11</v>
      </c>
      <c r="BP94" s="1">
        <v>0</v>
      </c>
      <c r="BQ94" s="1">
        <v>23</v>
      </c>
      <c r="BR94" s="1">
        <v>6</v>
      </c>
      <c r="BS94" s="1">
        <v>129</v>
      </c>
      <c r="BT94" s="1">
        <v>0</v>
      </c>
      <c r="BU94" s="1">
        <v>0</v>
      </c>
      <c r="BV94" s="1">
        <v>156</v>
      </c>
      <c r="BW94" s="1">
        <v>22</v>
      </c>
      <c r="BX94" s="1">
        <v>426</v>
      </c>
      <c r="BY94" s="1">
        <v>20</v>
      </c>
      <c r="BZ94" s="1">
        <v>0</v>
      </c>
    </row>
    <row r="95" spans="1:78">
      <c r="A95" s="16">
        <v>9</v>
      </c>
      <c r="B95" s="59" t="s">
        <v>383</v>
      </c>
      <c r="C95" s="60" t="s">
        <v>262</v>
      </c>
      <c r="D95" s="59" t="s">
        <v>222</v>
      </c>
      <c r="E95" s="59" t="s">
        <v>490</v>
      </c>
      <c r="F95" s="59" t="s">
        <v>618</v>
      </c>
      <c r="G95" s="59" t="s">
        <v>491</v>
      </c>
      <c r="H95" s="11">
        <v>10417984</v>
      </c>
      <c r="I95" s="11">
        <v>10601744</v>
      </c>
      <c r="J95" s="11">
        <v>1950069</v>
      </c>
      <c r="K95" s="52">
        <v>3091011</v>
      </c>
      <c r="L95" s="52">
        <v>497207</v>
      </c>
      <c r="M95" s="52">
        <v>2057590</v>
      </c>
      <c r="N95" s="52">
        <v>0</v>
      </c>
      <c r="O95" s="52">
        <v>0</v>
      </c>
      <c r="P95" s="52">
        <v>314856</v>
      </c>
      <c r="Q95" s="52">
        <v>0</v>
      </c>
      <c r="R95" s="11">
        <v>1908889</v>
      </c>
      <c r="S95" s="11">
        <v>401694</v>
      </c>
      <c r="T95" s="11">
        <v>1256</v>
      </c>
      <c r="U95" s="11">
        <v>26624</v>
      </c>
      <c r="V95" s="11">
        <v>8716006</v>
      </c>
      <c r="W95" s="13" t="s">
        <v>456</v>
      </c>
      <c r="X95" s="11">
        <v>0</v>
      </c>
      <c r="Y95" s="26">
        <f>416905/8685528</f>
        <v>4.7999960393887396E-2</v>
      </c>
      <c r="Z95" s="11">
        <v>-26</v>
      </c>
      <c r="AA95" s="11">
        <v>0</v>
      </c>
      <c r="AB95" s="11">
        <v>183760</v>
      </c>
      <c r="AC95" s="11">
        <v>245358</v>
      </c>
      <c r="AD95" s="11">
        <v>18162</v>
      </c>
      <c r="AE95" s="11">
        <v>51610</v>
      </c>
      <c r="AF95" s="11">
        <f>2030+2841</f>
        <v>4871</v>
      </c>
      <c r="AG95" s="11">
        <v>210</v>
      </c>
      <c r="AH95" s="11">
        <v>7425</v>
      </c>
      <c r="AI95" s="11">
        <v>0</v>
      </c>
      <c r="AJ95" s="11">
        <v>17331</v>
      </c>
      <c r="AK95" s="11">
        <f>3113+16778+4346</f>
        <v>24237</v>
      </c>
      <c r="AL95" s="11">
        <v>0</v>
      </c>
      <c r="AM95" s="11">
        <v>0</v>
      </c>
      <c r="AN95" s="11">
        <v>0</v>
      </c>
      <c r="AO95" s="11">
        <v>8832</v>
      </c>
      <c r="AP95" s="11">
        <v>351</v>
      </c>
      <c r="AQ95" s="11">
        <v>0</v>
      </c>
      <c r="AR95" s="11">
        <v>442102</v>
      </c>
      <c r="AS95" s="11">
        <v>2052757</v>
      </c>
      <c r="AT95" s="11">
        <v>0</v>
      </c>
      <c r="AU95" s="11">
        <v>0</v>
      </c>
      <c r="AV95" s="11">
        <v>35504</v>
      </c>
      <c r="AW95" s="11">
        <v>0</v>
      </c>
      <c r="AX95" s="11">
        <v>269765</v>
      </c>
      <c r="AY95" s="11">
        <v>0</v>
      </c>
      <c r="AZ95" s="11">
        <v>0</v>
      </c>
      <c r="BA95" s="11">
        <v>0</v>
      </c>
      <c r="BB95" s="11">
        <v>6106</v>
      </c>
      <c r="BC95" s="11">
        <v>412</v>
      </c>
      <c r="BD95" s="11">
        <v>0</v>
      </c>
      <c r="BE95" s="11">
        <v>5</v>
      </c>
      <c r="BF95" s="11">
        <v>-56</v>
      </c>
      <c r="BG95" s="11">
        <v>-218</v>
      </c>
      <c r="BH95" s="11">
        <v>-247</v>
      </c>
      <c r="BI95" s="11">
        <v>0</v>
      </c>
      <c r="BJ95" s="11">
        <f t="shared" si="8"/>
        <v>6002</v>
      </c>
      <c r="BK95" s="1">
        <v>24</v>
      </c>
      <c r="BL95" s="1">
        <v>53</v>
      </c>
      <c r="BM95" s="1">
        <v>20</v>
      </c>
      <c r="BN95" s="1">
        <v>171</v>
      </c>
      <c r="BO95" s="1">
        <v>3</v>
      </c>
      <c r="BP95" s="1">
        <v>0</v>
      </c>
      <c r="BQ95" s="1">
        <v>8</v>
      </c>
      <c r="BR95" s="1">
        <v>2</v>
      </c>
      <c r="BS95" s="1">
        <v>37</v>
      </c>
      <c r="BT95" s="1">
        <v>1</v>
      </c>
      <c r="BU95" s="1">
        <v>0</v>
      </c>
      <c r="BV95" s="1">
        <v>33</v>
      </c>
      <c r="BW95" s="1">
        <v>5</v>
      </c>
      <c r="BX95" s="1">
        <v>113</v>
      </c>
      <c r="BY95" s="1">
        <v>5</v>
      </c>
      <c r="BZ95" s="1">
        <v>0</v>
      </c>
    </row>
    <row r="96" spans="1:78">
      <c r="A96" s="16">
        <v>9</v>
      </c>
      <c r="B96" s="59" t="s">
        <v>418</v>
      </c>
      <c r="C96" s="60" t="s">
        <v>649</v>
      </c>
      <c r="D96" s="59" t="s">
        <v>585</v>
      </c>
      <c r="E96" s="59" t="s">
        <v>427</v>
      </c>
      <c r="F96" s="59" t="s">
        <v>208</v>
      </c>
      <c r="G96" s="59" t="s">
        <v>429</v>
      </c>
      <c r="H96" s="11">
        <v>6255849</v>
      </c>
      <c r="I96" s="11">
        <v>6289229</v>
      </c>
      <c r="J96" s="11">
        <v>245709</v>
      </c>
      <c r="K96" s="52">
        <v>1942738</v>
      </c>
      <c r="L96" s="52">
        <v>645510</v>
      </c>
      <c r="M96" s="52">
        <v>1077556</v>
      </c>
      <c r="N96" s="52">
        <v>0</v>
      </c>
      <c r="O96" s="52">
        <v>0</v>
      </c>
      <c r="P96" s="52">
        <v>257112</v>
      </c>
      <c r="Q96" s="52">
        <v>0</v>
      </c>
      <c r="R96" s="11">
        <v>1312007</v>
      </c>
      <c r="S96" s="11">
        <v>281764</v>
      </c>
      <c r="T96" s="11">
        <v>0</v>
      </c>
      <c r="U96" s="11">
        <v>0</v>
      </c>
      <c r="V96" s="11">
        <v>5822322</v>
      </c>
      <c r="W96" s="13">
        <v>0.12139999999999999</v>
      </c>
      <c r="X96" s="11">
        <v>0</v>
      </c>
      <c r="Y96" s="26">
        <f>296947/5822322</f>
        <v>5.1001473295362226E-2</v>
      </c>
      <c r="Z96" s="11">
        <v>296947</v>
      </c>
      <c r="AA96" s="11">
        <v>0</v>
      </c>
      <c r="AB96" s="11">
        <f>33380+199</f>
        <v>33579</v>
      </c>
      <c r="AC96" s="11">
        <v>83428</v>
      </c>
      <c r="AD96" s="11">
        <v>6408</v>
      </c>
      <c r="AE96" s="11">
        <v>10605</v>
      </c>
      <c r="AF96" s="11">
        <v>820</v>
      </c>
      <c r="AG96" s="11">
        <v>0</v>
      </c>
      <c r="AH96" s="11">
        <v>5846</v>
      </c>
      <c r="AI96" s="11">
        <v>0</v>
      </c>
      <c r="AJ96" s="11">
        <v>0</v>
      </c>
      <c r="AK96" s="11">
        <f>2822+12048+9708</f>
        <v>24578</v>
      </c>
      <c r="AL96" s="11">
        <v>4942</v>
      </c>
      <c r="AM96" s="11">
        <v>0</v>
      </c>
      <c r="AN96" s="11">
        <v>0</v>
      </c>
      <c r="AO96" s="11">
        <v>0</v>
      </c>
      <c r="AP96" s="11">
        <v>2968</v>
      </c>
      <c r="AQ96" s="11">
        <v>0</v>
      </c>
      <c r="AR96" s="11">
        <v>180976</v>
      </c>
      <c r="AS96" s="11">
        <v>181564</v>
      </c>
      <c r="AT96" s="11">
        <v>0</v>
      </c>
      <c r="AU96" s="11">
        <v>0</v>
      </c>
      <c r="AV96" s="11">
        <v>143628</v>
      </c>
      <c r="AW96" s="11">
        <v>0</v>
      </c>
      <c r="AX96" s="11">
        <v>21255</v>
      </c>
      <c r="AY96" s="11">
        <v>0</v>
      </c>
      <c r="AZ96" s="11">
        <v>0</v>
      </c>
      <c r="BA96" s="11">
        <v>0</v>
      </c>
      <c r="BB96" s="11">
        <v>688</v>
      </c>
      <c r="BC96" s="11">
        <v>413</v>
      </c>
      <c r="BD96" s="11">
        <v>3</v>
      </c>
      <c r="BE96" s="11">
        <f>1+5</f>
        <v>6</v>
      </c>
      <c r="BF96" s="11">
        <v>-69</v>
      </c>
      <c r="BG96" s="11">
        <v>-139</v>
      </c>
      <c r="BH96" s="11">
        <v>-119</v>
      </c>
      <c r="BI96" s="11">
        <v>-1</v>
      </c>
      <c r="BJ96" s="11">
        <f t="shared" si="8"/>
        <v>782</v>
      </c>
      <c r="BK96" s="1">
        <v>0</v>
      </c>
      <c r="BL96" s="1">
        <v>36</v>
      </c>
      <c r="BM96" s="1">
        <v>11</v>
      </c>
      <c r="BN96" s="1">
        <v>70</v>
      </c>
      <c r="BO96" s="1">
        <v>0</v>
      </c>
      <c r="BP96" s="1">
        <v>2</v>
      </c>
      <c r="BQ96" s="1">
        <v>0</v>
      </c>
      <c r="BR96" s="1">
        <v>1</v>
      </c>
      <c r="BS96" s="1">
        <v>6</v>
      </c>
      <c r="BT96" s="1">
        <v>31</v>
      </c>
      <c r="BU96" s="1">
        <v>0</v>
      </c>
      <c r="BV96" s="1">
        <v>0</v>
      </c>
      <c r="BW96" s="1">
        <v>1</v>
      </c>
      <c r="BX96" s="1">
        <v>8</v>
      </c>
      <c r="BY96" s="1">
        <v>42</v>
      </c>
      <c r="BZ96" s="1">
        <v>5</v>
      </c>
    </row>
    <row r="97" spans="1:78">
      <c r="A97" s="16">
        <v>9</v>
      </c>
      <c r="B97" s="59" t="s">
        <v>516</v>
      </c>
      <c r="C97" s="60" t="s">
        <v>249</v>
      </c>
      <c r="D97" s="59" t="s">
        <v>710</v>
      </c>
      <c r="E97" s="59" t="s">
        <v>490</v>
      </c>
      <c r="F97" s="59" t="s">
        <v>618</v>
      </c>
      <c r="G97" s="59" t="s">
        <v>491</v>
      </c>
      <c r="H97" s="11">
        <v>58229990</v>
      </c>
      <c r="I97" s="11">
        <v>58395211</v>
      </c>
      <c r="J97" s="11">
        <v>1285730</v>
      </c>
      <c r="K97" s="52">
        <v>20794901</v>
      </c>
      <c r="L97" s="52">
        <v>1494479</v>
      </c>
      <c r="M97" s="52">
        <v>0</v>
      </c>
      <c r="N97" s="52">
        <v>16581934</v>
      </c>
      <c r="O97" s="52">
        <v>46643</v>
      </c>
      <c r="P97" s="52">
        <v>0</v>
      </c>
      <c r="Q97" s="52">
        <v>2412352</v>
      </c>
      <c r="R97" s="11">
        <v>10671018</v>
      </c>
      <c r="S97" s="11">
        <v>2362895</v>
      </c>
      <c r="T97" s="11">
        <v>19374</v>
      </c>
      <c r="U97" s="11">
        <v>207190</v>
      </c>
      <c r="V97" s="11">
        <v>56696179</v>
      </c>
      <c r="W97" s="13">
        <v>8.1000000000000003E-2</v>
      </c>
      <c r="X97" s="11">
        <v>0</v>
      </c>
      <c r="Y97" s="26">
        <f>2006718/56469615</f>
        <v>3.5536243694949933E-2</v>
      </c>
      <c r="Z97" s="11">
        <v>2006882</v>
      </c>
      <c r="AA97" s="11">
        <v>0</v>
      </c>
      <c r="AB97" s="11">
        <f>141038+14689+4518</f>
        <v>160245</v>
      </c>
      <c r="AC97" s="11">
        <v>1069050</v>
      </c>
      <c r="AD97" s="11">
        <v>81918</v>
      </c>
      <c r="AE97" s="11">
        <v>221522</v>
      </c>
      <c r="AF97" s="11">
        <v>224416</v>
      </c>
      <c r="AG97" s="11">
        <v>6363</v>
      </c>
      <c r="AH97" s="11">
        <v>29767</v>
      </c>
      <c r="AI97" s="11">
        <v>840</v>
      </c>
      <c r="AJ97" s="11">
        <v>139843</v>
      </c>
      <c r="AK97" s="11">
        <f>36709+39902+66343</f>
        <v>142954</v>
      </c>
      <c r="AL97" s="11">
        <v>14601</v>
      </c>
      <c r="AM97" s="11">
        <v>0</v>
      </c>
      <c r="AN97" s="11">
        <v>600</v>
      </c>
      <c r="AO97" s="11">
        <v>67367</v>
      </c>
      <c r="AP97" s="11">
        <v>37457</v>
      </c>
      <c r="AQ97" s="11">
        <v>0</v>
      </c>
      <c r="AR97" s="11">
        <v>2238846</v>
      </c>
      <c r="AS97" s="11">
        <v>2372322</v>
      </c>
      <c r="AT97" s="11">
        <v>0</v>
      </c>
      <c r="AU97" s="11">
        <v>0</v>
      </c>
      <c r="AV97" s="11">
        <v>143628</v>
      </c>
      <c r="AW97" s="11">
        <v>0</v>
      </c>
      <c r="AX97" s="11">
        <v>284261</v>
      </c>
      <c r="AY97" s="11">
        <v>0</v>
      </c>
      <c r="AZ97" s="11">
        <v>0</v>
      </c>
      <c r="BA97" s="11">
        <v>0</v>
      </c>
      <c r="BB97" s="11">
        <v>7809</v>
      </c>
      <c r="BC97" s="11">
        <v>3350</v>
      </c>
      <c r="BD97" s="11">
        <v>0</v>
      </c>
      <c r="BE97" s="11">
        <v>0</v>
      </c>
      <c r="BF97" s="11">
        <v>-454</v>
      </c>
      <c r="BG97" s="11">
        <v>-1281</v>
      </c>
      <c r="BH97" s="11">
        <v>-1134</v>
      </c>
      <c r="BI97" s="11">
        <v>-3</v>
      </c>
      <c r="BJ97" s="11">
        <f t="shared" si="8"/>
        <v>8287</v>
      </c>
      <c r="BK97" s="1">
        <v>87</v>
      </c>
      <c r="BL97" s="1">
        <v>384</v>
      </c>
      <c r="BM97" s="1">
        <v>84</v>
      </c>
      <c r="BN97" s="1">
        <v>666</v>
      </c>
      <c r="BO97" s="1">
        <v>0</v>
      </c>
      <c r="BP97" s="1">
        <v>0</v>
      </c>
      <c r="BQ97" s="1">
        <v>81</v>
      </c>
      <c r="BR97" s="1">
        <v>23</v>
      </c>
      <c r="BS97" s="1">
        <v>237</v>
      </c>
      <c r="BT97" s="1">
        <v>0</v>
      </c>
      <c r="BU97" s="1">
        <v>0</v>
      </c>
      <c r="BV97" s="1">
        <v>258</v>
      </c>
      <c r="BW97" s="1">
        <v>36</v>
      </c>
      <c r="BX97" s="1">
        <v>494</v>
      </c>
      <c r="BY97" s="1">
        <v>1</v>
      </c>
      <c r="BZ97" s="1">
        <v>0</v>
      </c>
    </row>
    <row r="98" spans="1:78">
      <c r="A98" s="16">
        <v>9</v>
      </c>
      <c r="B98" s="59" t="s">
        <v>575</v>
      </c>
      <c r="C98" s="60" t="s">
        <v>93</v>
      </c>
      <c r="D98" s="59" t="s">
        <v>271</v>
      </c>
      <c r="E98" s="59" t="s">
        <v>427</v>
      </c>
      <c r="F98" s="59" t="s">
        <v>694</v>
      </c>
      <c r="G98" s="59" t="s">
        <v>429</v>
      </c>
      <c r="H98" s="11">
        <v>13266251</v>
      </c>
      <c r="I98" s="11">
        <v>13688331</v>
      </c>
      <c r="J98" s="11">
        <v>510989</v>
      </c>
      <c r="K98" s="52">
        <v>3748715</v>
      </c>
      <c r="L98" s="52">
        <v>537350</v>
      </c>
      <c r="M98" s="52">
        <v>3449220</v>
      </c>
      <c r="N98" s="52">
        <v>0</v>
      </c>
      <c r="O98" s="52">
        <v>0</v>
      </c>
      <c r="P98" s="52">
        <v>432218</v>
      </c>
      <c r="Q98" s="52">
        <v>0</v>
      </c>
      <c r="R98" s="11">
        <v>3047969</v>
      </c>
      <c r="S98" s="11">
        <v>949147</v>
      </c>
      <c r="T98" s="11">
        <v>0</v>
      </c>
      <c r="U98" s="11">
        <v>7570</v>
      </c>
      <c r="V98" s="11">
        <v>13781037</v>
      </c>
      <c r="W98" s="13">
        <v>0.11020000000000001</v>
      </c>
      <c r="X98" s="11">
        <v>0</v>
      </c>
      <c r="Y98" s="26">
        <f>881025/13149628</f>
        <v>6.6999994220368814E-2</v>
      </c>
      <c r="Z98" s="11">
        <v>881941</v>
      </c>
      <c r="AA98" s="11">
        <v>0</v>
      </c>
      <c r="AB98" s="11">
        <f>32856+1764-1111</f>
        <v>33509</v>
      </c>
      <c r="AC98" s="11">
        <v>349593</v>
      </c>
      <c r="AD98" s="11">
        <v>31232</v>
      </c>
      <c r="AE98" s="11">
        <v>94775</v>
      </c>
      <c r="AF98" s="11">
        <f>71608+2446</f>
        <v>74054</v>
      </c>
      <c r="AG98" s="11">
        <v>0</v>
      </c>
      <c r="AH98" s="11">
        <v>53807</v>
      </c>
      <c r="AI98" s="11">
        <v>1552</v>
      </c>
      <c r="AJ98" s="11">
        <v>4933</v>
      </c>
      <c r="AK98" s="11">
        <f>11113+24618+33134</f>
        <v>68865</v>
      </c>
      <c r="AL98" s="11">
        <v>9326</v>
      </c>
      <c r="AM98" s="11">
        <v>0</v>
      </c>
      <c r="AN98" s="11">
        <v>0</v>
      </c>
      <c r="AO98" s="11">
        <v>0</v>
      </c>
      <c r="AP98" s="11">
        <v>121758</v>
      </c>
      <c r="AQ98" s="11">
        <v>0</v>
      </c>
      <c r="AR98" s="11">
        <v>927141</v>
      </c>
      <c r="AS98" s="11">
        <v>922554</v>
      </c>
      <c r="AT98" s="11">
        <v>0</v>
      </c>
      <c r="AU98" s="11">
        <v>0</v>
      </c>
      <c r="AV98" s="11">
        <v>143628</v>
      </c>
      <c r="AW98" s="11">
        <v>0</v>
      </c>
      <c r="AX98" s="11">
        <v>105786</v>
      </c>
      <c r="AY98" s="11">
        <v>0</v>
      </c>
      <c r="AZ98" s="11">
        <v>0</v>
      </c>
      <c r="BA98" s="11">
        <v>0</v>
      </c>
      <c r="BB98" s="11">
        <v>2768</v>
      </c>
      <c r="BC98" s="11">
        <v>840</v>
      </c>
      <c r="BD98" s="11">
        <f>38-30</f>
        <v>8</v>
      </c>
      <c r="BE98" s="11">
        <f>988-1626</f>
        <v>-638</v>
      </c>
      <c r="BF98" s="11">
        <v>-129</v>
      </c>
      <c r="BG98" s="11">
        <v>-370</v>
      </c>
      <c r="BH98" s="11">
        <v>-347</v>
      </c>
      <c r="BI98" s="11">
        <v>-3</v>
      </c>
      <c r="BJ98" s="11">
        <f t="shared" si="8"/>
        <v>2129</v>
      </c>
      <c r="BK98" s="1">
        <v>2</v>
      </c>
      <c r="BL98" s="1">
        <v>112</v>
      </c>
      <c r="BM98" s="1">
        <v>38</v>
      </c>
      <c r="BN98" s="1">
        <v>189</v>
      </c>
      <c r="BO98" s="1">
        <v>1</v>
      </c>
      <c r="BP98" s="1">
        <v>8</v>
      </c>
      <c r="BQ98" s="1">
        <v>0</v>
      </c>
      <c r="BR98" s="1">
        <v>0</v>
      </c>
      <c r="BS98" s="1">
        <v>20</v>
      </c>
      <c r="BT98" s="1">
        <v>79</v>
      </c>
      <c r="BU98" s="1">
        <v>0</v>
      </c>
      <c r="BV98" s="1">
        <v>3</v>
      </c>
      <c r="BW98" s="1">
        <v>5</v>
      </c>
      <c r="BX98" s="1">
        <v>48</v>
      </c>
      <c r="BY98" s="1">
        <v>152</v>
      </c>
      <c r="BZ98" s="1">
        <v>7</v>
      </c>
    </row>
    <row r="99" spans="1:78">
      <c r="A99" s="16">
        <v>9</v>
      </c>
      <c r="B99" s="59" t="s">
        <v>580</v>
      </c>
      <c r="C99" s="60" t="s">
        <v>655</v>
      </c>
      <c r="D99" s="59" t="s">
        <v>113</v>
      </c>
      <c r="E99" s="59" t="s">
        <v>490</v>
      </c>
      <c r="F99" s="59" t="s">
        <v>479</v>
      </c>
      <c r="G99" s="59" t="s">
        <v>491</v>
      </c>
      <c r="H99" s="11">
        <v>9926434</v>
      </c>
      <c r="I99" s="11">
        <v>9934024</v>
      </c>
      <c r="J99" s="11">
        <v>242028</v>
      </c>
      <c r="K99" s="52">
        <v>542963</v>
      </c>
      <c r="L99" s="52">
        <v>881747</v>
      </c>
      <c r="M99" s="52">
        <v>3178269</v>
      </c>
      <c r="N99" s="52">
        <v>0</v>
      </c>
      <c r="O99" s="52">
        <v>0</v>
      </c>
      <c r="P99" s="52">
        <v>470909</v>
      </c>
      <c r="Q99" s="52">
        <v>0</v>
      </c>
      <c r="R99" s="11">
        <v>3087542</v>
      </c>
      <c r="S99" s="11">
        <v>575005</v>
      </c>
      <c r="T99" s="11">
        <v>5901</v>
      </c>
      <c r="U99" s="11">
        <v>0</v>
      </c>
      <c r="V99" s="11">
        <v>9409833</v>
      </c>
      <c r="W99" s="13">
        <v>0.1134</v>
      </c>
      <c r="X99" s="11">
        <v>0</v>
      </c>
      <c r="Y99" s="26">
        <f>636400/9265694</f>
        <v>6.8683468286347471E-2</v>
      </c>
      <c r="Z99" s="11">
        <v>638032</v>
      </c>
      <c r="AA99" s="11">
        <v>0</v>
      </c>
      <c r="AB99" s="11">
        <f>7590+533</f>
        <v>8123</v>
      </c>
      <c r="AC99" s="11">
        <v>235060</v>
      </c>
      <c r="AD99" s="11">
        <v>17971</v>
      </c>
      <c r="AE99" s="11">
        <v>46742</v>
      </c>
      <c r="AF99" s="11">
        <v>65276</v>
      </c>
      <c r="AG99" s="11">
        <v>153</v>
      </c>
      <c r="AH99" s="11">
        <v>13004</v>
      </c>
      <c r="AI99" s="11">
        <v>25227</v>
      </c>
      <c r="AJ99" s="11">
        <v>0</v>
      </c>
      <c r="AK99" s="11">
        <f>7225+16049+11867</f>
        <v>35141</v>
      </c>
      <c r="AL99" s="11">
        <v>6753</v>
      </c>
      <c r="AM99" s="11">
        <v>0</v>
      </c>
      <c r="AN99" s="11">
        <v>0</v>
      </c>
      <c r="AO99" s="11">
        <v>7426</v>
      </c>
      <c r="AP99" s="11">
        <v>24933</v>
      </c>
      <c r="AQ99" s="11">
        <v>0</v>
      </c>
      <c r="AR99" s="11">
        <v>506564</v>
      </c>
      <c r="AS99" s="11">
        <v>519747</v>
      </c>
      <c r="AT99" s="11">
        <v>0</v>
      </c>
      <c r="AU99" s="11">
        <v>0</v>
      </c>
      <c r="AV99" s="11">
        <v>143628</v>
      </c>
      <c r="AW99" s="11">
        <v>0</v>
      </c>
      <c r="AX99" s="11">
        <v>48725</v>
      </c>
      <c r="AY99" s="11">
        <v>0</v>
      </c>
      <c r="AZ99" s="11">
        <v>0</v>
      </c>
      <c r="BA99" s="11">
        <v>0</v>
      </c>
      <c r="BB99" s="11">
        <v>1844</v>
      </c>
      <c r="BC99" s="11">
        <v>795</v>
      </c>
      <c r="BD99" s="11">
        <v>2</v>
      </c>
      <c r="BE99" s="11">
        <v>0</v>
      </c>
      <c r="BF99" s="11">
        <v>-117</v>
      </c>
      <c r="BG99" s="11">
        <v>-207</v>
      </c>
      <c r="BH99" s="11">
        <v>-353</v>
      </c>
      <c r="BI99" s="11">
        <v>-8</v>
      </c>
      <c r="BJ99" s="11">
        <f t="shared" si="8"/>
        <v>1956</v>
      </c>
      <c r="BK99" s="1">
        <v>0</v>
      </c>
      <c r="BL99" s="1">
        <v>91</v>
      </c>
      <c r="BM99" s="1">
        <v>51</v>
      </c>
      <c r="BN99" s="1">
        <v>213</v>
      </c>
      <c r="BO99" s="1">
        <v>1</v>
      </c>
      <c r="BP99" s="1">
        <v>5</v>
      </c>
      <c r="BQ99" s="1">
        <v>0</v>
      </c>
      <c r="BR99" s="1">
        <v>2</v>
      </c>
      <c r="BS99" s="1">
        <v>18</v>
      </c>
      <c r="BT99" s="1">
        <v>79</v>
      </c>
      <c r="BU99" s="1">
        <v>8</v>
      </c>
      <c r="BV99" s="1">
        <v>2</v>
      </c>
      <c r="BW99" s="1">
        <v>3</v>
      </c>
      <c r="BX99" s="1">
        <v>32</v>
      </c>
      <c r="BY99" s="1">
        <v>98</v>
      </c>
      <c r="BZ99" s="1">
        <v>2</v>
      </c>
    </row>
    <row r="100" spans="1:78">
      <c r="A100" s="16">
        <v>9</v>
      </c>
      <c r="B100" s="59" t="s">
        <v>582</v>
      </c>
      <c r="C100" s="60" t="s">
        <v>169</v>
      </c>
      <c r="D100" s="59" t="s">
        <v>620</v>
      </c>
      <c r="E100" s="59" t="s">
        <v>427</v>
      </c>
      <c r="F100" s="59" t="s">
        <v>208</v>
      </c>
      <c r="G100" s="59" t="s">
        <v>429</v>
      </c>
      <c r="H100" s="11">
        <v>49406536</v>
      </c>
      <c r="I100" s="11">
        <v>49947169</v>
      </c>
      <c r="J100" s="11">
        <v>3371231</v>
      </c>
      <c r="K100" s="52">
        <v>17757842</v>
      </c>
      <c r="L100" s="52">
        <v>2311488</v>
      </c>
      <c r="M100" s="52">
        <v>9335549</v>
      </c>
      <c r="N100" s="52">
        <v>0</v>
      </c>
      <c r="O100" s="52">
        <v>0</v>
      </c>
      <c r="P100" s="52">
        <v>0</v>
      </c>
      <c r="Q100" s="52">
        <v>1986440</v>
      </c>
      <c r="R100" s="11">
        <v>11971578</v>
      </c>
      <c r="S100" s="11">
        <v>2413885</v>
      </c>
      <c r="T100" s="11">
        <v>36200</v>
      </c>
      <c r="U100" s="11">
        <v>0</v>
      </c>
      <c r="V100" s="11">
        <v>47986283</v>
      </c>
      <c r="W100" s="13">
        <v>9.2999999999999999E-2</v>
      </c>
      <c r="X100" s="11">
        <v>0</v>
      </c>
      <c r="Y100" s="26">
        <f>2171871/47825023</f>
        <v>4.5412858452781091E-2</v>
      </c>
      <c r="Z100" s="11">
        <v>2172286</v>
      </c>
      <c r="AA100" s="11">
        <v>0</v>
      </c>
      <c r="AB100" s="11">
        <f>70081+7470</f>
        <v>77551</v>
      </c>
      <c r="AC100" s="11">
        <v>1101953</v>
      </c>
      <c r="AD100" s="11">
        <v>95223</v>
      </c>
      <c r="AE100" s="11">
        <v>232939</v>
      </c>
      <c r="AF100" s="11">
        <f>348078+16141</f>
        <v>364219</v>
      </c>
      <c r="AG100" s="11">
        <v>4675</v>
      </c>
      <c r="AH100" s="11">
        <v>20521</v>
      </c>
      <c r="AI100" s="11">
        <v>11690</v>
      </c>
      <c r="AJ100" s="11">
        <v>0</v>
      </c>
      <c r="AK100" s="11">
        <f>38802+69507+70718</f>
        <v>179027</v>
      </c>
      <c r="AL100" s="11">
        <v>19238</v>
      </c>
      <c r="AM100" s="11">
        <v>0</v>
      </c>
      <c r="AN100" s="11">
        <v>0</v>
      </c>
      <c r="AO100" s="11">
        <v>1499</v>
      </c>
      <c r="AP100" s="11">
        <v>25720</v>
      </c>
      <c r="AQ100" s="11">
        <v>22501</v>
      </c>
      <c r="AR100" s="11">
        <v>2252636</v>
      </c>
      <c r="AS100" s="11">
        <v>2339821</v>
      </c>
      <c r="AT100" s="11">
        <v>1026</v>
      </c>
      <c r="AU100" s="11">
        <v>0</v>
      </c>
      <c r="AV100" s="11">
        <v>143628</v>
      </c>
      <c r="AW100" s="11">
        <v>0</v>
      </c>
      <c r="AX100" s="11">
        <v>315631.25</v>
      </c>
      <c r="AY100" s="11">
        <v>0</v>
      </c>
      <c r="AZ100" s="11">
        <v>0</v>
      </c>
      <c r="BA100" s="11">
        <v>0</v>
      </c>
      <c r="BB100" s="11">
        <v>7039</v>
      </c>
      <c r="BC100" s="11">
        <v>2513</v>
      </c>
      <c r="BD100" s="11">
        <v>0</v>
      </c>
      <c r="BE100" s="11">
        <v>-37</v>
      </c>
      <c r="BF100" s="11">
        <v>-313</v>
      </c>
      <c r="BG100" s="11">
        <v>-2361</v>
      </c>
      <c r="BH100" s="11">
        <v>-1301</v>
      </c>
      <c r="BI100" s="11">
        <v>-12</v>
      </c>
      <c r="BJ100" s="11">
        <f t="shared" si="8"/>
        <v>5528</v>
      </c>
      <c r="BK100" s="1">
        <v>57</v>
      </c>
      <c r="BL100" s="1">
        <v>416</v>
      </c>
      <c r="BM100" s="1">
        <v>221</v>
      </c>
      <c r="BN100" s="1">
        <v>480</v>
      </c>
      <c r="BO100" s="1">
        <v>7</v>
      </c>
      <c r="BP100" s="1">
        <v>32</v>
      </c>
      <c r="BQ100" s="1">
        <v>9</v>
      </c>
      <c r="BR100" s="1">
        <v>11</v>
      </c>
      <c r="BS100" s="1">
        <v>103</v>
      </c>
      <c r="BT100" s="1">
        <v>125</v>
      </c>
      <c r="BU100" s="1">
        <v>3</v>
      </c>
      <c r="BV100" s="1">
        <v>54</v>
      </c>
      <c r="BW100" s="1">
        <v>105</v>
      </c>
      <c r="BX100" s="1">
        <v>384</v>
      </c>
      <c r="BY100" s="1">
        <v>1066</v>
      </c>
      <c r="BZ100" s="1">
        <v>74</v>
      </c>
    </row>
    <row r="101" spans="1:78">
      <c r="A101" s="16">
        <v>9</v>
      </c>
      <c r="B101" s="59" t="s">
        <v>647</v>
      </c>
      <c r="C101" s="60" t="s">
        <v>641</v>
      </c>
      <c r="D101" s="59" t="s">
        <v>189</v>
      </c>
      <c r="E101" s="59" t="s">
        <v>427</v>
      </c>
      <c r="F101" s="59" t="s">
        <v>208</v>
      </c>
      <c r="G101" s="59" t="s">
        <v>429</v>
      </c>
      <c r="H101" s="11">
        <v>32351736</v>
      </c>
      <c r="I101" s="11">
        <v>32451499</v>
      </c>
      <c r="J101" s="11">
        <v>1257608</v>
      </c>
      <c r="K101" s="52">
        <v>12407213</v>
      </c>
      <c r="L101" s="52">
        <v>2056960</v>
      </c>
      <c r="M101" s="52">
        <v>6054951</v>
      </c>
      <c r="N101" s="52">
        <v>0</v>
      </c>
      <c r="O101" s="52">
        <v>0</v>
      </c>
      <c r="P101" s="52">
        <v>670786</v>
      </c>
      <c r="Q101" s="52">
        <v>0</v>
      </c>
      <c r="R101" s="11">
        <v>4526903</v>
      </c>
      <c r="S101" s="11">
        <v>2386521</v>
      </c>
      <c r="T101" s="11">
        <v>38455</v>
      </c>
      <c r="U101" s="11">
        <v>0</v>
      </c>
      <c r="V101" s="11">
        <v>29591122</v>
      </c>
      <c r="W101" s="13">
        <v>0.15490000000000001</v>
      </c>
      <c r="X101" s="11">
        <v>0</v>
      </c>
      <c r="Y101" s="26">
        <f>1417364/28765596</f>
        <v>4.9272888348984668E-2</v>
      </c>
      <c r="Z101" s="11">
        <v>1422987</v>
      </c>
      <c r="AA101" s="11">
        <v>0</v>
      </c>
      <c r="AB101" s="11">
        <f>98865+4582</f>
        <v>103447</v>
      </c>
      <c r="AC101" s="11">
        <v>653311</v>
      </c>
      <c r="AD101" s="11">
        <v>57124</v>
      </c>
      <c r="AE101" s="11">
        <v>165657</v>
      </c>
      <c r="AF101" s="11">
        <f>137040+13825</f>
        <v>150865</v>
      </c>
      <c r="AG101" s="11">
        <v>40042</v>
      </c>
      <c r="AH101" s="11">
        <v>30617</v>
      </c>
      <c r="AI101" s="11">
        <v>13018</v>
      </c>
      <c r="AJ101" s="11">
        <v>0</v>
      </c>
      <c r="AK101" s="11">
        <f>38400+40718+90246</f>
        <v>169364</v>
      </c>
      <c r="AL101" s="11">
        <v>15109</v>
      </c>
      <c r="AM101" s="11">
        <v>0</v>
      </c>
      <c r="AN101" s="11">
        <v>0</v>
      </c>
      <c r="AO101" s="11">
        <v>0</v>
      </c>
      <c r="AP101" s="11">
        <v>26580</v>
      </c>
      <c r="AQ101" s="11">
        <v>0</v>
      </c>
      <c r="AR101" s="11">
        <v>1403905</v>
      </c>
      <c r="AS101" s="11">
        <v>1421619</v>
      </c>
      <c r="AT101" s="11">
        <v>0</v>
      </c>
      <c r="AU101" s="11">
        <v>0</v>
      </c>
      <c r="AV101" s="11">
        <v>143628</v>
      </c>
      <c r="AW101" s="11">
        <v>0</v>
      </c>
      <c r="AX101" s="11">
        <v>110364</v>
      </c>
      <c r="AY101" s="11">
        <v>0</v>
      </c>
      <c r="AZ101" s="11">
        <v>0</v>
      </c>
      <c r="BA101" s="11">
        <v>0</v>
      </c>
      <c r="BB101" s="11">
        <v>3713</v>
      </c>
      <c r="BC101" s="11">
        <v>2443</v>
      </c>
      <c r="BD101" s="11">
        <v>0</v>
      </c>
      <c r="BE101" s="11">
        <f>24+9-25</f>
        <v>8</v>
      </c>
      <c r="BF101" s="11">
        <v>-159</v>
      </c>
      <c r="BG101" s="11">
        <v>-1110</v>
      </c>
      <c r="BH101" s="11">
        <v>-136</v>
      </c>
      <c r="BI101" s="11">
        <v>0</v>
      </c>
      <c r="BJ101" s="11">
        <f t="shared" si="8"/>
        <v>4759</v>
      </c>
      <c r="BK101" s="1">
        <v>0</v>
      </c>
      <c r="BL101" s="1">
        <v>100</v>
      </c>
      <c r="BM101" s="1">
        <v>7</v>
      </c>
      <c r="BN101" s="1">
        <v>18</v>
      </c>
      <c r="BO101" s="1">
        <v>2</v>
      </c>
      <c r="BP101" s="1">
        <v>7</v>
      </c>
      <c r="BQ101" s="1">
        <v>2</v>
      </c>
      <c r="BR101" s="1">
        <v>5</v>
      </c>
      <c r="BS101" s="1">
        <v>31</v>
      </c>
      <c r="BT101" s="1">
        <v>75</v>
      </c>
      <c r="BU101" s="1">
        <v>3</v>
      </c>
      <c r="BV101" s="1">
        <v>4</v>
      </c>
      <c r="BW101" s="1">
        <v>7</v>
      </c>
      <c r="BX101" s="1">
        <v>61</v>
      </c>
      <c r="BY101" s="1">
        <v>338</v>
      </c>
      <c r="BZ101" s="1">
        <v>41</v>
      </c>
    </row>
    <row r="102" spans="1:78">
      <c r="A102" s="16">
        <v>9</v>
      </c>
      <c r="B102" s="59" t="s">
        <v>686</v>
      </c>
      <c r="C102" s="60" t="s">
        <v>455</v>
      </c>
      <c r="D102" s="59" t="s">
        <v>138</v>
      </c>
      <c r="E102" s="59" t="s">
        <v>490</v>
      </c>
      <c r="F102" s="59" t="s">
        <v>479</v>
      </c>
      <c r="G102" s="59" t="s">
        <v>491</v>
      </c>
      <c r="H102" s="11">
        <v>24904064</v>
      </c>
      <c r="I102" s="11">
        <v>25097901</v>
      </c>
      <c r="J102" s="11">
        <v>2313930</v>
      </c>
      <c r="K102" s="52">
        <v>9674</v>
      </c>
      <c r="L102" s="52">
        <v>4836450</v>
      </c>
      <c r="M102" s="52">
        <v>3239715</v>
      </c>
      <c r="N102" s="52">
        <v>3237189</v>
      </c>
      <c r="O102" s="52">
        <v>0</v>
      </c>
      <c r="P102" s="52">
        <v>1171678</v>
      </c>
      <c r="Q102" s="52">
        <v>732668</v>
      </c>
      <c r="R102" s="11">
        <v>6678963</v>
      </c>
      <c r="S102" s="11">
        <v>1088204</v>
      </c>
      <c r="T102" s="11">
        <v>23700</v>
      </c>
      <c r="U102" s="11">
        <v>0</v>
      </c>
      <c r="V102" s="11">
        <v>22445710</v>
      </c>
      <c r="W102" s="13">
        <v>0.1021</v>
      </c>
      <c r="X102" s="11">
        <v>0</v>
      </c>
      <c r="Y102" s="26">
        <f>1423014/22402793</f>
        <v>6.3519490627798061E-2</v>
      </c>
      <c r="Z102" s="11">
        <v>1423527</v>
      </c>
      <c r="AA102" s="11">
        <v>0</v>
      </c>
      <c r="AB102" s="11">
        <f>184662+17398+1443</f>
        <v>203503</v>
      </c>
      <c r="AC102" s="11">
        <v>708817</v>
      </c>
      <c r="AD102" s="11">
        <v>56440</v>
      </c>
      <c r="AE102" s="11">
        <v>184041</v>
      </c>
      <c r="AF102" s="11">
        <f>89844+12731</f>
        <v>102575</v>
      </c>
      <c r="AG102" s="11">
        <v>9514</v>
      </c>
      <c r="AH102" s="11">
        <v>98401</v>
      </c>
      <c r="AI102" s="11">
        <v>0</v>
      </c>
      <c r="AJ102" s="11">
        <v>169977</v>
      </c>
      <c r="AK102" s="11">
        <f>7038+39261+27891</f>
        <v>74190</v>
      </c>
      <c r="AL102" s="11">
        <v>9944</v>
      </c>
      <c r="AM102" s="11">
        <v>0</v>
      </c>
      <c r="AN102" s="11">
        <v>0</v>
      </c>
      <c r="AO102" s="11">
        <v>51608</v>
      </c>
      <c r="AP102" s="11">
        <v>8053</v>
      </c>
      <c r="AQ102" s="11">
        <v>0</v>
      </c>
      <c r="AR102" s="11">
        <v>1520104</v>
      </c>
      <c r="AS102" s="11">
        <v>1507638</v>
      </c>
      <c r="AT102" s="11">
        <v>0</v>
      </c>
      <c r="AU102" s="11">
        <v>0</v>
      </c>
      <c r="AV102" s="11">
        <v>143628</v>
      </c>
      <c r="AW102" s="11">
        <v>0</v>
      </c>
      <c r="AX102" s="11">
        <v>182124</v>
      </c>
      <c r="AY102" s="11">
        <v>0</v>
      </c>
      <c r="AZ102" s="11">
        <v>0</v>
      </c>
      <c r="BA102" s="11">
        <v>0</v>
      </c>
      <c r="BB102" s="11">
        <v>5161</v>
      </c>
      <c r="BC102" s="11">
        <v>2838</v>
      </c>
      <c r="BD102" s="11">
        <v>0</v>
      </c>
      <c r="BE102" s="11">
        <v>-4</v>
      </c>
      <c r="BF102" s="11">
        <v>-256</v>
      </c>
      <c r="BG102" s="11">
        <v>-1482</v>
      </c>
      <c r="BH102" s="11">
        <v>-656</v>
      </c>
      <c r="BI102" s="11">
        <v>-4</v>
      </c>
      <c r="BJ102" s="11">
        <f t="shared" si="8"/>
        <v>5597</v>
      </c>
      <c r="BK102" s="1">
        <v>6</v>
      </c>
      <c r="BL102" s="1">
        <v>218</v>
      </c>
      <c r="BM102" s="1">
        <v>57</v>
      </c>
      <c r="BN102" s="1">
        <v>342</v>
      </c>
      <c r="BO102" s="1">
        <v>31</v>
      </c>
      <c r="BP102" s="1">
        <v>8</v>
      </c>
      <c r="BQ102" s="1">
        <v>54</v>
      </c>
      <c r="BR102" s="1">
        <v>17</v>
      </c>
      <c r="BS102" s="1">
        <v>106</v>
      </c>
      <c r="BT102" s="1">
        <v>15</v>
      </c>
      <c r="BU102" s="1">
        <v>0</v>
      </c>
      <c r="BV102" s="1">
        <v>515</v>
      </c>
      <c r="BW102" s="1">
        <v>90</v>
      </c>
      <c r="BX102" s="1">
        <v>601</v>
      </c>
      <c r="BY102" s="1">
        <v>267</v>
      </c>
      <c r="BZ102" s="1">
        <v>9</v>
      </c>
    </row>
    <row r="103" spans="1:78">
      <c r="A103" s="16">
        <v>10</v>
      </c>
      <c r="B103" s="59" t="s">
        <v>24</v>
      </c>
      <c r="C103" s="60" t="s">
        <v>201</v>
      </c>
      <c r="D103" s="59" t="s">
        <v>246</v>
      </c>
      <c r="E103" s="59" t="s">
        <v>316</v>
      </c>
      <c r="F103" s="59" t="s">
        <v>479</v>
      </c>
      <c r="G103" s="59" t="s">
        <v>318</v>
      </c>
      <c r="H103" s="11">
        <v>3908601</v>
      </c>
      <c r="I103" s="11">
        <v>3939610</v>
      </c>
      <c r="J103" s="11">
        <v>163209</v>
      </c>
      <c r="K103" s="52">
        <v>424593</v>
      </c>
      <c r="L103" s="52">
        <v>41848</v>
      </c>
      <c r="M103" s="52">
        <v>0</v>
      </c>
      <c r="N103" s="52">
        <v>1353627</v>
      </c>
      <c r="O103" s="52">
        <v>0</v>
      </c>
      <c r="P103" s="52">
        <v>0</v>
      </c>
      <c r="Q103" s="52">
        <v>115993</v>
      </c>
      <c r="R103" s="11">
        <v>1274733</v>
      </c>
      <c r="S103" s="11">
        <v>363114</v>
      </c>
      <c r="T103" s="11">
        <v>1873</v>
      </c>
      <c r="U103" s="11">
        <v>0</v>
      </c>
      <c r="V103" s="11">
        <v>3992531</v>
      </c>
      <c r="W103" s="13">
        <v>0.18920000000000001</v>
      </c>
      <c r="X103" s="11">
        <v>0</v>
      </c>
      <c r="Y103" s="26">
        <f>312880/3883405</f>
        <v>8.0568470195614417E-2</v>
      </c>
      <c r="Z103" s="11">
        <v>308497</v>
      </c>
      <c r="AA103" s="11">
        <v>0</v>
      </c>
      <c r="AB103" s="11">
        <f>31009+335</f>
        <v>31344</v>
      </c>
      <c r="AC103" s="11">
        <v>93869</v>
      </c>
      <c r="AD103" s="11">
        <v>7458</v>
      </c>
      <c r="AE103" s="11">
        <v>13688</v>
      </c>
      <c r="AF103" s="11">
        <v>11370</v>
      </c>
      <c r="AG103" s="11">
        <v>13875</v>
      </c>
      <c r="AH103" s="11">
        <v>11860</v>
      </c>
      <c r="AI103" s="11">
        <v>198</v>
      </c>
      <c r="AJ103" s="11">
        <v>0</v>
      </c>
      <c r="AK103" s="11">
        <f>3239+4928+4605</f>
        <v>12772</v>
      </c>
      <c r="AL103" s="11">
        <v>5899</v>
      </c>
      <c r="AM103" s="11">
        <v>1664</v>
      </c>
      <c r="AN103" s="11"/>
      <c r="AO103" s="11">
        <v>1268</v>
      </c>
      <c r="AP103" s="11">
        <v>208</v>
      </c>
      <c r="AQ103" s="11">
        <v>26448</v>
      </c>
      <c r="AR103" s="11">
        <v>191304</v>
      </c>
      <c r="AS103" s="11">
        <v>209883</v>
      </c>
      <c r="AT103" s="11">
        <v>0</v>
      </c>
      <c r="AU103" s="11">
        <v>0</v>
      </c>
      <c r="AV103" s="11">
        <v>143627</v>
      </c>
      <c r="AW103" s="11">
        <v>0</v>
      </c>
      <c r="AX103" s="11">
        <v>28289</v>
      </c>
      <c r="AY103" s="11">
        <v>0</v>
      </c>
      <c r="AZ103" s="11">
        <v>0</v>
      </c>
      <c r="BA103" s="11">
        <v>0</v>
      </c>
      <c r="BB103" s="11">
        <v>703</v>
      </c>
      <c r="BC103" s="11">
        <v>255</v>
      </c>
      <c r="BD103" s="11">
        <v>0</v>
      </c>
      <c r="BE103" s="11">
        <f>3-100</f>
        <v>-97</v>
      </c>
      <c r="BF103" s="11">
        <v>-64</v>
      </c>
      <c r="BG103" s="11">
        <v>-120</v>
      </c>
      <c r="BH103" s="11">
        <v>-90</v>
      </c>
      <c r="BI103" s="11">
        <v>-3</v>
      </c>
      <c r="BJ103" s="11">
        <f t="shared" si="8"/>
        <v>584</v>
      </c>
      <c r="BK103" s="1">
        <v>0</v>
      </c>
      <c r="BL103" s="1">
        <v>49</v>
      </c>
      <c r="BM103" s="1">
        <v>11</v>
      </c>
      <c r="BN103" s="1">
        <v>26</v>
      </c>
      <c r="BO103" s="1">
        <v>4</v>
      </c>
      <c r="BP103" s="1">
        <v>1</v>
      </c>
      <c r="BQ103" s="1">
        <v>1</v>
      </c>
      <c r="BR103" s="1">
        <v>2</v>
      </c>
      <c r="BS103" s="1">
        <v>11</v>
      </c>
      <c r="BT103" s="1">
        <v>25</v>
      </c>
      <c r="BU103" s="1">
        <v>0</v>
      </c>
      <c r="BV103" s="1">
        <v>0</v>
      </c>
      <c r="BW103" s="1">
        <v>5</v>
      </c>
      <c r="BX103" s="1">
        <v>13</v>
      </c>
      <c r="BY103" s="1">
        <v>76</v>
      </c>
      <c r="BZ103" s="1">
        <v>2</v>
      </c>
    </row>
    <row r="104" spans="1:78">
      <c r="A104" s="16">
        <v>10</v>
      </c>
      <c r="B104" s="59" t="s">
        <v>79</v>
      </c>
      <c r="C104" s="60" t="s">
        <v>344</v>
      </c>
      <c r="D104" s="59" t="s">
        <v>606</v>
      </c>
      <c r="E104" s="59" t="s">
        <v>316</v>
      </c>
      <c r="F104" s="59" t="s">
        <v>618</v>
      </c>
      <c r="G104" s="59" t="s">
        <v>318</v>
      </c>
      <c r="H104" s="11">
        <v>11294157</v>
      </c>
      <c r="I104" s="11">
        <v>11330776</v>
      </c>
      <c r="J104" s="11">
        <v>115352</v>
      </c>
      <c r="K104" s="52">
        <v>1325862</v>
      </c>
      <c r="L104" s="52">
        <v>54481</v>
      </c>
      <c r="M104" s="52">
        <v>4597707</v>
      </c>
      <c r="N104" s="52">
        <v>0</v>
      </c>
      <c r="O104" s="52">
        <v>0</v>
      </c>
      <c r="P104" s="52">
        <v>417017</v>
      </c>
      <c r="Q104" s="52">
        <v>0</v>
      </c>
      <c r="R104" s="11">
        <v>2448170</v>
      </c>
      <c r="S104" s="11">
        <v>1318598</v>
      </c>
      <c r="T104" s="11">
        <v>7147</v>
      </c>
      <c r="U104" s="11">
        <v>33445</v>
      </c>
      <c r="V104" s="11">
        <v>10979393</v>
      </c>
      <c r="W104" s="13">
        <v>0.111</v>
      </c>
      <c r="X104" s="11">
        <v>1262624</v>
      </c>
      <c r="Y104" s="26">
        <f>698085/9584366</f>
        <v>7.2835803641054603E-2</v>
      </c>
      <c r="Z104" s="11">
        <v>697916</v>
      </c>
      <c r="AA104" s="11">
        <v>0</v>
      </c>
      <c r="AB104" s="11">
        <f>34292+3330</f>
        <v>37622</v>
      </c>
      <c r="AC104" s="11">
        <v>267534</v>
      </c>
      <c r="AD104" s="11">
        <v>21491</v>
      </c>
      <c r="AE104" s="11">
        <v>51882</v>
      </c>
      <c r="AF104" s="11">
        <f>23029+4637</f>
        <v>27666</v>
      </c>
      <c r="AG104" s="11">
        <v>6000</v>
      </c>
      <c r="AH104" s="11">
        <v>39265</v>
      </c>
      <c r="AI104" s="11">
        <v>54874</v>
      </c>
      <c r="AJ104" s="11">
        <v>25610</v>
      </c>
      <c r="AK104" s="11">
        <f>13373+12614+26615</f>
        <v>52602</v>
      </c>
      <c r="AL104" s="11">
        <v>7109</v>
      </c>
      <c r="AM104" s="11">
        <v>489</v>
      </c>
      <c r="AN104" s="11">
        <v>0</v>
      </c>
      <c r="AO104" s="11">
        <v>17913</v>
      </c>
      <c r="AP104" s="11">
        <v>12316</v>
      </c>
      <c r="AQ104" s="11">
        <v>39133</v>
      </c>
      <c r="AR104" s="11">
        <v>621458</v>
      </c>
      <c r="AS104" s="11">
        <v>639695</v>
      </c>
      <c r="AT104" s="11">
        <v>0</v>
      </c>
      <c r="AU104" s="11">
        <v>0</v>
      </c>
      <c r="AV104" s="11">
        <v>143628</v>
      </c>
      <c r="AW104" s="11">
        <v>0</v>
      </c>
      <c r="AX104" s="11">
        <v>83451</v>
      </c>
      <c r="AY104" s="11">
        <v>0</v>
      </c>
      <c r="AZ104" s="11">
        <v>0</v>
      </c>
      <c r="BA104" s="11">
        <v>0</v>
      </c>
      <c r="BB104" s="11">
        <v>2921</v>
      </c>
      <c r="BC104" s="11">
        <v>1118</v>
      </c>
      <c r="BD104" s="11">
        <v>34</v>
      </c>
      <c r="BE104" s="11">
        <f>1+16</f>
        <v>17</v>
      </c>
      <c r="BF104" s="11">
        <v>-261</v>
      </c>
      <c r="BG104" s="11">
        <v>-514</v>
      </c>
      <c r="BH104" s="11">
        <v>-293</v>
      </c>
      <c r="BI104" s="11">
        <v>-3</v>
      </c>
      <c r="BJ104" s="11">
        <f t="shared" si="8"/>
        <v>3019</v>
      </c>
      <c r="BK104" s="1">
        <v>68</v>
      </c>
      <c r="BL104" s="1">
        <v>60</v>
      </c>
      <c r="BM104" s="1">
        <v>64</v>
      </c>
      <c r="BN104" s="1">
        <v>155</v>
      </c>
      <c r="BO104" s="1">
        <v>14</v>
      </c>
      <c r="BP104" s="1">
        <v>0</v>
      </c>
      <c r="BQ104" s="1">
        <v>1</v>
      </c>
      <c r="BR104" s="1">
        <v>2</v>
      </c>
      <c r="BS104" s="1">
        <v>58</v>
      </c>
      <c r="BT104" s="1">
        <v>272</v>
      </c>
      <c r="BU104" s="1">
        <v>0</v>
      </c>
      <c r="BV104" s="1">
        <v>0</v>
      </c>
      <c r="BW104" s="1">
        <v>4</v>
      </c>
      <c r="BX104" s="1">
        <v>67</v>
      </c>
      <c r="BY104" s="1">
        <v>167</v>
      </c>
      <c r="BZ104" s="1">
        <v>0</v>
      </c>
    </row>
    <row r="105" spans="1:78">
      <c r="A105" s="16">
        <v>10</v>
      </c>
      <c r="B105" s="59" t="s">
        <v>87</v>
      </c>
      <c r="C105" s="60" t="s">
        <v>563</v>
      </c>
      <c r="D105" s="59" t="s">
        <v>572</v>
      </c>
      <c r="E105" s="59" t="s">
        <v>314</v>
      </c>
      <c r="F105" s="59" t="s">
        <v>121</v>
      </c>
      <c r="G105" s="59" t="s">
        <v>315</v>
      </c>
      <c r="H105" s="11">
        <v>3105561</v>
      </c>
      <c r="I105" s="11">
        <v>3112478</v>
      </c>
      <c r="J105" s="11">
        <v>32085</v>
      </c>
      <c r="K105" s="52">
        <v>8853</v>
      </c>
      <c r="L105" s="52">
        <v>32399</v>
      </c>
      <c r="M105" s="52">
        <v>230121</v>
      </c>
      <c r="N105" s="52">
        <v>1317317</v>
      </c>
      <c r="O105" s="52">
        <v>0</v>
      </c>
      <c r="P105" s="52">
        <v>18902</v>
      </c>
      <c r="Q105" s="52">
        <v>179215</v>
      </c>
      <c r="R105" s="11">
        <v>751905</v>
      </c>
      <c r="S105" s="11">
        <v>264400</v>
      </c>
      <c r="T105" s="11">
        <v>0</v>
      </c>
      <c r="U105" s="11">
        <v>0</v>
      </c>
      <c r="V105" s="11">
        <v>3097769</v>
      </c>
      <c r="W105" s="13">
        <v>0.11</v>
      </c>
      <c r="X105" s="11">
        <v>0</v>
      </c>
      <c r="Y105" s="26">
        <f>294275/3097159</f>
        <v>9.5014495542527846E-2</v>
      </c>
      <c r="Z105" s="11">
        <v>294179</v>
      </c>
      <c r="AA105" s="11">
        <v>0</v>
      </c>
      <c r="AB105" s="11">
        <f>6917+72</f>
        <v>6989</v>
      </c>
      <c r="AC105" s="11">
        <v>83266</v>
      </c>
      <c r="AD105" s="11">
        <v>7460</v>
      </c>
      <c r="AE105" s="11">
        <v>8607</v>
      </c>
      <c r="AF105" s="11">
        <f>7104+1072</f>
        <v>8176</v>
      </c>
      <c r="AG105" s="11">
        <v>2340</v>
      </c>
      <c r="AH105" s="11">
        <v>12202</v>
      </c>
      <c r="AI105" s="11">
        <v>2255</v>
      </c>
      <c r="AJ105" s="11">
        <v>0</v>
      </c>
      <c r="AK105" s="11">
        <f>2536+4287+5642</f>
        <v>12465</v>
      </c>
      <c r="AL105" s="11">
        <v>5036</v>
      </c>
      <c r="AM105" s="11">
        <v>518</v>
      </c>
      <c r="AN105" s="11"/>
      <c r="AO105" s="11">
        <v>669</v>
      </c>
      <c r="AP105" s="11">
        <v>2811</v>
      </c>
      <c r="AQ105" s="11">
        <v>44354</v>
      </c>
      <c r="AR105" s="11">
        <v>160461</v>
      </c>
      <c r="AS105" s="11">
        <v>164145</v>
      </c>
      <c r="AT105" s="11">
        <v>0</v>
      </c>
      <c r="AU105" s="11">
        <v>0</v>
      </c>
      <c r="AV105" s="11">
        <v>143628</v>
      </c>
      <c r="AW105" s="11">
        <v>0</v>
      </c>
      <c r="AX105" s="11">
        <v>16035</v>
      </c>
      <c r="AY105" s="11">
        <v>0</v>
      </c>
      <c r="AZ105" s="11">
        <v>0</v>
      </c>
      <c r="BA105" s="11">
        <v>0</v>
      </c>
      <c r="BB105" s="11">
        <v>680</v>
      </c>
      <c r="BC105" s="11">
        <v>263</v>
      </c>
      <c r="BD105" s="11">
        <v>0</v>
      </c>
      <c r="BE105" s="11">
        <f>1-2</f>
        <v>-1</v>
      </c>
      <c r="BF105" s="11">
        <v>-51</v>
      </c>
      <c r="BG105" s="11">
        <v>-67</v>
      </c>
      <c r="BH105" s="11">
        <v>-164</v>
      </c>
      <c r="BI105" s="11">
        <v>0</v>
      </c>
      <c r="BJ105" s="11">
        <f t="shared" si="8"/>
        <v>660</v>
      </c>
      <c r="BK105" s="1">
        <v>0</v>
      </c>
      <c r="BL105" s="1">
        <v>55</v>
      </c>
      <c r="BM105" s="1">
        <v>6</v>
      </c>
      <c r="BN105" s="1">
        <v>90</v>
      </c>
      <c r="BO105" s="1">
        <v>11</v>
      </c>
      <c r="BP105" s="1">
        <v>2</v>
      </c>
      <c r="BQ105" s="1">
        <v>0</v>
      </c>
      <c r="BR105" s="1">
        <v>1</v>
      </c>
      <c r="BS105" s="1">
        <v>4</v>
      </c>
      <c r="BT105" s="1">
        <v>40</v>
      </c>
      <c r="BU105" s="1">
        <v>0</v>
      </c>
      <c r="BV105" s="1">
        <v>1</v>
      </c>
      <c r="BW105" s="1">
        <v>3</v>
      </c>
      <c r="BX105" s="1">
        <v>6</v>
      </c>
      <c r="BY105" s="1">
        <v>46</v>
      </c>
      <c r="BZ105" s="1">
        <v>0</v>
      </c>
    </row>
    <row r="106" spans="1:78">
      <c r="A106" s="16">
        <v>10</v>
      </c>
      <c r="B106" s="59" t="s">
        <v>97</v>
      </c>
      <c r="C106" s="60" t="s">
        <v>569</v>
      </c>
      <c r="D106" s="59" t="s">
        <v>319</v>
      </c>
      <c r="E106" s="59" t="s">
        <v>316</v>
      </c>
      <c r="F106" s="59" t="s">
        <v>618</v>
      </c>
      <c r="G106" s="59" t="s">
        <v>318</v>
      </c>
      <c r="H106" s="11">
        <v>28931529</v>
      </c>
      <c r="I106" s="11">
        <v>29064348</v>
      </c>
      <c r="J106" s="11">
        <v>1648488</v>
      </c>
      <c r="K106" s="52">
        <v>0</v>
      </c>
      <c r="L106" s="52">
        <v>3170597</v>
      </c>
      <c r="M106" s="52">
        <v>8393731</v>
      </c>
      <c r="N106" s="52">
        <v>0</v>
      </c>
      <c r="O106" s="52">
        <v>0</v>
      </c>
      <c r="P106" s="52">
        <v>1832774</v>
      </c>
      <c r="Q106" s="52">
        <v>0</v>
      </c>
      <c r="R106" s="11">
        <v>9211940</v>
      </c>
      <c r="S106" s="11">
        <v>2914215</v>
      </c>
      <c r="T106" s="11">
        <v>0</v>
      </c>
      <c r="U106" s="11">
        <v>172479</v>
      </c>
      <c r="V106" s="11">
        <v>27114214</v>
      </c>
      <c r="W106" s="13">
        <v>0.18</v>
      </c>
      <c r="X106" s="11">
        <v>0</v>
      </c>
      <c r="Y106" s="26">
        <f>1456469/26941735</f>
        <v>5.4059955678429771E-2</v>
      </c>
      <c r="Z106" s="11">
        <v>1418399</v>
      </c>
      <c r="AA106" s="11">
        <v>0</v>
      </c>
      <c r="AB106" s="11">
        <f>126439+13939+3153</f>
        <v>143531</v>
      </c>
      <c r="AC106" s="11">
        <v>737919</v>
      </c>
      <c r="AD106" s="11">
        <v>55870</v>
      </c>
      <c r="AE106" s="11">
        <v>122181</v>
      </c>
      <c r="AF106" s="11">
        <v>161592</v>
      </c>
      <c r="AG106" s="11">
        <v>25075</v>
      </c>
      <c r="AH106" s="11">
        <v>49682</v>
      </c>
      <c r="AI106" s="11">
        <v>683</v>
      </c>
      <c r="AJ106" s="11">
        <v>194206</v>
      </c>
      <c r="AK106" s="11">
        <f>6518+21971+29917</f>
        <v>58406</v>
      </c>
      <c r="AL106" s="11">
        <v>8033</v>
      </c>
      <c r="AM106" s="11">
        <v>227</v>
      </c>
      <c r="AN106" s="11">
        <v>0</v>
      </c>
      <c r="AO106" s="11">
        <v>25395</v>
      </c>
      <c r="AP106" s="11">
        <v>79529</v>
      </c>
      <c r="AQ106" s="11">
        <v>80845</v>
      </c>
      <c r="AR106" s="11">
        <v>1589182</v>
      </c>
      <c r="AS106" s="11">
        <v>1619458</v>
      </c>
      <c r="AT106" s="11">
        <v>1964</v>
      </c>
      <c r="AU106" s="11">
        <v>0</v>
      </c>
      <c r="AV106" s="11">
        <v>143628</v>
      </c>
      <c r="AW106" s="11">
        <v>0</v>
      </c>
      <c r="AX106" s="11">
        <v>233303</v>
      </c>
      <c r="AY106" s="11">
        <v>0</v>
      </c>
      <c r="AZ106" s="11">
        <v>0</v>
      </c>
      <c r="BA106" s="11">
        <v>0</v>
      </c>
      <c r="BB106" s="11">
        <v>7015</v>
      </c>
      <c r="BC106" s="11">
        <v>3432</v>
      </c>
      <c r="BD106" s="11">
        <v>0</v>
      </c>
      <c r="BE106" s="11">
        <f>48-1125</f>
        <v>-1077</v>
      </c>
      <c r="BF106" s="11">
        <v>-617</v>
      </c>
      <c r="BG106" s="11">
        <v>-1517</v>
      </c>
      <c r="BH106" s="11">
        <v>-999</v>
      </c>
      <c r="BI106" s="11">
        <v>0</v>
      </c>
      <c r="BJ106" s="11">
        <f t="shared" si="8"/>
        <v>6237</v>
      </c>
      <c r="BK106" s="1">
        <v>0</v>
      </c>
      <c r="BL106" s="1">
        <v>311</v>
      </c>
      <c r="BM106" s="1">
        <v>143</v>
      </c>
      <c r="BN106" s="1">
        <v>516</v>
      </c>
      <c r="BO106" s="1">
        <v>1</v>
      </c>
      <c r="BP106" s="1">
        <v>20</v>
      </c>
      <c r="BQ106" s="1">
        <v>2</v>
      </c>
      <c r="BR106" s="1">
        <v>12</v>
      </c>
      <c r="BS106" s="1">
        <v>67</v>
      </c>
      <c r="BT106" s="1">
        <v>20</v>
      </c>
      <c r="BU106" s="1">
        <v>309</v>
      </c>
      <c r="BV106" s="1">
        <v>9</v>
      </c>
      <c r="BW106" s="1">
        <v>18</v>
      </c>
      <c r="BX106" s="1">
        <v>89</v>
      </c>
      <c r="BY106" s="1">
        <v>57</v>
      </c>
      <c r="BZ106" s="1">
        <v>586</v>
      </c>
    </row>
    <row r="107" spans="1:78">
      <c r="A107" s="16">
        <v>10</v>
      </c>
      <c r="B107" s="59" t="s">
        <v>122</v>
      </c>
      <c r="C107" s="60" t="s">
        <v>509</v>
      </c>
      <c r="D107" s="59" t="s">
        <v>424</v>
      </c>
      <c r="E107" s="59" t="s">
        <v>316</v>
      </c>
      <c r="F107" s="59" t="s">
        <v>479</v>
      </c>
      <c r="G107" s="59" t="s">
        <v>318</v>
      </c>
      <c r="H107" s="11">
        <v>16880374</v>
      </c>
      <c r="I107" s="11">
        <v>16967168</v>
      </c>
      <c r="J107" s="11">
        <v>612088</v>
      </c>
      <c r="K107" s="52">
        <v>6131724</v>
      </c>
      <c r="L107" s="52">
        <v>118429</v>
      </c>
      <c r="M107" s="52">
        <v>2040787</v>
      </c>
      <c r="N107" s="52">
        <v>2821566</v>
      </c>
      <c r="O107" s="52">
        <v>388</v>
      </c>
      <c r="P107" s="52">
        <v>198345</v>
      </c>
      <c r="Q107" s="52">
        <v>546818</v>
      </c>
      <c r="R107" s="11">
        <v>2148554</v>
      </c>
      <c r="S107" s="11">
        <v>1041697</v>
      </c>
      <c r="T107" s="11">
        <v>31413</v>
      </c>
      <c r="U107" s="11">
        <v>0</v>
      </c>
      <c r="V107" s="11">
        <v>15825954</v>
      </c>
      <c r="W107" s="13">
        <v>0.15</v>
      </c>
      <c r="X107" s="11">
        <v>6131724</v>
      </c>
      <c r="Y107" s="26">
        <f>747462/9662540</f>
        <v>7.73566784717062E-2</v>
      </c>
      <c r="Z107" s="11">
        <v>746233</v>
      </c>
      <c r="AA107" s="11">
        <v>0</v>
      </c>
      <c r="AB107" s="11">
        <f>81593+5154+622</f>
        <v>87369</v>
      </c>
      <c r="AC107" s="11">
        <v>280292</v>
      </c>
      <c r="AD107" s="11">
        <v>21990</v>
      </c>
      <c r="AE107" s="11">
        <v>30346</v>
      </c>
      <c r="AF107" s="11">
        <f>87490+7388</f>
        <v>94878</v>
      </c>
      <c r="AG107" s="11">
        <v>0</v>
      </c>
      <c r="AH107" s="11">
        <v>62922</v>
      </c>
      <c r="AI107" s="11">
        <v>629</v>
      </c>
      <c r="AJ107" s="11">
        <v>94661</v>
      </c>
      <c r="AK107" s="11">
        <f>8119+20765+43413</f>
        <v>72297</v>
      </c>
      <c r="AL107" s="11">
        <v>7156</v>
      </c>
      <c r="AM107" s="11">
        <v>802</v>
      </c>
      <c r="AN107" s="11"/>
      <c r="AO107" s="11">
        <v>1361</v>
      </c>
      <c r="AP107" s="11">
        <v>6409</v>
      </c>
      <c r="AQ107" s="11">
        <v>3722</v>
      </c>
      <c r="AR107" s="11">
        <v>720458</v>
      </c>
      <c r="AS107" s="11">
        <v>732448</v>
      </c>
      <c r="AT107" s="11">
        <v>520</v>
      </c>
      <c r="AU107" s="11">
        <v>520</v>
      </c>
      <c r="AV107" s="11">
        <v>143628</v>
      </c>
      <c r="AW107" s="11">
        <v>0</v>
      </c>
      <c r="AX107" s="11">
        <v>64099</v>
      </c>
      <c r="AY107" s="11">
        <v>0</v>
      </c>
      <c r="AZ107" s="11">
        <v>0</v>
      </c>
      <c r="BA107" s="11">
        <v>0</v>
      </c>
      <c r="BB107" s="11">
        <v>2705</v>
      </c>
      <c r="BC107" s="11">
        <v>1637</v>
      </c>
      <c r="BD107" s="11">
        <v>254</v>
      </c>
      <c r="BE107" s="11">
        <f>33-157</f>
        <v>-124</v>
      </c>
      <c r="BF107" s="11">
        <v>-167</v>
      </c>
      <c r="BG107" s="11">
        <v>-723</v>
      </c>
      <c r="BH107" s="11">
        <v>-440</v>
      </c>
      <c r="BI107" s="11">
        <v>-6</v>
      </c>
      <c r="BJ107" s="11">
        <f t="shared" si="8"/>
        <v>3136</v>
      </c>
      <c r="BK107" s="1">
        <v>16</v>
      </c>
      <c r="BL107" s="1">
        <v>95</v>
      </c>
      <c r="BM107" s="1">
        <v>24</v>
      </c>
      <c r="BN107" s="1">
        <v>173</v>
      </c>
      <c r="BO107" s="1">
        <v>91</v>
      </c>
      <c r="BP107" s="1">
        <v>5</v>
      </c>
      <c r="BQ107" s="1">
        <v>7</v>
      </c>
      <c r="BR107" s="1">
        <v>2</v>
      </c>
      <c r="BS107" s="1">
        <v>25</v>
      </c>
      <c r="BT107" s="1">
        <v>101</v>
      </c>
      <c r="BU107" s="1">
        <v>0</v>
      </c>
      <c r="BV107" s="1">
        <v>57</v>
      </c>
      <c r="BW107" s="1">
        <v>8</v>
      </c>
      <c r="BX107" s="1">
        <v>58</v>
      </c>
      <c r="BY107" s="1">
        <v>285</v>
      </c>
      <c r="BZ107" s="1">
        <v>5</v>
      </c>
    </row>
    <row r="108" spans="1:78">
      <c r="A108" s="16">
        <v>10</v>
      </c>
      <c r="B108" s="59" t="s">
        <v>137</v>
      </c>
      <c r="C108" s="60" t="s">
        <v>428</v>
      </c>
      <c r="D108" s="59" t="s">
        <v>519</v>
      </c>
      <c r="E108" s="59" t="s">
        <v>314</v>
      </c>
      <c r="F108" s="59" t="s">
        <v>121</v>
      </c>
      <c r="G108" s="59" t="s">
        <v>315</v>
      </c>
      <c r="H108" s="11">
        <v>6736030</v>
      </c>
      <c r="I108" s="11">
        <v>6749317</v>
      </c>
      <c r="J108" s="11">
        <v>47166</v>
      </c>
      <c r="K108" s="52">
        <v>1044</v>
      </c>
      <c r="L108" s="52">
        <v>1460</v>
      </c>
      <c r="M108" s="52">
        <v>1475844</v>
      </c>
      <c r="N108" s="52">
        <v>1456921</v>
      </c>
      <c r="O108" s="52">
        <v>409</v>
      </c>
      <c r="P108" s="52">
        <v>222099</v>
      </c>
      <c r="Q108" s="52">
        <v>178521</v>
      </c>
      <c r="R108" s="11">
        <v>2000652</v>
      </c>
      <c r="S108" s="11">
        <v>749382</v>
      </c>
      <c r="T108" s="11">
        <v>0</v>
      </c>
      <c r="U108" s="11">
        <v>0</v>
      </c>
      <c r="V108" s="11">
        <v>6617260</v>
      </c>
      <c r="W108" s="13">
        <v>2.5700000000000001E-2</v>
      </c>
      <c r="X108" s="11">
        <v>0</v>
      </c>
      <c r="Y108" s="26">
        <f>509529/6617260</f>
        <v>7.6999996977601001E-2</v>
      </c>
      <c r="Z108" s="11">
        <v>506954</v>
      </c>
      <c r="AA108" s="11">
        <v>0</v>
      </c>
      <c r="AB108" s="11">
        <f>13287+467</f>
        <v>13754</v>
      </c>
      <c r="AC108" s="11">
        <v>125864</v>
      </c>
      <c r="AD108" s="11">
        <v>10859</v>
      </c>
      <c r="AE108" s="11">
        <v>27569</v>
      </c>
      <c r="AF108" s="11">
        <f>50794+3022</f>
        <v>53816</v>
      </c>
      <c r="AG108" s="11">
        <v>13037</v>
      </c>
      <c r="AH108" s="11">
        <v>71882</v>
      </c>
      <c r="AI108" s="11">
        <v>0</v>
      </c>
      <c r="AJ108" s="11">
        <v>0</v>
      </c>
      <c r="AK108" s="11">
        <f>3915+7066+5798</f>
        <v>16779</v>
      </c>
      <c r="AL108" s="11">
        <v>2404</v>
      </c>
      <c r="AM108" s="11">
        <v>54</v>
      </c>
      <c r="AN108" s="11"/>
      <c r="AO108" s="11">
        <v>382</v>
      </c>
      <c r="AP108" s="11">
        <v>22661</v>
      </c>
      <c r="AQ108" s="11">
        <v>0</v>
      </c>
      <c r="AR108" s="11">
        <v>375665</v>
      </c>
      <c r="AS108" s="11">
        <v>386533</v>
      </c>
      <c r="AT108" s="11">
        <v>0</v>
      </c>
      <c r="AU108" s="11">
        <v>0</v>
      </c>
      <c r="AV108" s="11">
        <v>143628</v>
      </c>
      <c r="AW108" s="11">
        <v>0</v>
      </c>
      <c r="AX108" s="11">
        <v>40733</v>
      </c>
      <c r="AY108" s="11">
        <v>0</v>
      </c>
      <c r="AZ108" s="11">
        <v>0</v>
      </c>
      <c r="BA108" s="11">
        <v>0</v>
      </c>
      <c r="BB108" s="11">
        <v>2020</v>
      </c>
      <c r="BC108" s="11">
        <v>983</v>
      </c>
      <c r="BD108" s="11">
        <v>148</v>
      </c>
      <c r="BE108" s="11">
        <v>-5</v>
      </c>
      <c r="BF108" s="11">
        <v>-178</v>
      </c>
      <c r="BG108" s="11">
        <v>-227</v>
      </c>
      <c r="BH108" s="11">
        <v>-611</v>
      </c>
      <c r="BI108" s="11">
        <v>0</v>
      </c>
      <c r="BJ108" s="11">
        <f t="shared" ref="BJ108:BJ139" si="9">SUM(BB108:BI108)</f>
        <v>2130</v>
      </c>
      <c r="BK108" s="1">
        <v>0</v>
      </c>
      <c r="BL108" s="1">
        <v>62</v>
      </c>
      <c r="BM108" s="1">
        <v>41</v>
      </c>
      <c r="BN108" s="1">
        <v>400</v>
      </c>
      <c r="BO108" s="1">
        <v>25</v>
      </c>
      <c r="BP108" s="1">
        <v>4</v>
      </c>
      <c r="BQ108" s="1">
        <v>2</v>
      </c>
      <c r="BR108" s="1">
        <v>1</v>
      </c>
      <c r="BS108" s="1">
        <v>26</v>
      </c>
      <c r="BT108" s="1">
        <v>117</v>
      </c>
      <c r="BU108" s="1">
        <v>9</v>
      </c>
      <c r="BV108" s="1">
        <v>5</v>
      </c>
      <c r="BW108" s="1">
        <v>1</v>
      </c>
      <c r="BX108" s="1">
        <v>37</v>
      </c>
      <c r="BY108" s="1">
        <v>107</v>
      </c>
      <c r="BZ108" s="1">
        <v>6</v>
      </c>
    </row>
    <row r="109" spans="1:78">
      <c r="A109" s="16">
        <v>10</v>
      </c>
      <c r="B109" s="59" t="s">
        <v>178</v>
      </c>
      <c r="C109" s="60" t="s">
        <v>201</v>
      </c>
      <c r="D109" s="59" t="s">
        <v>645</v>
      </c>
      <c r="E109" s="59" t="s">
        <v>316</v>
      </c>
      <c r="F109" s="59" t="s">
        <v>618</v>
      </c>
      <c r="G109" s="59" t="s">
        <v>318</v>
      </c>
      <c r="H109" s="11">
        <v>5499866</v>
      </c>
      <c r="I109" s="11">
        <v>5508665</v>
      </c>
      <c r="J109" s="11">
        <v>97859</v>
      </c>
      <c r="K109" s="52">
        <v>232768</v>
      </c>
      <c r="L109" s="52">
        <v>319102</v>
      </c>
      <c r="M109" s="52">
        <v>2020353</v>
      </c>
      <c r="N109" s="52">
        <v>0</v>
      </c>
      <c r="O109" s="52">
        <v>0</v>
      </c>
      <c r="P109" s="52">
        <v>0</v>
      </c>
      <c r="Q109" s="52">
        <v>293745</v>
      </c>
      <c r="R109" s="11">
        <v>1434187</v>
      </c>
      <c r="S109" s="11">
        <v>629583</v>
      </c>
      <c r="T109" s="11">
        <v>0</v>
      </c>
      <c r="U109" s="11">
        <v>15739</v>
      </c>
      <c r="V109" s="11">
        <v>5351930</v>
      </c>
      <c r="W109" s="13">
        <v>0.09</v>
      </c>
      <c r="X109" s="11">
        <v>232768</v>
      </c>
      <c r="Y109" s="26">
        <f>405652/5103376</f>
        <v>7.948699057251514E-2</v>
      </c>
      <c r="Z109" s="11">
        <v>405967</v>
      </c>
      <c r="AA109" s="11">
        <v>0</v>
      </c>
      <c r="AB109" s="11">
        <f>8252+734+514</f>
        <v>9500</v>
      </c>
      <c r="AC109" s="11">
        <v>100634</v>
      </c>
      <c r="AD109" s="11">
        <v>7784</v>
      </c>
      <c r="AE109" s="11">
        <v>22392</v>
      </c>
      <c r="AF109" s="11">
        <v>27727</v>
      </c>
      <c r="AG109" s="11">
        <v>19950</v>
      </c>
      <c r="AH109" s="11">
        <v>18057</v>
      </c>
      <c r="AI109" s="11">
        <v>1650</v>
      </c>
      <c r="AJ109" s="11">
        <v>0</v>
      </c>
      <c r="AK109" s="11">
        <f>6791+20104+13866</f>
        <v>40761</v>
      </c>
      <c r="AL109" s="11">
        <v>4333</v>
      </c>
      <c r="AM109" s="11">
        <v>533</v>
      </c>
      <c r="AN109" s="11"/>
      <c r="AO109" s="11">
        <v>706</v>
      </c>
      <c r="AP109" s="11">
        <v>14308</v>
      </c>
      <c r="AQ109" s="11">
        <v>0</v>
      </c>
      <c r="AR109" s="11">
        <v>283196</v>
      </c>
      <c r="AS109" s="11">
        <v>287061</v>
      </c>
      <c r="AT109" s="11">
        <v>0</v>
      </c>
      <c r="AU109" s="11">
        <v>0</v>
      </c>
      <c r="AV109" s="11">
        <v>143628</v>
      </c>
      <c r="AW109" s="11">
        <v>0</v>
      </c>
      <c r="AX109" s="11">
        <v>30341</v>
      </c>
      <c r="AY109" s="11">
        <v>0</v>
      </c>
      <c r="AZ109" s="11">
        <v>0</v>
      </c>
      <c r="BA109" s="11">
        <v>0</v>
      </c>
      <c r="BB109" s="11">
        <v>1346</v>
      </c>
      <c r="BC109" s="11">
        <v>502</v>
      </c>
      <c r="BD109" s="11">
        <v>0</v>
      </c>
      <c r="BE109" s="11">
        <v>4</v>
      </c>
      <c r="BF109" s="11">
        <v>-120</v>
      </c>
      <c r="BG109" s="11">
        <v>-137</v>
      </c>
      <c r="BH109" s="11">
        <v>-215</v>
      </c>
      <c r="BI109" s="11">
        <v>-3</v>
      </c>
      <c r="BJ109" s="11">
        <f t="shared" si="9"/>
        <v>1377</v>
      </c>
      <c r="BK109" s="1">
        <v>18</v>
      </c>
      <c r="BL109" s="1">
        <v>34</v>
      </c>
      <c r="BM109" s="1">
        <v>31</v>
      </c>
      <c r="BN109" s="1">
        <v>141</v>
      </c>
      <c r="BO109" s="1">
        <v>7</v>
      </c>
      <c r="BP109" s="1">
        <v>4</v>
      </c>
      <c r="BQ109" s="1">
        <v>1</v>
      </c>
      <c r="BR109" s="1">
        <v>0</v>
      </c>
      <c r="BS109" s="1">
        <v>14</v>
      </c>
      <c r="BT109" s="1">
        <v>84</v>
      </c>
      <c r="BU109" s="1">
        <v>3</v>
      </c>
      <c r="BV109" s="1">
        <v>1</v>
      </c>
      <c r="BW109" s="1">
        <v>5</v>
      </c>
      <c r="BX109" s="1">
        <v>17</v>
      </c>
      <c r="BY109" s="1">
        <v>82</v>
      </c>
      <c r="BZ109" s="1">
        <v>2</v>
      </c>
    </row>
    <row r="110" spans="1:78">
      <c r="A110" s="16">
        <v>10</v>
      </c>
      <c r="B110" s="59" t="s">
        <v>182</v>
      </c>
      <c r="C110" s="60" t="s">
        <v>41</v>
      </c>
      <c r="D110" s="59" t="s">
        <v>319</v>
      </c>
      <c r="E110" s="59" t="s">
        <v>316</v>
      </c>
      <c r="F110" s="59" t="s">
        <v>618</v>
      </c>
      <c r="G110" s="59" t="s">
        <v>318</v>
      </c>
      <c r="H110" s="11">
        <v>1386274</v>
      </c>
      <c r="I110" s="11">
        <v>1587607</v>
      </c>
      <c r="J110" s="11">
        <v>16140</v>
      </c>
      <c r="K110" s="52">
        <v>0</v>
      </c>
      <c r="L110" s="52">
        <v>84802</v>
      </c>
      <c r="M110" s="52">
        <v>378684</v>
      </c>
      <c r="N110" s="52">
        <v>0</v>
      </c>
      <c r="O110" s="52">
        <v>0</v>
      </c>
      <c r="P110" s="52">
        <v>127323</v>
      </c>
      <c r="Q110" s="52">
        <v>0</v>
      </c>
      <c r="R110" s="11">
        <v>369033</v>
      </c>
      <c r="S110" s="11">
        <v>91953</v>
      </c>
      <c r="T110" s="11">
        <v>0</v>
      </c>
      <c r="U110" s="11">
        <v>4038</v>
      </c>
      <c r="V110" s="11">
        <v>1173932</v>
      </c>
      <c r="W110" s="13">
        <v>0.28999999999999998</v>
      </c>
      <c r="X110" s="11">
        <v>0</v>
      </c>
      <c r="Y110" s="26">
        <f>116989/1169894</f>
        <v>9.9999658088681539E-2</v>
      </c>
      <c r="Z110" s="11">
        <v>116993</v>
      </c>
      <c r="AA110" s="11">
        <v>0</v>
      </c>
      <c r="AB110" s="11">
        <f>1766+42</f>
        <v>1808</v>
      </c>
      <c r="AC110" s="11">
        <v>32733</v>
      </c>
      <c r="AD110" s="11">
        <v>2012</v>
      </c>
      <c r="AE110" s="11">
        <v>1057</v>
      </c>
      <c r="AF110" s="11">
        <v>15213</v>
      </c>
      <c r="AG110" s="11">
        <v>11490</v>
      </c>
      <c r="AH110" s="11">
        <v>7345</v>
      </c>
      <c r="AI110" s="11">
        <v>0</v>
      </c>
      <c r="AJ110" s="11">
        <v>20524</v>
      </c>
      <c r="AK110" s="11">
        <f>963+1972+4158</f>
        <v>7093</v>
      </c>
      <c r="AL110" s="11">
        <v>1446</v>
      </c>
      <c r="AM110" s="11">
        <v>202</v>
      </c>
      <c r="AN110" s="11">
        <v>0</v>
      </c>
      <c r="AO110" s="11">
        <v>2883</v>
      </c>
      <c r="AP110" s="11">
        <v>21639</v>
      </c>
      <c r="AQ110" s="11">
        <v>0</v>
      </c>
      <c r="AR110" s="11">
        <v>133350</v>
      </c>
      <c r="AS110" s="11">
        <v>148418</v>
      </c>
      <c r="AT110" s="11">
        <v>0</v>
      </c>
      <c r="AU110" s="11">
        <v>0</v>
      </c>
      <c r="AV110" s="11">
        <v>12000</v>
      </c>
      <c r="AW110" s="11">
        <v>0</v>
      </c>
      <c r="AX110" s="11">
        <v>11488</v>
      </c>
      <c r="AY110" s="11">
        <v>0</v>
      </c>
      <c r="AZ110" s="11">
        <v>0</v>
      </c>
      <c r="BA110" s="11">
        <v>0</v>
      </c>
      <c r="BB110" s="11">
        <v>0</v>
      </c>
      <c r="BC110" s="11">
        <v>411</v>
      </c>
      <c r="BD110" s="11">
        <v>0</v>
      </c>
      <c r="BE110" s="11">
        <f>500+7</f>
        <v>507</v>
      </c>
      <c r="BF110" s="11">
        <v>-17</v>
      </c>
      <c r="BG110" s="11">
        <v>-31</v>
      </c>
      <c r="BH110" s="11">
        <v>-4</v>
      </c>
      <c r="BI110" s="11">
        <v>0</v>
      </c>
      <c r="BJ110" s="11">
        <f t="shared" si="9"/>
        <v>866</v>
      </c>
      <c r="BK110" s="1">
        <v>0</v>
      </c>
      <c r="BL110" s="1">
        <v>0</v>
      </c>
      <c r="BM110" s="1">
        <v>0</v>
      </c>
      <c r="BN110" s="1">
        <v>2</v>
      </c>
      <c r="BO110" s="1">
        <v>0</v>
      </c>
      <c r="BP110" s="1">
        <v>0</v>
      </c>
      <c r="BQ110" s="1">
        <v>0</v>
      </c>
      <c r="BR110" s="1">
        <v>0</v>
      </c>
      <c r="BS110" s="1">
        <v>2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</row>
    <row r="111" spans="1:78">
      <c r="A111" s="16">
        <v>10</v>
      </c>
      <c r="B111" s="59" t="s">
        <v>260</v>
      </c>
      <c r="C111" s="60" t="s">
        <v>328</v>
      </c>
      <c r="D111" s="59" t="s">
        <v>507</v>
      </c>
      <c r="E111" s="59" t="s">
        <v>314</v>
      </c>
      <c r="F111" s="59" t="s">
        <v>121</v>
      </c>
      <c r="G111" s="59" t="s">
        <v>315</v>
      </c>
      <c r="H111" s="11">
        <v>2726049</v>
      </c>
      <c r="I111" s="11">
        <v>2733472</v>
      </c>
      <c r="J111" s="11">
        <v>50087</v>
      </c>
      <c r="K111" s="52">
        <v>0</v>
      </c>
      <c r="L111" s="52">
        <v>105012</v>
      </c>
      <c r="M111" s="52">
        <v>731058</v>
      </c>
      <c r="N111" s="52">
        <v>0</v>
      </c>
      <c r="O111" s="52">
        <v>0</v>
      </c>
      <c r="P111" s="52">
        <v>183119</v>
      </c>
      <c r="Q111" s="52">
        <v>0</v>
      </c>
      <c r="R111" s="11">
        <v>1044370</v>
      </c>
      <c r="S111" s="11">
        <v>324635</v>
      </c>
      <c r="T111" s="11">
        <v>0</v>
      </c>
      <c r="U111" s="11">
        <v>0</v>
      </c>
      <c r="V111" s="11">
        <v>2653752</v>
      </c>
      <c r="W111" s="13">
        <v>0.03</v>
      </c>
      <c r="X111" s="11">
        <v>0</v>
      </c>
      <c r="Y111" s="26">
        <f>265375/2653752</f>
        <v>9.9999924635007342E-2</v>
      </c>
      <c r="Z111" s="11">
        <v>264487</v>
      </c>
      <c r="AA111" s="11">
        <v>0</v>
      </c>
      <c r="AB111" s="11">
        <f>6959+396</f>
        <v>7355</v>
      </c>
      <c r="AC111" s="11">
        <v>69038</v>
      </c>
      <c r="AD111" s="11">
        <v>5260</v>
      </c>
      <c r="AE111" s="11">
        <v>0</v>
      </c>
      <c r="AF111" s="11">
        <f>9600+3590</f>
        <v>13190</v>
      </c>
      <c r="AG111" s="11">
        <v>5123</v>
      </c>
      <c r="AH111" s="11">
        <v>17970</v>
      </c>
      <c r="AI111" s="11">
        <v>1800</v>
      </c>
      <c r="AJ111" s="11">
        <v>0</v>
      </c>
      <c r="AK111" s="11">
        <f>2683+3770+5239</f>
        <v>11692</v>
      </c>
      <c r="AL111" s="11">
        <v>2087</v>
      </c>
      <c r="AM111" s="11">
        <v>808</v>
      </c>
      <c r="AN111" s="11"/>
      <c r="AO111" s="11">
        <v>0</v>
      </c>
      <c r="AP111" s="11">
        <v>6307</v>
      </c>
      <c r="AQ111" s="11">
        <v>31798</v>
      </c>
      <c r="AR111" s="11">
        <v>144715</v>
      </c>
      <c r="AS111" s="11">
        <v>148616</v>
      </c>
      <c r="AT111" s="11">
        <v>0</v>
      </c>
      <c r="AU111" s="11">
        <v>0</v>
      </c>
      <c r="AV111" s="11">
        <v>141449</v>
      </c>
      <c r="AW111" s="11">
        <v>7651</v>
      </c>
      <c r="AX111" s="11">
        <v>7757</v>
      </c>
      <c r="AY111" s="11">
        <v>0</v>
      </c>
      <c r="AZ111" s="11">
        <v>0</v>
      </c>
      <c r="BA111" s="11">
        <v>0</v>
      </c>
      <c r="BB111" s="11">
        <v>763</v>
      </c>
      <c r="BC111" s="11">
        <v>366</v>
      </c>
      <c r="BD111" s="11">
        <v>0</v>
      </c>
      <c r="BE111" s="11">
        <v>8</v>
      </c>
      <c r="BF111" s="11">
        <v>-59</v>
      </c>
      <c r="BG111" s="11">
        <v>-139</v>
      </c>
      <c r="BH111" s="11">
        <v>-103</v>
      </c>
      <c r="BI111" s="11">
        <v>-1</v>
      </c>
      <c r="BJ111" s="11">
        <f t="shared" si="9"/>
        <v>835</v>
      </c>
      <c r="BK111" s="1">
        <v>0</v>
      </c>
      <c r="BL111" s="1">
        <v>15</v>
      </c>
      <c r="BM111" s="1">
        <v>14</v>
      </c>
      <c r="BN111" s="1">
        <v>38</v>
      </c>
      <c r="BO111" s="1">
        <v>16</v>
      </c>
      <c r="BP111" s="1">
        <v>8</v>
      </c>
      <c r="BQ111" s="1">
        <v>0</v>
      </c>
      <c r="BR111" s="1">
        <v>0</v>
      </c>
      <c r="BS111" s="1">
        <v>1</v>
      </c>
      <c r="BT111" s="1">
        <v>0</v>
      </c>
      <c r="BU111" s="1">
        <v>12</v>
      </c>
      <c r="BV111" s="1">
        <v>0</v>
      </c>
      <c r="BW111" s="1">
        <v>1</v>
      </c>
      <c r="BX111" s="1">
        <v>9</v>
      </c>
      <c r="BY111" s="1">
        <v>3</v>
      </c>
      <c r="BZ111" s="1">
        <v>24</v>
      </c>
    </row>
    <row r="112" spans="1:78">
      <c r="A112" s="16">
        <v>10</v>
      </c>
      <c r="B112" s="59" t="s">
        <v>265</v>
      </c>
      <c r="C112" s="60" t="s">
        <v>339</v>
      </c>
      <c r="D112" s="59" t="s">
        <v>521</v>
      </c>
      <c r="E112" s="59" t="s">
        <v>314</v>
      </c>
      <c r="F112" s="59" t="s">
        <v>121</v>
      </c>
      <c r="G112" s="59" t="s">
        <v>315</v>
      </c>
      <c r="H112" s="11">
        <v>4593192</v>
      </c>
      <c r="I112" s="11">
        <v>4599069</v>
      </c>
      <c r="J112" s="11">
        <v>68897</v>
      </c>
      <c r="K112" s="52">
        <v>530282</v>
      </c>
      <c r="L112" s="52">
        <v>256193</v>
      </c>
      <c r="M112" s="52">
        <v>748914</v>
      </c>
      <c r="N112" s="52">
        <v>0</v>
      </c>
      <c r="O112" s="52">
        <v>0</v>
      </c>
      <c r="P112" s="52">
        <v>0</v>
      </c>
      <c r="Q112" s="52">
        <v>295486</v>
      </c>
      <c r="R112" s="11">
        <v>2174743</v>
      </c>
      <c r="S112" s="11">
        <v>139084</v>
      </c>
      <c r="T112" s="11">
        <v>0</v>
      </c>
      <c r="U112" s="11">
        <v>0</v>
      </c>
      <c r="V112" s="11">
        <v>4491564</v>
      </c>
      <c r="W112" s="13">
        <v>8.43E-2</v>
      </c>
      <c r="X112" s="11">
        <v>0</v>
      </c>
      <c r="Y112" s="26">
        <f>341818/4489027</f>
        <v>7.6145231472209904E-2</v>
      </c>
      <c r="Z112" s="11">
        <v>341590</v>
      </c>
      <c r="AA112" s="11">
        <v>0</v>
      </c>
      <c r="AB112" s="11">
        <f>5877+395</f>
        <v>6272</v>
      </c>
      <c r="AC112" s="11">
        <v>85407</v>
      </c>
      <c r="AD112" s="11">
        <v>6800</v>
      </c>
      <c r="AE112" s="11">
        <v>10535</v>
      </c>
      <c r="AF112" s="11">
        <f>12000+4364</f>
        <v>16364</v>
      </c>
      <c r="AG112" s="11">
        <v>0</v>
      </c>
      <c r="AH112" s="11">
        <v>15395</v>
      </c>
      <c r="AI112" s="11">
        <v>5759</v>
      </c>
      <c r="AJ112" s="11">
        <v>0</v>
      </c>
      <c r="AK112" s="11">
        <f>3669+10345+7858</f>
        <v>21872</v>
      </c>
      <c r="AL112" s="11">
        <v>2470</v>
      </c>
      <c r="AM112" s="11">
        <v>214</v>
      </c>
      <c r="AN112" s="11">
        <v>0</v>
      </c>
      <c r="AO112" s="11">
        <v>0</v>
      </c>
      <c r="AP112" s="11">
        <v>12721</v>
      </c>
      <c r="AQ112" s="11">
        <v>49505</v>
      </c>
      <c r="AR112" s="11">
        <v>198361</v>
      </c>
      <c r="AS112" s="11">
        <v>198157</v>
      </c>
      <c r="AT112" s="11">
        <v>0</v>
      </c>
      <c r="AU112" s="11">
        <v>0</v>
      </c>
      <c r="AV112" s="11">
        <v>143628</v>
      </c>
      <c r="AW112" s="11">
        <v>0</v>
      </c>
      <c r="AX112" s="11">
        <v>30275</v>
      </c>
      <c r="AY112" s="11">
        <v>0</v>
      </c>
      <c r="AZ112" s="11">
        <v>0</v>
      </c>
      <c r="BA112" s="11">
        <v>0</v>
      </c>
      <c r="BB112" s="11">
        <v>604</v>
      </c>
      <c r="BC112" s="11">
        <v>356</v>
      </c>
      <c r="BD112" s="11">
        <v>1</v>
      </c>
      <c r="BE112" s="11">
        <v>19</v>
      </c>
      <c r="BF112" s="11">
        <v>-54</v>
      </c>
      <c r="BG112" s="11">
        <v>-92</v>
      </c>
      <c r="BH112" s="11">
        <v>-111</v>
      </c>
      <c r="BI112" s="11">
        <v>0</v>
      </c>
      <c r="BJ112" s="11">
        <f t="shared" si="9"/>
        <v>723</v>
      </c>
      <c r="BK112" s="1">
        <v>0</v>
      </c>
      <c r="BL112" s="1">
        <v>56</v>
      </c>
      <c r="BM112" s="1">
        <v>18</v>
      </c>
      <c r="BN112" s="1">
        <v>31</v>
      </c>
      <c r="BO112" s="1">
        <v>3</v>
      </c>
      <c r="BP112" s="1">
        <v>2</v>
      </c>
      <c r="BQ112" s="1">
        <v>1</v>
      </c>
      <c r="BR112" s="1">
        <v>1</v>
      </c>
      <c r="BS112" s="1">
        <v>15</v>
      </c>
      <c r="BT112" s="1">
        <v>13</v>
      </c>
      <c r="BU112" s="1">
        <v>0</v>
      </c>
      <c r="BV112" s="1">
        <v>0</v>
      </c>
      <c r="BW112" s="1">
        <v>14</v>
      </c>
      <c r="BX112" s="1">
        <v>17</v>
      </c>
      <c r="BY112" s="1">
        <v>19</v>
      </c>
      <c r="BZ112" s="1">
        <v>3</v>
      </c>
    </row>
    <row r="113" spans="1:78">
      <c r="A113" s="16">
        <v>10</v>
      </c>
      <c r="B113" s="59" t="s">
        <v>353</v>
      </c>
      <c r="C113" s="60" t="s">
        <v>569</v>
      </c>
      <c r="D113" s="59" t="s">
        <v>75</v>
      </c>
      <c r="E113" s="59" t="s">
        <v>314</v>
      </c>
      <c r="F113" s="59" t="s">
        <v>618</v>
      </c>
      <c r="G113" s="59" t="s">
        <v>315</v>
      </c>
      <c r="H113" s="11">
        <v>8403549</v>
      </c>
      <c r="I113" s="11">
        <v>8438308</v>
      </c>
      <c r="J113" s="11">
        <v>27669</v>
      </c>
      <c r="K113" s="52">
        <v>1813498</v>
      </c>
      <c r="L113" s="52">
        <v>252038</v>
      </c>
      <c r="M113" s="52">
        <v>3024716</v>
      </c>
      <c r="N113" s="52">
        <v>0</v>
      </c>
      <c r="O113" s="52">
        <v>0</v>
      </c>
      <c r="P113" s="52">
        <v>311336</v>
      </c>
      <c r="Q113" s="52">
        <v>0</v>
      </c>
      <c r="R113" s="11">
        <v>1819225</v>
      </c>
      <c r="S113" s="11">
        <v>779881</v>
      </c>
      <c r="T113" s="11">
        <v>15403</v>
      </c>
      <c r="U113" s="11">
        <v>58929</v>
      </c>
      <c r="V113" s="11">
        <v>8361507</v>
      </c>
      <c r="W113" s="13">
        <v>0.04</v>
      </c>
      <c r="X113" s="11">
        <v>1808559</v>
      </c>
      <c r="Y113" s="26">
        <f>279523/6162280</f>
        <v>4.5360321179823054E-2</v>
      </c>
      <c r="Z113" s="11">
        <v>279523</v>
      </c>
      <c r="AA113" s="11">
        <v>0</v>
      </c>
      <c r="AB113" s="11">
        <f>34759+332</f>
        <v>35091</v>
      </c>
      <c r="AC113" s="11">
        <v>113184</v>
      </c>
      <c r="AD113" s="11">
        <v>8381</v>
      </c>
      <c r="AE113" s="11">
        <v>14094</v>
      </c>
      <c r="AF113" s="11">
        <v>12857</v>
      </c>
      <c r="AG113" s="11">
        <v>8974</v>
      </c>
      <c r="AH113" s="11">
        <v>12898</v>
      </c>
      <c r="AI113" s="11">
        <v>0</v>
      </c>
      <c r="AJ113" s="11">
        <v>0</v>
      </c>
      <c r="AK113" s="11">
        <f>4662+20264+10628</f>
        <v>35554</v>
      </c>
      <c r="AL113" s="11">
        <v>5665</v>
      </c>
      <c r="AM113" s="11">
        <v>339</v>
      </c>
      <c r="AN113" s="11">
        <v>0</v>
      </c>
      <c r="AO113" s="11">
        <v>1217</v>
      </c>
      <c r="AP113" s="11">
        <v>15368</v>
      </c>
      <c r="AQ113" s="11">
        <v>38661</v>
      </c>
      <c r="AR113" s="11">
        <v>246546</v>
      </c>
      <c r="AS113" s="11">
        <v>249370</v>
      </c>
      <c r="AT113" s="11">
        <v>0</v>
      </c>
      <c r="AU113" s="11">
        <v>0</v>
      </c>
      <c r="AV113" s="11">
        <v>143628</v>
      </c>
      <c r="AW113" s="11">
        <v>0</v>
      </c>
      <c r="AX113" s="11">
        <v>30208</v>
      </c>
      <c r="AY113" s="11">
        <v>0</v>
      </c>
      <c r="AZ113" s="11">
        <v>0</v>
      </c>
      <c r="BA113" s="11">
        <v>0</v>
      </c>
      <c r="BB113" s="11">
        <v>1371</v>
      </c>
      <c r="BC113" s="11">
        <v>723</v>
      </c>
      <c r="BD113" s="11">
        <v>0</v>
      </c>
      <c r="BE113" s="11">
        <f>2+7</f>
        <v>9</v>
      </c>
      <c r="BF113" s="11">
        <v>-152</v>
      </c>
      <c r="BG113" s="11">
        <v>-239</v>
      </c>
      <c r="BH113" s="11">
        <v>-173</v>
      </c>
      <c r="BI113" s="11">
        <v>-1</v>
      </c>
      <c r="BJ113" s="11">
        <f t="shared" si="9"/>
        <v>1538</v>
      </c>
      <c r="BK113" s="1">
        <v>1</v>
      </c>
      <c r="BL113" s="1">
        <v>30</v>
      </c>
      <c r="BM113" s="1">
        <v>26</v>
      </c>
      <c r="BN113" s="1">
        <v>114</v>
      </c>
      <c r="BO113" s="1">
        <v>1</v>
      </c>
      <c r="BP113" s="1">
        <v>3</v>
      </c>
      <c r="BQ113" s="1">
        <v>0</v>
      </c>
      <c r="BR113" s="1">
        <v>2</v>
      </c>
      <c r="BS113" s="1">
        <v>15</v>
      </c>
      <c r="BT113" s="1">
        <v>114</v>
      </c>
      <c r="BU113" s="1">
        <v>21</v>
      </c>
      <c r="BV113" s="1">
        <v>2</v>
      </c>
      <c r="BW113" s="1">
        <v>1</v>
      </c>
      <c r="BX113" s="1">
        <v>23</v>
      </c>
      <c r="BY113" s="1">
        <v>212</v>
      </c>
      <c r="BZ113" s="1">
        <v>1</v>
      </c>
    </row>
    <row r="114" spans="1:78">
      <c r="A114" s="16">
        <v>10</v>
      </c>
      <c r="B114" s="59" t="s">
        <v>419</v>
      </c>
      <c r="C114" s="60" t="s">
        <v>328</v>
      </c>
      <c r="D114" s="59" t="s">
        <v>73</v>
      </c>
      <c r="E114" s="59" t="s">
        <v>314</v>
      </c>
      <c r="F114" s="59" t="s">
        <v>618</v>
      </c>
      <c r="G114" s="59" t="s">
        <v>315</v>
      </c>
      <c r="H114" s="11">
        <v>22430981</v>
      </c>
      <c r="I114" s="11">
        <v>22504580</v>
      </c>
      <c r="J114" s="11">
        <v>471505</v>
      </c>
      <c r="K114" s="52">
        <v>7079244</v>
      </c>
      <c r="L114" s="52">
        <v>476267</v>
      </c>
      <c r="M114" s="52">
        <v>7283153</v>
      </c>
      <c r="N114" s="52">
        <v>0</v>
      </c>
      <c r="O114" s="52">
        <v>7522</v>
      </c>
      <c r="P114" s="52">
        <v>797152</v>
      </c>
      <c r="Q114" s="52">
        <v>0</v>
      </c>
      <c r="R114" s="11">
        <v>3340368</v>
      </c>
      <c r="S114" s="11">
        <v>1576692</v>
      </c>
      <c r="T114" s="11">
        <v>88314</v>
      </c>
      <c r="U114" s="11">
        <v>70867</v>
      </c>
      <c r="V114" s="11">
        <v>21837860</v>
      </c>
      <c r="W114" s="13">
        <v>2.4899999999999999E-2</v>
      </c>
      <c r="X114" s="11">
        <v>7079244</v>
      </c>
      <c r="Y114" s="26">
        <f>880218/14670302</f>
        <v>5.9999991820209292E-2</v>
      </c>
      <c r="Z114" s="11">
        <v>792757</v>
      </c>
      <c r="AA114" s="11">
        <v>0</v>
      </c>
      <c r="AB114" s="11">
        <f>70766+12060+1559</f>
        <v>84385</v>
      </c>
      <c r="AC114" s="11">
        <v>469469</v>
      </c>
      <c r="AD114" s="11">
        <v>35102</v>
      </c>
      <c r="AE114" s="11">
        <v>91266</v>
      </c>
      <c r="AF114" s="11">
        <f>41850+2906</f>
        <v>44756</v>
      </c>
      <c r="AG114" s="11">
        <v>12375</v>
      </c>
      <c r="AH114" s="11">
        <v>31420</v>
      </c>
      <c r="AI114" s="11">
        <v>360</v>
      </c>
      <c r="AJ114" s="11">
        <v>20026</v>
      </c>
      <c r="AK114" s="11">
        <f>10923+24698+16810</f>
        <v>52431</v>
      </c>
      <c r="AL114" s="11">
        <v>11819</v>
      </c>
      <c r="AM114" s="11">
        <v>707</v>
      </c>
      <c r="AN114" s="11">
        <v>0</v>
      </c>
      <c r="AO114" s="11">
        <v>16666</v>
      </c>
      <c r="AP114" s="11">
        <v>20602</v>
      </c>
      <c r="AQ114" s="11">
        <v>0</v>
      </c>
      <c r="AR114" s="11">
        <v>865168</v>
      </c>
      <c r="AS114" s="11">
        <v>865212</v>
      </c>
      <c r="AT114" s="11">
        <v>466</v>
      </c>
      <c r="AU114" s="11">
        <v>0</v>
      </c>
      <c r="AV114" s="11">
        <v>143628</v>
      </c>
      <c r="AW114" s="11">
        <v>0</v>
      </c>
      <c r="AX114" s="11">
        <v>138766</v>
      </c>
      <c r="AY114" s="11">
        <v>0</v>
      </c>
      <c r="AZ114" s="11">
        <v>0</v>
      </c>
      <c r="BA114" s="11">
        <v>0</v>
      </c>
      <c r="BB114" s="11">
        <v>2869</v>
      </c>
      <c r="BC114" s="11">
        <v>1653</v>
      </c>
      <c r="BD114" s="11">
        <v>0</v>
      </c>
      <c r="BE114" s="11">
        <f>11-2</f>
        <v>9</v>
      </c>
      <c r="BF114" s="11">
        <v>-235</v>
      </c>
      <c r="BG114" s="11">
        <v>-733</v>
      </c>
      <c r="BH114" s="11">
        <v>-448</v>
      </c>
      <c r="BI114" s="11">
        <v>0</v>
      </c>
      <c r="BJ114" s="11">
        <f t="shared" si="9"/>
        <v>3115</v>
      </c>
      <c r="BK114" s="1">
        <v>25</v>
      </c>
      <c r="BL114" s="1">
        <v>112</v>
      </c>
      <c r="BM114" s="1">
        <v>74</v>
      </c>
      <c r="BN114" s="1">
        <v>243</v>
      </c>
      <c r="BO114" s="1">
        <v>1</v>
      </c>
      <c r="BP114" s="1">
        <v>11</v>
      </c>
      <c r="BQ114" s="1">
        <v>1</v>
      </c>
      <c r="BR114" s="1">
        <v>1</v>
      </c>
      <c r="BS114" s="1">
        <v>20</v>
      </c>
      <c r="BT114" s="1">
        <v>154</v>
      </c>
      <c r="BU114" s="1">
        <v>3</v>
      </c>
      <c r="BV114" s="1">
        <v>6</v>
      </c>
      <c r="BW114" s="1">
        <v>9</v>
      </c>
      <c r="BX114" s="1">
        <v>58</v>
      </c>
      <c r="BY114" s="1">
        <v>285</v>
      </c>
      <c r="BZ114" s="1">
        <v>12</v>
      </c>
    </row>
    <row r="115" spans="1:78">
      <c r="A115" s="16">
        <v>10</v>
      </c>
      <c r="B115" s="59" t="s">
        <v>433</v>
      </c>
      <c r="C115" s="60" t="s">
        <v>175</v>
      </c>
      <c r="D115" s="59" t="s">
        <v>615</v>
      </c>
      <c r="E115" s="59" t="s">
        <v>316</v>
      </c>
      <c r="F115" s="59" t="s">
        <v>479</v>
      </c>
      <c r="G115" s="59" t="s">
        <v>318</v>
      </c>
      <c r="H115" s="11">
        <v>3321613</v>
      </c>
      <c r="I115" s="11">
        <v>3486223</v>
      </c>
      <c r="J115" s="11">
        <v>41373</v>
      </c>
      <c r="K115" s="52">
        <v>1049796</v>
      </c>
      <c r="L115" s="52">
        <v>8869</v>
      </c>
      <c r="M115" s="52">
        <v>829895</v>
      </c>
      <c r="N115" s="52">
        <v>0</v>
      </c>
      <c r="O115" s="52">
        <v>0</v>
      </c>
      <c r="P115" s="52">
        <v>105313</v>
      </c>
      <c r="Q115" s="52">
        <v>0</v>
      </c>
      <c r="R115" s="11">
        <v>413447</v>
      </c>
      <c r="S115" s="11">
        <v>226279</v>
      </c>
      <c r="T115" s="11">
        <v>0</v>
      </c>
      <c r="U115" s="11">
        <v>0</v>
      </c>
      <c r="V115" s="11">
        <v>2826550</v>
      </c>
      <c r="W115" s="13">
        <v>0.19400000000000001</v>
      </c>
      <c r="X115" s="11">
        <v>1049796</v>
      </c>
      <c r="Y115" s="26">
        <f>176014/1760143</f>
        <v>9.9999829559302852E-2</v>
      </c>
      <c r="Z115" s="11">
        <v>175374</v>
      </c>
      <c r="AA115" s="11">
        <v>0</v>
      </c>
      <c r="AB115" s="11">
        <f>4021+82</f>
        <v>4103</v>
      </c>
      <c r="AC115" s="11">
        <v>35645</v>
      </c>
      <c r="AD115" s="11">
        <v>2164</v>
      </c>
      <c r="AE115" s="11">
        <v>0</v>
      </c>
      <c r="AF115" s="11">
        <f>6231+192</f>
        <v>6423</v>
      </c>
      <c r="AG115" s="11">
        <v>5956</v>
      </c>
      <c r="AH115" s="11">
        <v>6295</v>
      </c>
      <c r="AI115" s="11">
        <v>783</v>
      </c>
      <c r="AJ115" s="11">
        <v>5261</v>
      </c>
      <c r="AK115" s="11">
        <f>5221+3664+4526</f>
        <v>13411</v>
      </c>
      <c r="AL115" s="11">
        <v>2120</v>
      </c>
      <c r="AM115" s="11">
        <v>346</v>
      </c>
      <c r="AN115" s="11"/>
      <c r="AO115" s="11">
        <v>2325</v>
      </c>
      <c r="AP115" s="11">
        <v>3888</v>
      </c>
      <c r="AQ115" s="11">
        <v>0</v>
      </c>
      <c r="AR115" s="11">
        <v>99864</v>
      </c>
      <c r="AS115" s="11">
        <v>116996</v>
      </c>
      <c r="AT115" s="11">
        <v>1175</v>
      </c>
      <c r="AU115" s="11">
        <v>0</v>
      </c>
      <c r="AV115" s="11">
        <v>83291</v>
      </c>
      <c r="AW115" s="11">
        <v>0</v>
      </c>
      <c r="AX115" s="11">
        <v>103</v>
      </c>
      <c r="AY115" s="11">
        <v>0</v>
      </c>
      <c r="AZ115" s="11">
        <v>0</v>
      </c>
      <c r="BA115" s="11">
        <v>0</v>
      </c>
      <c r="BB115" s="11">
        <v>142</v>
      </c>
      <c r="BC115" s="11">
        <v>376</v>
      </c>
      <c r="BD115" s="11">
        <v>0</v>
      </c>
      <c r="BE115" s="11">
        <f>253+4</f>
        <v>257</v>
      </c>
      <c r="BF115" s="11">
        <v>-38</v>
      </c>
      <c r="BG115" s="11">
        <v>-79</v>
      </c>
      <c r="BH115" s="11">
        <v>-7</v>
      </c>
      <c r="BI115" s="11">
        <v>0</v>
      </c>
      <c r="BJ115" s="11">
        <f t="shared" si="9"/>
        <v>651</v>
      </c>
      <c r="BK115" s="1">
        <v>0</v>
      </c>
      <c r="BL115" s="1">
        <v>5</v>
      </c>
      <c r="BM115" s="1">
        <v>0</v>
      </c>
      <c r="BN115" s="1">
        <v>2</v>
      </c>
      <c r="BO115" s="1">
        <v>0</v>
      </c>
      <c r="BP115" s="1">
        <v>0</v>
      </c>
      <c r="BQ115" s="1"/>
      <c r="BR115" s="1"/>
      <c r="BS115" s="1"/>
      <c r="BT115" s="1"/>
      <c r="BU115" s="1"/>
      <c r="BV115" s="1"/>
      <c r="BW115" s="1"/>
      <c r="BX115" s="1"/>
      <c r="BY115" s="1"/>
      <c r="BZ115" s="1"/>
    </row>
    <row r="116" spans="1:78">
      <c r="A116" s="16">
        <v>10</v>
      </c>
      <c r="B116" s="59" t="s">
        <v>439</v>
      </c>
      <c r="C116" s="60" t="s">
        <v>642</v>
      </c>
      <c r="D116" s="59" t="s">
        <v>430</v>
      </c>
      <c r="E116" s="59" t="s">
        <v>316</v>
      </c>
      <c r="F116" s="59" t="s">
        <v>479</v>
      </c>
      <c r="G116" s="59" t="s">
        <v>318</v>
      </c>
      <c r="H116" s="11">
        <v>8863374</v>
      </c>
      <c r="I116" s="11">
        <v>8876314</v>
      </c>
      <c r="J116" s="11">
        <v>238915</v>
      </c>
      <c r="K116" s="52">
        <v>4389351</v>
      </c>
      <c r="L116" s="52">
        <v>669376</v>
      </c>
      <c r="M116" s="52">
        <v>1585441</v>
      </c>
      <c r="N116" s="52">
        <v>0</v>
      </c>
      <c r="O116" s="52">
        <v>0</v>
      </c>
      <c r="P116" s="52">
        <v>327613</v>
      </c>
      <c r="Q116" s="52">
        <v>0</v>
      </c>
      <c r="R116" s="11">
        <v>991815</v>
      </c>
      <c r="S116" s="11">
        <v>367660</v>
      </c>
      <c r="T116" s="11">
        <v>0</v>
      </c>
      <c r="U116" s="11">
        <v>0</v>
      </c>
      <c r="V116" s="11">
        <v>8831021</v>
      </c>
      <c r="W116" s="13">
        <v>0.03</v>
      </c>
      <c r="X116" s="11">
        <v>4389351</v>
      </c>
      <c r="Y116" s="26">
        <f>437019/4370190</f>
        <v>0.1</v>
      </c>
      <c r="Z116" s="11">
        <v>437019</v>
      </c>
      <c r="AA116" s="11">
        <v>0</v>
      </c>
      <c r="AB116" s="11">
        <f>12385+1116+409</f>
        <v>13910</v>
      </c>
      <c r="AC116" s="11">
        <v>184368</v>
      </c>
      <c r="AD116" s="11">
        <v>14255</v>
      </c>
      <c r="AE116" s="11">
        <v>16517</v>
      </c>
      <c r="AF116" s="11">
        <f>14793+5585</f>
        <v>20378</v>
      </c>
      <c r="AG116" s="11">
        <v>12020</v>
      </c>
      <c r="AH116" s="11">
        <v>8861</v>
      </c>
      <c r="AI116" s="11">
        <v>1513</v>
      </c>
      <c r="AJ116" s="11">
        <v>0</v>
      </c>
      <c r="AK116" s="11">
        <f>4893+11033+11224</f>
        <v>27150</v>
      </c>
      <c r="AL116" s="11">
        <v>100</v>
      </c>
      <c r="AM116" s="11">
        <v>0</v>
      </c>
      <c r="AN116" s="11"/>
      <c r="AO116" s="11">
        <v>6977</v>
      </c>
      <c r="AP116" s="11">
        <v>2493</v>
      </c>
      <c r="AQ116" s="11">
        <v>64528</v>
      </c>
      <c r="AR116" s="11">
        <v>318441</v>
      </c>
      <c r="AS116" s="11">
        <v>331395</v>
      </c>
      <c r="AT116" s="11">
        <v>0</v>
      </c>
      <c r="AU116" s="11">
        <v>0</v>
      </c>
      <c r="AV116" s="11">
        <v>143628</v>
      </c>
      <c r="AW116" s="11">
        <v>0</v>
      </c>
      <c r="AX116" s="11">
        <v>42202</v>
      </c>
      <c r="AY116" s="11">
        <v>0</v>
      </c>
      <c r="AZ116" s="11">
        <v>0</v>
      </c>
      <c r="BA116" s="11">
        <v>0</v>
      </c>
      <c r="BB116" s="11">
        <v>1134</v>
      </c>
      <c r="BC116" s="11">
        <v>296</v>
      </c>
      <c r="BD116" s="11">
        <v>0</v>
      </c>
      <c r="BE116" s="11">
        <f>7-3</f>
        <v>4</v>
      </c>
      <c r="BF116" s="11">
        <v>-78</v>
      </c>
      <c r="BG116" s="11">
        <v>-223</v>
      </c>
      <c r="BH116" s="11">
        <v>-161</v>
      </c>
      <c r="BI116" s="11">
        <v>-2</v>
      </c>
      <c r="BJ116" s="11">
        <f t="shared" si="9"/>
        <v>970</v>
      </c>
      <c r="BK116" s="1">
        <v>18</v>
      </c>
      <c r="BL116" s="1">
        <v>28</v>
      </c>
      <c r="BM116" s="1">
        <v>12</v>
      </c>
      <c r="BN116" s="1">
        <v>55</v>
      </c>
      <c r="BO116" s="1">
        <v>58</v>
      </c>
      <c r="BP116" s="1">
        <v>8</v>
      </c>
      <c r="BQ116" s="1">
        <v>0</v>
      </c>
      <c r="BR116" s="1">
        <v>2</v>
      </c>
      <c r="BS116" s="1">
        <v>6</v>
      </c>
      <c r="BT116" s="1">
        <v>48</v>
      </c>
      <c r="BU116" s="1">
        <v>0</v>
      </c>
      <c r="BV116" s="1">
        <v>1</v>
      </c>
      <c r="BW116" s="1">
        <v>0</v>
      </c>
      <c r="BX116" s="1">
        <v>7</v>
      </c>
      <c r="BY116" s="1">
        <v>96</v>
      </c>
      <c r="BZ116" s="1">
        <v>2</v>
      </c>
    </row>
    <row r="117" spans="1:78">
      <c r="A117" s="16">
        <v>10</v>
      </c>
      <c r="B117" s="59" t="s">
        <v>453</v>
      </c>
      <c r="C117" s="60" t="s">
        <v>569</v>
      </c>
      <c r="D117" s="59" t="s">
        <v>226</v>
      </c>
      <c r="E117" s="59" t="s">
        <v>316</v>
      </c>
      <c r="F117" s="59" t="s">
        <v>618</v>
      </c>
      <c r="G117" s="59" t="s">
        <v>318</v>
      </c>
      <c r="H117" s="11">
        <v>5997792</v>
      </c>
      <c r="I117" s="11">
        <v>6031258</v>
      </c>
      <c r="J117" s="11">
        <v>115945</v>
      </c>
      <c r="K117" s="52">
        <v>1314145</v>
      </c>
      <c r="L117" s="52">
        <v>0</v>
      </c>
      <c r="M117" s="52">
        <v>0</v>
      </c>
      <c r="N117" s="52">
        <v>2314368</v>
      </c>
      <c r="O117" s="52">
        <v>0</v>
      </c>
      <c r="P117" s="52">
        <v>0</v>
      </c>
      <c r="Q117" s="52">
        <v>174745</v>
      </c>
      <c r="R117" s="11">
        <v>1123460</v>
      </c>
      <c r="S117" s="11">
        <v>537283</v>
      </c>
      <c r="T117" s="11">
        <v>1915</v>
      </c>
      <c r="U117" s="11">
        <v>11227</v>
      </c>
      <c r="V117" s="11">
        <v>5963658</v>
      </c>
      <c r="W117" s="13">
        <v>0.06</v>
      </c>
      <c r="X117" s="11">
        <v>1314145</v>
      </c>
      <c r="Y117" s="26">
        <f>444690/4636324</f>
        <v>9.5914349385418277E-2</v>
      </c>
      <c r="Z117" s="11">
        <v>439824</v>
      </c>
      <c r="AA117" s="11">
        <v>0</v>
      </c>
      <c r="AB117" s="11">
        <f>31222+3175+277</f>
        <v>34674</v>
      </c>
      <c r="AC117" s="11">
        <v>118124</v>
      </c>
      <c r="AD117" s="11">
        <v>9372</v>
      </c>
      <c r="AE117" s="11">
        <v>11642</v>
      </c>
      <c r="AF117" s="11">
        <f>22157+5968</f>
        <v>28125</v>
      </c>
      <c r="AG117" s="11">
        <v>11974</v>
      </c>
      <c r="AH117" s="11">
        <v>20685</v>
      </c>
      <c r="AI117" s="11">
        <v>0</v>
      </c>
      <c r="AJ117" s="11">
        <v>0</v>
      </c>
      <c r="AK117" s="11">
        <f>8593+16329+20452</f>
        <v>45374</v>
      </c>
      <c r="AL117" s="11">
        <v>7127</v>
      </c>
      <c r="AM117" s="11">
        <v>507</v>
      </c>
      <c r="AN117" s="11">
        <v>0</v>
      </c>
      <c r="AO117" s="11">
        <v>14214</v>
      </c>
      <c r="AP117" s="11">
        <v>9955</v>
      </c>
      <c r="AQ117" s="11">
        <v>0</v>
      </c>
      <c r="AR117" s="11">
        <v>318143</v>
      </c>
      <c r="AS117" s="11">
        <v>326150</v>
      </c>
      <c r="AT117" s="11">
        <v>0</v>
      </c>
      <c r="AU117" s="11">
        <v>0</v>
      </c>
      <c r="AV117" s="11">
        <v>143628</v>
      </c>
      <c r="AW117" s="11">
        <v>0</v>
      </c>
      <c r="AX117" s="11">
        <v>50183</v>
      </c>
      <c r="AY117" s="11">
        <v>0</v>
      </c>
      <c r="AZ117" s="11">
        <v>0</v>
      </c>
      <c r="BA117" s="11">
        <v>0</v>
      </c>
      <c r="BB117" s="11">
        <v>962</v>
      </c>
      <c r="BC117" s="11">
        <v>458</v>
      </c>
      <c r="BD117" s="11">
        <v>2</v>
      </c>
      <c r="BE117" s="11">
        <f>7-1</f>
        <v>6</v>
      </c>
      <c r="BF117" s="11">
        <v>-39</v>
      </c>
      <c r="BG117" s="11">
        <v>-67</v>
      </c>
      <c r="BH117" s="11">
        <v>-87</v>
      </c>
      <c r="BI117" s="11">
        <v>-1</v>
      </c>
      <c r="BJ117" s="11">
        <f t="shared" si="9"/>
        <v>1234</v>
      </c>
      <c r="BK117" s="1">
        <v>23</v>
      </c>
      <c r="BL117" s="1">
        <v>4</v>
      </c>
      <c r="BM117" s="1">
        <v>6</v>
      </c>
      <c r="BN117" s="1">
        <v>38</v>
      </c>
      <c r="BO117" s="1">
        <v>35</v>
      </c>
      <c r="BP117" s="1">
        <v>5</v>
      </c>
      <c r="BQ117" s="1">
        <v>0</v>
      </c>
      <c r="BR117" s="1">
        <v>1</v>
      </c>
      <c r="BS117" s="1">
        <v>2</v>
      </c>
      <c r="BT117" s="1">
        <v>22</v>
      </c>
      <c r="BU117" s="1">
        <v>14</v>
      </c>
      <c r="BV117" s="1">
        <v>0</v>
      </c>
      <c r="BW117" s="1">
        <v>0</v>
      </c>
      <c r="BX117" s="1">
        <v>12</v>
      </c>
      <c r="BY117" s="1">
        <v>35</v>
      </c>
      <c r="BZ117" s="1">
        <v>20</v>
      </c>
    </row>
    <row r="118" spans="1:78">
      <c r="A118" s="16">
        <v>10</v>
      </c>
      <c r="B118" s="59" t="s">
        <v>581</v>
      </c>
      <c r="C118" s="60" t="s">
        <v>169</v>
      </c>
      <c r="D118" s="59" t="s">
        <v>373</v>
      </c>
      <c r="E118" s="59" t="s">
        <v>316</v>
      </c>
      <c r="F118" s="59" t="s">
        <v>479</v>
      </c>
      <c r="G118" s="59" t="s">
        <v>318</v>
      </c>
      <c r="H118" s="11">
        <v>3624458</v>
      </c>
      <c r="I118" s="11">
        <v>3632390</v>
      </c>
      <c r="J118" s="11">
        <v>35865</v>
      </c>
      <c r="K118" s="52">
        <v>1351144</v>
      </c>
      <c r="L118" s="52">
        <v>160530</v>
      </c>
      <c r="M118" s="52">
        <v>765077</v>
      </c>
      <c r="N118" s="52">
        <v>0</v>
      </c>
      <c r="O118" s="52">
        <v>9655</v>
      </c>
      <c r="P118" s="52">
        <v>120779</v>
      </c>
      <c r="Q118" s="52">
        <v>0</v>
      </c>
      <c r="R118" s="11">
        <v>812685</v>
      </c>
      <c r="S118" s="11">
        <v>171686</v>
      </c>
      <c r="T118" s="11">
        <v>0</v>
      </c>
      <c r="U118" s="11">
        <v>0</v>
      </c>
      <c r="V118" s="11">
        <v>3618300</v>
      </c>
      <c r="W118" s="13">
        <v>0.12</v>
      </c>
      <c r="X118" s="11">
        <v>0</v>
      </c>
      <c r="Y118" s="26">
        <f>215383/3618301</f>
        <v>5.9526004055494554E-2</v>
      </c>
      <c r="Z118" s="11">
        <v>213890</v>
      </c>
      <c r="AA118" s="11">
        <v>0</v>
      </c>
      <c r="AB118" s="11">
        <f>7458+842+451</f>
        <v>8751</v>
      </c>
      <c r="AC118" s="11">
        <v>41645</v>
      </c>
      <c r="AD118" s="11">
        <v>0</v>
      </c>
      <c r="AE118" s="11">
        <v>0</v>
      </c>
      <c r="AF118" s="11">
        <f>7324+783</f>
        <v>8107</v>
      </c>
      <c r="AG118" s="11">
        <v>0</v>
      </c>
      <c r="AH118" s="11">
        <v>7862</v>
      </c>
      <c r="AI118" s="11">
        <v>0</v>
      </c>
      <c r="AJ118" s="11">
        <v>0</v>
      </c>
      <c r="AK118" s="11">
        <f>1972+5800+4901</f>
        <v>12673</v>
      </c>
      <c r="AL118" s="11">
        <v>4503</v>
      </c>
      <c r="AM118" s="11">
        <v>265</v>
      </c>
      <c r="AN118" s="11">
        <v>0</v>
      </c>
      <c r="AO118" s="11">
        <v>1033</v>
      </c>
      <c r="AP118" s="11">
        <v>2317</v>
      </c>
      <c r="AQ118" s="11">
        <v>0</v>
      </c>
      <c r="AR118" s="11">
        <v>91662</v>
      </c>
      <c r="AS118" s="11">
        <v>92636</v>
      </c>
      <c r="AT118" s="11">
        <v>0</v>
      </c>
      <c r="AU118" s="11">
        <v>0</v>
      </c>
      <c r="AV118" s="11">
        <v>143628</v>
      </c>
      <c r="AW118" s="11">
        <v>0</v>
      </c>
      <c r="AX118" s="11">
        <v>5420</v>
      </c>
      <c r="AY118" s="11">
        <v>0</v>
      </c>
      <c r="AZ118" s="11">
        <v>0</v>
      </c>
      <c r="BA118" s="11">
        <v>0</v>
      </c>
      <c r="BB118" s="11">
        <v>431</v>
      </c>
      <c r="BC118" s="11">
        <v>186</v>
      </c>
      <c r="BD118" s="11">
        <v>0</v>
      </c>
      <c r="BE118" s="11">
        <f>4-2</f>
        <v>2</v>
      </c>
      <c r="BF118" s="11">
        <v>-41</v>
      </c>
      <c r="BG118" s="11">
        <v>-61</v>
      </c>
      <c r="BH118" s="11">
        <v>-79</v>
      </c>
      <c r="BI118" s="11">
        <v>0</v>
      </c>
      <c r="BJ118" s="11">
        <f t="shared" si="9"/>
        <v>438</v>
      </c>
      <c r="BK118" s="1">
        <v>1</v>
      </c>
      <c r="BL118" s="1">
        <v>28</v>
      </c>
      <c r="BM118" s="1">
        <v>12</v>
      </c>
      <c r="BN118" s="1">
        <v>37</v>
      </c>
      <c r="BO118" s="1">
        <v>1</v>
      </c>
      <c r="BP118" s="1">
        <v>1</v>
      </c>
      <c r="BQ118" s="1">
        <v>1</v>
      </c>
      <c r="BR118" s="1">
        <v>3</v>
      </c>
      <c r="BS118" s="1">
        <v>5</v>
      </c>
      <c r="BT118" s="1">
        <v>19</v>
      </c>
      <c r="BU118" s="1">
        <v>0</v>
      </c>
      <c r="BV118" s="1">
        <v>0</v>
      </c>
      <c r="BW118" s="1">
        <v>1</v>
      </c>
      <c r="BX118" s="1">
        <v>9</v>
      </c>
      <c r="BY118" s="1">
        <v>35</v>
      </c>
      <c r="BZ118" s="1">
        <v>0</v>
      </c>
    </row>
    <row r="119" spans="1:78">
      <c r="A119" s="16">
        <v>11</v>
      </c>
      <c r="B119" s="59" t="s">
        <v>127</v>
      </c>
      <c r="C119" s="60" t="s">
        <v>701</v>
      </c>
      <c r="D119" s="59" t="s">
        <v>404</v>
      </c>
      <c r="E119" s="59" t="s">
        <v>698</v>
      </c>
      <c r="F119" s="59" t="s">
        <v>694</v>
      </c>
      <c r="G119" s="59" t="s">
        <v>707</v>
      </c>
      <c r="H119" s="11">
        <v>5064452</v>
      </c>
      <c r="I119" s="11">
        <v>5087860</v>
      </c>
      <c r="J119" s="11">
        <v>161006</v>
      </c>
      <c r="K119" s="52">
        <v>140160</v>
      </c>
      <c r="L119" s="52">
        <v>362345</v>
      </c>
      <c r="M119" s="52">
        <v>1334491</v>
      </c>
      <c r="N119" s="52">
        <v>1064854</v>
      </c>
      <c r="O119" s="52">
        <v>2536</v>
      </c>
      <c r="P119" s="52">
        <v>94834</v>
      </c>
      <c r="Q119" s="52">
        <v>285457</v>
      </c>
      <c r="R119" s="11">
        <v>680824</v>
      </c>
      <c r="S119" s="11">
        <v>467942</v>
      </c>
      <c r="T119" s="11">
        <v>0</v>
      </c>
      <c r="U119" s="11">
        <v>0</v>
      </c>
      <c r="V119" s="11">
        <v>4931401</v>
      </c>
      <c r="W119" s="13">
        <v>2.86E-2</v>
      </c>
      <c r="X119" s="11">
        <v>0</v>
      </c>
      <c r="Y119" s="26">
        <f>466663/4912243</f>
        <v>9.4999982696295768E-2</v>
      </c>
      <c r="Z119" s="11">
        <v>466607</v>
      </c>
      <c r="AA119" s="11">
        <v>0</v>
      </c>
      <c r="AB119" s="11">
        <v>5020</v>
      </c>
      <c r="AC119" s="11">
        <v>169323</v>
      </c>
      <c r="AD119" s="11">
        <v>16527</v>
      </c>
      <c r="AE119" s="11">
        <v>28900</v>
      </c>
      <c r="AF119" s="11">
        <f>24538+5205</f>
        <v>29743</v>
      </c>
      <c r="AG119" s="11">
        <v>4911</v>
      </c>
      <c r="AH119" s="11">
        <v>1238</v>
      </c>
      <c r="AI119" s="11">
        <v>400</v>
      </c>
      <c r="AJ119" s="11">
        <v>0</v>
      </c>
      <c r="AK119" s="11">
        <f>1753+8011+4159</f>
        <v>13923</v>
      </c>
      <c r="AL119" s="11">
        <v>230</v>
      </c>
      <c r="AM119" s="11">
        <v>0</v>
      </c>
      <c r="AN119" s="11">
        <v>0</v>
      </c>
      <c r="AO119" s="11">
        <v>3173</v>
      </c>
      <c r="AP119" s="11">
        <v>3499</v>
      </c>
      <c r="AQ119" s="11">
        <v>5205</v>
      </c>
      <c r="AR119" s="11">
        <v>313621</v>
      </c>
      <c r="AS119" s="11">
        <v>312433</v>
      </c>
      <c r="AT119" s="11">
        <v>103</v>
      </c>
      <c r="AU119" s="11">
        <v>0</v>
      </c>
      <c r="AV119" s="11">
        <v>144226</v>
      </c>
      <c r="AW119" s="11">
        <v>598</v>
      </c>
      <c r="AX119" s="11">
        <v>42115</v>
      </c>
      <c r="AY119" s="11">
        <v>0</v>
      </c>
      <c r="AZ119" s="11">
        <v>0</v>
      </c>
      <c r="BA119" s="11">
        <v>0</v>
      </c>
      <c r="BB119" s="11">
        <v>973</v>
      </c>
      <c r="BC119" s="11">
        <v>780</v>
      </c>
      <c r="BD119" s="11">
        <v>0</v>
      </c>
      <c r="BE119" s="11">
        <v>16</v>
      </c>
      <c r="BF119" s="11">
        <v>-107</v>
      </c>
      <c r="BG119" s="11">
        <v>-282</v>
      </c>
      <c r="BH119" s="11">
        <v>-209</v>
      </c>
      <c r="BI119" s="11">
        <v>-2</v>
      </c>
      <c r="BJ119" s="11">
        <f t="shared" si="9"/>
        <v>1169</v>
      </c>
      <c r="BK119" s="1">
        <v>0</v>
      </c>
      <c r="BL119" s="1">
        <v>29</v>
      </c>
      <c r="BM119" s="1">
        <v>16</v>
      </c>
      <c r="BN119" s="1">
        <v>130</v>
      </c>
      <c r="BO119" s="1">
        <v>36</v>
      </c>
      <c r="BP119" s="1">
        <v>5</v>
      </c>
      <c r="BQ119" s="1">
        <v>0</v>
      </c>
      <c r="BR119" s="1">
        <v>2</v>
      </c>
      <c r="BS119" s="1">
        <v>12</v>
      </c>
      <c r="BT119" s="1">
        <v>93</v>
      </c>
      <c r="BU119" s="1">
        <v>13</v>
      </c>
      <c r="BV119" s="1">
        <v>2</v>
      </c>
      <c r="BW119" s="1">
        <v>6</v>
      </c>
      <c r="BX119" s="1">
        <v>18</v>
      </c>
      <c r="BY119" s="1">
        <v>140</v>
      </c>
      <c r="BZ119" s="1">
        <v>7</v>
      </c>
    </row>
    <row r="120" spans="1:78">
      <c r="A120" s="16">
        <v>11</v>
      </c>
      <c r="B120" s="59" t="s">
        <v>288</v>
      </c>
      <c r="C120" s="60" t="s">
        <v>174</v>
      </c>
      <c r="D120" s="59" t="s">
        <v>130</v>
      </c>
      <c r="E120" s="59" t="s">
        <v>314</v>
      </c>
      <c r="F120" s="59" t="s">
        <v>479</v>
      </c>
      <c r="G120" s="59" t="s">
        <v>315</v>
      </c>
      <c r="H120" s="11">
        <v>19715450</v>
      </c>
      <c r="I120" s="11">
        <v>19760043</v>
      </c>
      <c r="J120" s="11">
        <v>1003570</v>
      </c>
      <c r="K120" s="52">
        <v>1036229</v>
      </c>
      <c r="L120" s="52">
        <v>1187344</v>
      </c>
      <c r="M120" s="52">
        <v>9593105</v>
      </c>
      <c r="N120" s="52">
        <v>0</v>
      </c>
      <c r="O120" s="52">
        <v>0</v>
      </c>
      <c r="P120" s="52">
        <v>541394</v>
      </c>
      <c r="Q120" s="52">
        <v>0</v>
      </c>
      <c r="R120" s="11">
        <v>4021658</v>
      </c>
      <c r="S120" s="11">
        <v>2351142</v>
      </c>
      <c r="T120" s="11">
        <v>0</v>
      </c>
      <c r="U120" s="11">
        <v>0</v>
      </c>
      <c r="V120" s="11">
        <v>19830861</v>
      </c>
      <c r="W120" s="13">
        <v>0.2281</v>
      </c>
      <c r="X120" s="11">
        <v>0</v>
      </c>
      <c r="Y120" s="26">
        <f>1102546/19830861</f>
        <v>5.5597485152056689E-2</v>
      </c>
      <c r="Z120" s="11">
        <v>1099989</v>
      </c>
      <c r="AA120" s="11">
        <v>0</v>
      </c>
      <c r="AB120" s="11">
        <v>44593</v>
      </c>
      <c r="AC120" s="11">
        <v>745130</v>
      </c>
      <c r="AD120" s="11">
        <v>56382</v>
      </c>
      <c r="AE120" s="11">
        <v>109946</v>
      </c>
      <c r="AF120" s="11">
        <f>161749+5503</f>
        <v>167252</v>
      </c>
      <c r="AG120" s="11">
        <v>20662</v>
      </c>
      <c r="AH120" s="11">
        <v>47148</v>
      </c>
      <c r="AI120" s="11">
        <v>12554</v>
      </c>
      <c r="AJ120" s="11">
        <v>7820</v>
      </c>
      <c r="AK120" s="11">
        <f>14470+14396+12370</f>
        <v>41236</v>
      </c>
      <c r="AL120" s="11">
        <v>6521</v>
      </c>
      <c r="AM120" s="11">
        <v>0</v>
      </c>
      <c r="AN120" s="11">
        <v>0</v>
      </c>
      <c r="AO120" s="11">
        <v>0</v>
      </c>
      <c r="AP120" s="11">
        <v>30982</v>
      </c>
      <c r="AQ120" s="11">
        <v>0</v>
      </c>
      <c r="AR120" s="11">
        <v>1302679</v>
      </c>
      <c r="AS120" s="11">
        <v>2413445</v>
      </c>
      <c r="AT120" s="11">
        <v>3884</v>
      </c>
      <c r="AU120" s="11">
        <v>0</v>
      </c>
      <c r="AV120" s="11">
        <v>0</v>
      </c>
      <c r="AW120" s="11">
        <v>0</v>
      </c>
      <c r="AX120" s="11">
        <v>325967</v>
      </c>
      <c r="AY120" s="11">
        <v>0</v>
      </c>
      <c r="AZ120" s="11">
        <v>0</v>
      </c>
      <c r="BA120" s="11">
        <v>0</v>
      </c>
      <c r="BB120" s="11">
        <v>7439</v>
      </c>
      <c r="BC120" s="11">
        <v>2465</v>
      </c>
      <c r="BD120" s="11">
        <v>0</v>
      </c>
      <c r="BE120" s="11">
        <f>2+3-11</f>
        <v>-6</v>
      </c>
      <c r="BF120" s="11">
        <v>-227</v>
      </c>
      <c r="BG120" s="11">
        <v>-1755</v>
      </c>
      <c r="BH120" s="11">
        <v>-478</v>
      </c>
      <c r="BI120" s="11">
        <v>-1</v>
      </c>
      <c r="BJ120" s="11">
        <f t="shared" si="9"/>
        <v>7437</v>
      </c>
      <c r="BK120" s="1">
        <v>53</v>
      </c>
      <c r="BL120" s="1">
        <v>42</v>
      </c>
      <c r="BM120" s="1">
        <v>9</v>
      </c>
      <c r="BN120" s="1">
        <v>29</v>
      </c>
      <c r="BO120" s="1">
        <v>1</v>
      </c>
      <c r="BP120" s="1">
        <v>9</v>
      </c>
      <c r="BQ120" s="1">
        <v>0</v>
      </c>
      <c r="BR120" s="1">
        <v>0</v>
      </c>
      <c r="BS120" s="1">
        <v>1</v>
      </c>
      <c r="BT120" s="1">
        <v>24</v>
      </c>
      <c r="BU120" s="1">
        <v>3</v>
      </c>
      <c r="BV120" s="1">
        <v>3</v>
      </c>
      <c r="BW120" s="1">
        <v>7</v>
      </c>
      <c r="BX120" s="1">
        <v>16</v>
      </c>
      <c r="BY120" s="1">
        <v>164</v>
      </c>
      <c r="BZ120" s="1">
        <v>15</v>
      </c>
    </row>
    <row r="121" spans="1:78">
      <c r="A121" s="16">
        <v>11</v>
      </c>
      <c r="B121" s="59" t="s">
        <v>334</v>
      </c>
      <c r="C121" s="60" t="s">
        <v>215</v>
      </c>
      <c r="D121" s="59" t="s">
        <v>130</v>
      </c>
      <c r="E121" s="59" t="s">
        <v>314</v>
      </c>
      <c r="F121" s="59" t="s">
        <v>479</v>
      </c>
      <c r="G121" s="59" t="s">
        <v>315</v>
      </c>
      <c r="H121" s="11">
        <v>18718146</v>
      </c>
      <c r="I121" s="11">
        <v>18755524</v>
      </c>
      <c r="J121" s="11">
        <v>1027652</v>
      </c>
      <c r="K121" s="52">
        <v>641786</v>
      </c>
      <c r="L121" s="52">
        <v>26285</v>
      </c>
      <c r="M121" s="52">
        <v>8601291</v>
      </c>
      <c r="N121" s="52">
        <v>0</v>
      </c>
      <c r="O121" s="52">
        <v>0</v>
      </c>
      <c r="P121" s="52">
        <v>433665</v>
      </c>
      <c r="Q121" s="52">
        <v>0</v>
      </c>
      <c r="R121" s="11">
        <v>3228397</v>
      </c>
      <c r="S121" s="11">
        <v>1720062</v>
      </c>
      <c r="T121" s="11">
        <v>0</v>
      </c>
      <c r="U121" s="11">
        <v>0</v>
      </c>
      <c r="V121" s="11">
        <v>15754397</v>
      </c>
      <c r="W121" s="13">
        <v>0.30009999999999998</v>
      </c>
      <c r="X121" s="11">
        <v>0</v>
      </c>
      <c r="Y121" s="26">
        <f>1102808/15754397</f>
        <v>7.0000013329612046E-2</v>
      </c>
      <c r="Z121" s="11">
        <v>1102911</v>
      </c>
      <c r="AA121" s="11">
        <v>0</v>
      </c>
      <c r="AB121" s="11">
        <f>37378+7413</f>
        <v>44791</v>
      </c>
      <c r="AC121" s="11">
        <v>518459</v>
      </c>
      <c r="AD121" s="11">
        <v>49038</v>
      </c>
      <c r="AE121" s="11">
        <v>105242</v>
      </c>
      <c r="AF121" s="11">
        <f>189754+6366</f>
        <v>196120</v>
      </c>
      <c r="AG121" s="11">
        <v>8178</v>
      </c>
      <c r="AH121" s="11">
        <v>0</v>
      </c>
      <c r="AI121" s="11">
        <v>2588</v>
      </c>
      <c r="AJ121" s="11">
        <v>3282</v>
      </c>
      <c r="AK121" s="11">
        <f>15475+5516+11627</f>
        <v>32618</v>
      </c>
      <c r="AL121" s="11">
        <v>522</v>
      </c>
      <c r="AM121" s="11">
        <v>0</v>
      </c>
      <c r="AN121" s="11">
        <v>0</v>
      </c>
      <c r="AO121" s="11">
        <v>0</v>
      </c>
      <c r="AP121" s="11">
        <v>929</v>
      </c>
      <c r="AQ121" s="11">
        <v>0</v>
      </c>
      <c r="AR121" s="11">
        <v>932520</v>
      </c>
      <c r="AS121" s="11">
        <v>2413445</v>
      </c>
      <c r="AT121" s="11">
        <v>196</v>
      </c>
      <c r="AU121" s="11">
        <v>0</v>
      </c>
      <c r="AV121" s="11">
        <v>59845</v>
      </c>
      <c r="AW121" s="11">
        <v>0</v>
      </c>
      <c r="AX121" s="11">
        <v>470906</v>
      </c>
      <c r="AY121" s="11">
        <v>0</v>
      </c>
      <c r="AZ121" s="11">
        <v>0</v>
      </c>
      <c r="BA121" s="11">
        <v>0</v>
      </c>
      <c r="BB121" s="11">
        <f>8916-1679</f>
        <v>7237</v>
      </c>
      <c r="BC121" s="11">
        <v>2364</v>
      </c>
      <c r="BD121" s="11">
        <v>0</v>
      </c>
      <c r="BE121" s="11">
        <f>8-10</f>
        <v>-2</v>
      </c>
      <c r="BF121" s="11">
        <v>-182</v>
      </c>
      <c r="BG121" s="11">
        <v>-1594</v>
      </c>
      <c r="BH121" s="11">
        <v>-383</v>
      </c>
      <c r="BI121" s="11">
        <v>-1</v>
      </c>
      <c r="BJ121" s="11">
        <f t="shared" si="9"/>
        <v>7439</v>
      </c>
      <c r="BK121" s="1">
        <v>0</v>
      </c>
      <c r="BL121" s="1">
        <v>226</v>
      </c>
      <c r="BM121" s="1">
        <v>46</v>
      </c>
      <c r="BN121" s="1">
        <v>128</v>
      </c>
      <c r="BO121" s="1">
        <v>17</v>
      </c>
      <c r="BP121" s="1">
        <v>57</v>
      </c>
      <c r="BQ121" s="1">
        <v>2</v>
      </c>
      <c r="BR121" s="1">
        <v>1</v>
      </c>
      <c r="BS121" s="1">
        <v>23</v>
      </c>
      <c r="BT121" s="1">
        <v>132</v>
      </c>
      <c r="BU121" s="1">
        <v>5</v>
      </c>
      <c r="BV121" s="1">
        <v>32</v>
      </c>
      <c r="BW121" s="1">
        <v>32</v>
      </c>
      <c r="BX121" s="1">
        <v>90</v>
      </c>
      <c r="BY121" s="1">
        <v>706</v>
      </c>
      <c r="BZ121" s="1">
        <v>64</v>
      </c>
    </row>
    <row r="122" spans="1:78">
      <c r="A122" s="16">
        <v>11</v>
      </c>
      <c r="B122" s="59" t="s">
        <v>342</v>
      </c>
      <c r="C122" s="60" t="s">
        <v>394</v>
      </c>
      <c r="D122" s="59" t="s">
        <v>434</v>
      </c>
      <c r="E122" s="59" t="s">
        <v>698</v>
      </c>
      <c r="F122" s="59" t="s">
        <v>208</v>
      </c>
      <c r="G122" s="59" t="s">
        <v>707</v>
      </c>
      <c r="H122" s="11">
        <v>17558177</v>
      </c>
      <c r="I122" s="11">
        <v>17583579</v>
      </c>
      <c r="J122" s="11">
        <v>284139</v>
      </c>
      <c r="K122" s="52">
        <v>107452</v>
      </c>
      <c r="L122" s="52">
        <v>1160206</v>
      </c>
      <c r="M122" s="52">
        <v>405147</v>
      </c>
      <c r="N122" s="52">
        <v>7377978</v>
      </c>
      <c r="O122" s="52">
        <v>0</v>
      </c>
      <c r="P122" s="52">
        <v>0</v>
      </c>
      <c r="Q122" s="52">
        <v>2283102</v>
      </c>
      <c r="R122" s="11">
        <v>3900399</v>
      </c>
      <c r="S122" s="11">
        <v>1413794</v>
      </c>
      <c r="T122" s="11">
        <v>0</v>
      </c>
      <c r="U122" s="11">
        <v>0</v>
      </c>
      <c r="V122" s="11">
        <v>17341763</v>
      </c>
      <c r="W122" s="13">
        <v>3.39E-2</v>
      </c>
      <c r="X122" s="11">
        <v>0</v>
      </c>
      <c r="Y122" s="26">
        <f>693671/17341763</f>
        <v>4.0000027678846722E-2</v>
      </c>
      <c r="Z122" s="11">
        <v>693146</v>
      </c>
      <c r="AA122" s="11">
        <v>0</v>
      </c>
      <c r="AB122" s="11">
        <f>25402+585</f>
        <v>25987</v>
      </c>
      <c r="AC122" s="11">
        <v>293066</v>
      </c>
      <c r="AD122" s="11">
        <v>23592</v>
      </c>
      <c r="AE122" s="11">
        <v>78295</v>
      </c>
      <c r="AF122" s="11">
        <f>45419+3049</f>
        <v>48468</v>
      </c>
      <c r="AG122" s="11">
        <v>0</v>
      </c>
      <c r="AH122" s="11">
        <v>23433</v>
      </c>
      <c r="AI122" s="11">
        <v>5469</v>
      </c>
      <c r="AJ122" s="11">
        <v>19232</v>
      </c>
      <c r="AK122" s="11">
        <f>12560+23610+22584</f>
        <v>58754</v>
      </c>
      <c r="AL122" s="11">
        <v>6460</v>
      </c>
      <c r="AM122" s="11">
        <v>0</v>
      </c>
      <c r="AN122" s="11">
        <v>0</v>
      </c>
      <c r="AO122" s="11">
        <v>2163</v>
      </c>
      <c r="AP122" s="11">
        <v>23212</v>
      </c>
      <c r="AQ122" s="11">
        <v>0</v>
      </c>
      <c r="AR122" s="11">
        <v>613298</v>
      </c>
      <c r="AS122" s="11">
        <v>624430</v>
      </c>
      <c r="AT122" s="11">
        <v>309</v>
      </c>
      <c r="AU122" s="11">
        <v>0</v>
      </c>
      <c r="AV122" s="11">
        <v>143628</v>
      </c>
      <c r="AW122" s="11">
        <v>0</v>
      </c>
      <c r="AX122" s="11">
        <v>54793</v>
      </c>
      <c r="AY122" s="11">
        <v>0</v>
      </c>
      <c r="AZ122" s="11">
        <v>0</v>
      </c>
      <c r="BA122" s="11">
        <v>0</v>
      </c>
      <c r="BB122" s="11">
        <v>4044</v>
      </c>
      <c r="BC122" s="11">
        <v>1737</v>
      </c>
      <c r="BD122" s="11">
        <v>117</v>
      </c>
      <c r="BE122" s="11">
        <v>0</v>
      </c>
      <c r="BF122" s="11">
        <v>-314</v>
      </c>
      <c r="BG122" s="11">
        <v>-689</v>
      </c>
      <c r="BH122" s="11">
        <v>-647</v>
      </c>
      <c r="BI122" s="11">
        <v>-1</v>
      </c>
      <c r="BJ122" s="11">
        <f t="shared" si="9"/>
        <v>4247</v>
      </c>
      <c r="BK122" s="1">
        <v>19</v>
      </c>
      <c r="BL122" s="1">
        <v>255</v>
      </c>
      <c r="BM122" s="1">
        <v>69</v>
      </c>
      <c r="BN122" s="1">
        <v>256</v>
      </c>
      <c r="BO122" s="1">
        <v>0</v>
      </c>
      <c r="BP122" s="1">
        <v>21</v>
      </c>
      <c r="BQ122" s="1">
        <v>6</v>
      </c>
      <c r="BR122" s="1">
        <v>4</v>
      </c>
      <c r="BS122" s="1">
        <v>139</v>
      </c>
      <c r="BT122" s="1">
        <v>93</v>
      </c>
      <c r="BU122" s="1">
        <v>1</v>
      </c>
      <c r="BV122" s="1">
        <v>26</v>
      </c>
      <c r="BW122" s="1">
        <v>25</v>
      </c>
      <c r="BX122" s="1">
        <v>303</v>
      </c>
      <c r="BY122" s="1">
        <v>187</v>
      </c>
      <c r="BZ122" s="1">
        <v>8</v>
      </c>
    </row>
    <row r="123" spans="1:78">
      <c r="A123" s="16">
        <v>11</v>
      </c>
      <c r="B123" s="1" t="s">
        <v>362</v>
      </c>
      <c r="C123" s="62" t="s">
        <v>649</v>
      </c>
      <c r="D123" s="1" t="s">
        <v>503</v>
      </c>
      <c r="E123" s="59" t="s">
        <v>698</v>
      </c>
      <c r="F123" s="59" t="s">
        <v>208</v>
      </c>
      <c r="G123" s="59" t="s">
        <v>707</v>
      </c>
      <c r="H123" s="11">
        <v>6516077</v>
      </c>
      <c r="I123" s="11">
        <v>6520070</v>
      </c>
      <c r="J123" s="11">
        <v>197564</v>
      </c>
      <c r="K123" s="52">
        <v>7207</v>
      </c>
      <c r="L123" s="52">
        <v>706885</v>
      </c>
      <c r="M123" s="52">
        <v>2576897</v>
      </c>
      <c r="N123" s="52">
        <v>0</v>
      </c>
      <c r="O123" s="52">
        <v>0</v>
      </c>
      <c r="P123" s="52">
        <v>537635</v>
      </c>
      <c r="Q123" s="52">
        <v>0</v>
      </c>
      <c r="R123" s="11">
        <v>1486482</v>
      </c>
      <c r="S123" s="11">
        <v>464302</v>
      </c>
      <c r="T123" s="11">
        <v>0</v>
      </c>
      <c r="U123" s="11">
        <v>0</v>
      </c>
      <c r="V123" s="11">
        <v>6181281</v>
      </c>
      <c r="W123" s="13">
        <v>6.4100000000000004E-2</v>
      </c>
      <c r="X123" s="11">
        <v>0</v>
      </c>
      <c r="Y123" s="26">
        <f>401878/6181281</f>
        <v>6.5015326111205751E-2</v>
      </c>
      <c r="Z123" s="11">
        <v>401873</v>
      </c>
      <c r="AA123" s="11">
        <v>0</v>
      </c>
      <c r="AB123" s="11">
        <f>3773+159</f>
        <v>3932</v>
      </c>
      <c r="AC123" s="11">
        <v>118359</v>
      </c>
      <c r="AD123" s="11">
        <v>9765</v>
      </c>
      <c r="AE123" s="11">
        <v>20184</v>
      </c>
      <c r="AF123" s="11">
        <f>19200+3078</f>
        <v>22278</v>
      </c>
      <c r="AG123" s="11">
        <v>0</v>
      </c>
      <c r="AH123" s="11">
        <v>21861</v>
      </c>
      <c r="AI123" s="11">
        <v>0</v>
      </c>
      <c r="AJ123" s="11">
        <v>12732</v>
      </c>
      <c r="AK123" s="11">
        <f>4554+9609+8746</f>
        <v>22909</v>
      </c>
      <c r="AL123" s="11">
        <v>3436</v>
      </c>
      <c r="AM123" s="11">
        <v>0</v>
      </c>
      <c r="AN123" s="11">
        <v>0</v>
      </c>
      <c r="AO123" s="11">
        <v>581</v>
      </c>
      <c r="AP123" s="11">
        <v>9028</v>
      </c>
      <c r="AQ123" s="11">
        <v>5082</v>
      </c>
      <c r="AR123" s="11">
        <v>266294</v>
      </c>
      <c r="AS123" s="11">
        <v>272290</v>
      </c>
      <c r="AT123" s="11">
        <v>0</v>
      </c>
      <c r="AU123" s="11">
        <v>0</v>
      </c>
      <c r="AV123" s="11">
        <v>143628</v>
      </c>
      <c r="AW123" s="11">
        <v>0</v>
      </c>
      <c r="AX123" s="11">
        <v>31991</v>
      </c>
      <c r="AY123" s="11">
        <v>0</v>
      </c>
      <c r="AZ123" s="11">
        <v>0</v>
      </c>
      <c r="BA123" s="11">
        <v>0</v>
      </c>
      <c r="BB123" s="11">
        <v>1272</v>
      </c>
      <c r="BC123" s="11">
        <v>756</v>
      </c>
      <c r="BD123" s="11">
        <v>0</v>
      </c>
      <c r="BE123" s="11">
        <v>12</v>
      </c>
      <c r="BF123" s="11">
        <v>-130</v>
      </c>
      <c r="BG123" s="11">
        <v>-262</v>
      </c>
      <c r="BH123" s="11">
        <v>-189</v>
      </c>
      <c r="BI123" s="11">
        <v>-2</v>
      </c>
      <c r="BJ123" s="11">
        <f t="shared" si="9"/>
        <v>1457</v>
      </c>
      <c r="BK123" s="1">
        <v>3</v>
      </c>
      <c r="BL123" s="1">
        <v>102</v>
      </c>
      <c r="BM123" s="1">
        <v>31</v>
      </c>
      <c r="BN123" s="1">
        <v>54</v>
      </c>
      <c r="BO123" s="1">
        <v>2</v>
      </c>
      <c r="BP123" s="1">
        <v>9</v>
      </c>
      <c r="BQ123" s="1">
        <v>2</v>
      </c>
      <c r="BR123" s="1">
        <v>4</v>
      </c>
      <c r="BS123" s="1">
        <v>15</v>
      </c>
      <c r="BT123" s="1">
        <v>65</v>
      </c>
      <c r="BU123" s="1">
        <v>2</v>
      </c>
      <c r="BV123" s="1">
        <v>2</v>
      </c>
      <c r="BW123" s="1">
        <v>3</v>
      </c>
      <c r="BX123" s="1">
        <v>35</v>
      </c>
      <c r="BY123" s="1">
        <v>115</v>
      </c>
      <c r="BZ123" s="1">
        <v>0</v>
      </c>
    </row>
    <row r="124" spans="1:78">
      <c r="A124" s="16">
        <v>11</v>
      </c>
      <c r="B124" s="1" t="s">
        <v>412</v>
      </c>
      <c r="C124" s="62" t="s">
        <v>410</v>
      </c>
      <c r="D124" s="59" t="s">
        <v>130</v>
      </c>
      <c r="E124" s="59" t="s">
        <v>314</v>
      </c>
      <c r="F124" s="59" t="s">
        <v>479</v>
      </c>
      <c r="G124" s="59" t="s">
        <v>315</v>
      </c>
      <c r="H124" s="11">
        <v>3258875</v>
      </c>
      <c r="I124" s="11">
        <v>3266137</v>
      </c>
      <c r="J124" s="11">
        <v>189462</v>
      </c>
      <c r="K124" s="52">
        <v>201223</v>
      </c>
      <c r="L124" s="52">
        <v>381226</v>
      </c>
      <c r="M124" s="52">
        <v>1842804</v>
      </c>
      <c r="N124" s="52">
        <v>0</v>
      </c>
      <c r="O124" s="52">
        <v>0</v>
      </c>
      <c r="P124" s="52">
        <v>87830</v>
      </c>
      <c r="Q124" s="52">
        <v>0</v>
      </c>
      <c r="R124" s="11">
        <v>809540</v>
      </c>
      <c r="S124" s="11">
        <v>395528</v>
      </c>
      <c r="T124" s="11">
        <v>0</v>
      </c>
      <c r="U124" s="11">
        <v>0</v>
      </c>
      <c r="V124" s="11">
        <v>3999207</v>
      </c>
      <c r="W124" s="13">
        <v>1.0900000000000001</v>
      </c>
      <c r="X124" s="11">
        <v>0</v>
      </c>
      <c r="Y124" s="26">
        <f>2485299/39584465</f>
        <v>6.2784706070929591E-2</v>
      </c>
      <c r="Z124" s="11">
        <v>2483956</v>
      </c>
      <c r="AA124" s="11">
        <v>0</v>
      </c>
      <c r="AB124" s="11">
        <f>7262+11</f>
        <v>7273</v>
      </c>
      <c r="AC124" s="11">
        <v>82064</v>
      </c>
      <c r="AD124" s="11">
        <v>2888</v>
      </c>
      <c r="AE124" s="11">
        <v>15983</v>
      </c>
      <c r="AF124" s="11">
        <f>31961+1056</f>
        <v>33017</v>
      </c>
      <c r="AG124" s="11">
        <v>323</v>
      </c>
      <c r="AH124" s="11">
        <v>825</v>
      </c>
      <c r="AI124" s="11">
        <v>662</v>
      </c>
      <c r="AJ124" s="11">
        <v>1279</v>
      </c>
      <c r="AK124" s="11">
        <f>2804+64+14644</f>
        <v>17512</v>
      </c>
      <c r="AL124" s="11">
        <v>1000</v>
      </c>
      <c r="AM124" s="11">
        <v>0</v>
      </c>
      <c r="AN124" s="11">
        <v>0</v>
      </c>
      <c r="AO124" s="11">
        <v>0</v>
      </c>
      <c r="AP124" s="11">
        <v>3422</v>
      </c>
      <c r="AQ124" s="11">
        <v>0</v>
      </c>
      <c r="AR124" s="11">
        <v>178246</v>
      </c>
      <c r="AS124" s="11">
        <v>2413445</v>
      </c>
      <c r="AT124" s="11">
        <v>8043</v>
      </c>
      <c r="AU124" s="11">
        <v>0</v>
      </c>
      <c r="AV124" s="11"/>
      <c r="AW124" s="11"/>
      <c r="AX124" s="11">
        <v>423988</v>
      </c>
      <c r="AY124" s="11">
        <v>13702</v>
      </c>
      <c r="AZ124" s="11">
        <v>13702</v>
      </c>
      <c r="BA124" s="11">
        <v>0</v>
      </c>
      <c r="BB124" s="11">
        <v>7437</v>
      </c>
      <c r="BC124" s="11">
        <v>401</v>
      </c>
      <c r="BD124" s="11">
        <v>0</v>
      </c>
      <c r="BE124" s="11">
        <v>0</v>
      </c>
      <c r="BF124" s="11">
        <v>-37</v>
      </c>
      <c r="BG124" s="11">
        <v>-369</v>
      </c>
      <c r="BH124" s="11">
        <v>-90</v>
      </c>
      <c r="BI124" s="11">
        <v>0</v>
      </c>
      <c r="BJ124" s="11">
        <f t="shared" si="9"/>
        <v>7342</v>
      </c>
      <c r="BK124" s="1">
        <v>33</v>
      </c>
      <c r="BL124" s="1">
        <v>180</v>
      </c>
      <c r="BM124" s="1">
        <v>47</v>
      </c>
      <c r="BN124" s="1">
        <v>104</v>
      </c>
      <c r="BO124" s="1">
        <v>11</v>
      </c>
      <c r="BP124" s="1">
        <v>41</v>
      </c>
      <c r="BQ124" s="1">
        <v>2</v>
      </c>
      <c r="BR124" s="1">
        <v>3</v>
      </c>
      <c r="BS124" s="1">
        <v>20</v>
      </c>
      <c r="BT124" s="1">
        <v>83</v>
      </c>
      <c r="BU124" s="1">
        <v>4</v>
      </c>
      <c r="BV124" s="1">
        <v>13</v>
      </c>
      <c r="BW124" s="1">
        <v>18</v>
      </c>
      <c r="BX124" s="1">
        <v>75</v>
      </c>
      <c r="BY124" s="1">
        <v>608</v>
      </c>
      <c r="BZ124" s="1">
        <v>63</v>
      </c>
    </row>
    <row r="125" spans="1:78">
      <c r="A125" s="16">
        <v>11</v>
      </c>
      <c r="B125" s="59" t="s">
        <v>426</v>
      </c>
      <c r="C125" s="60" t="s">
        <v>398</v>
      </c>
      <c r="D125" s="59" t="s">
        <v>573</v>
      </c>
      <c r="E125" s="59" t="s">
        <v>314</v>
      </c>
      <c r="F125" s="59" t="s">
        <v>479</v>
      </c>
      <c r="G125" s="59" t="s">
        <v>315</v>
      </c>
      <c r="H125" s="11">
        <v>9005670</v>
      </c>
      <c r="I125" s="11">
        <v>9041531</v>
      </c>
      <c r="J125" s="11">
        <v>364195</v>
      </c>
      <c r="K125" s="52">
        <v>131932</v>
      </c>
      <c r="L125" s="52">
        <v>1041056</v>
      </c>
      <c r="M125" s="52">
        <v>3204591</v>
      </c>
      <c r="N125" s="52">
        <v>0</v>
      </c>
      <c r="O125" s="52">
        <v>0</v>
      </c>
      <c r="P125" s="52">
        <v>307305</v>
      </c>
      <c r="Q125" s="52">
        <v>0</v>
      </c>
      <c r="R125" s="11">
        <v>2557995</v>
      </c>
      <c r="S125" s="11">
        <v>737956</v>
      </c>
      <c r="T125" s="11">
        <v>0</v>
      </c>
      <c r="U125" s="11">
        <v>0</v>
      </c>
      <c r="V125" s="11">
        <v>8657499</v>
      </c>
      <c r="W125" s="13">
        <v>6.3299999999999995E-2</v>
      </c>
      <c r="X125" s="11">
        <v>131932</v>
      </c>
      <c r="Y125" s="26">
        <f>588106/8523269</f>
        <v>6.9000051506059465E-2</v>
      </c>
      <c r="Z125" s="11">
        <v>586211</v>
      </c>
      <c r="AA125" s="11">
        <v>0</v>
      </c>
      <c r="AB125" s="11">
        <f>35861+510</f>
        <v>36371</v>
      </c>
      <c r="AC125" s="11">
        <v>275076</v>
      </c>
      <c r="AD125" s="11">
        <v>23853</v>
      </c>
      <c r="AE125" s="11">
        <v>37903</v>
      </c>
      <c r="AF125" s="11">
        <v>39137</v>
      </c>
      <c r="AG125" s="11">
        <v>0</v>
      </c>
      <c r="AH125" s="11">
        <v>21418</v>
      </c>
      <c r="AI125" s="11">
        <v>4217</v>
      </c>
      <c r="AJ125" s="11">
        <v>14211</v>
      </c>
      <c r="AK125" s="11">
        <f>8389+10890+13100</f>
        <v>32379</v>
      </c>
      <c r="AL125" s="11">
        <v>4961</v>
      </c>
      <c r="AM125" s="11">
        <v>0</v>
      </c>
      <c r="AN125" s="11">
        <v>0</v>
      </c>
      <c r="AO125" s="11">
        <v>1191</v>
      </c>
      <c r="AP125" s="11">
        <v>17067</v>
      </c>
      <c r="AQ125" s="11">
        <v>0</v>
      </c>
      <c r="AR125" s="11">
        <v>505694</v>
      </c>
      <c r="AS125" s="11">
        <v>544647</v>
      </c>
      <c r="AT125" s="11">
        <v>261</v>
      </c>
      <c r="AU125" s="11">
        <v>0</v>
      </c>
      <c r="AV125" s="11">
        <v>143628</v>
      </c>
      <c r="AW125" s="11">
        <v>0</v>
      </c>
      <c r="AX125" s="11">
        <v>41531</v>
      </c>
      <c r="AY125" s="11">
        <v>0</v>
      </c>
      <c r="AZ125" s="11">
        <v>0</v>
      </c>
      <c r="BA125" s="11">
        <v>0</v>
      </c>
      <c r="BB125" s="11">
        <v>2245</v>
      </c>
      <c r="BC125" s="11">
        <v>983</v>
      </c>
      <c r="BD125" s="11">
        <v>19</v>
      </c>
      <c r="BE125" s="11">
        <v>64</v>
      </c>
      <c r="BF125" s="11">
        <v>-170</v>
      </c>
      <c r="BG125" s="11">
        <v>-473</v>
      </c>
      <c r="BH125" s="11">
        <v>-374</v>
      </c>
      <c r="BI125" s="11">
        <v>-3</v>
      </c>
      <c r="BJ125" s="11">
        <f t="shared" si="9"/>
        <v>2291</v>
      </c>
      <c r="BK125" s="1">
        <v>0</v>
      </c>
      <c r="BL125" s="1">
        <v>137</v>
      </c>
      <c r="BM125" s="1">
        <v>33</v>
      </c>
      <c r="BN125" s="1">
        <v>175</v>
      </c>
      <c r="BO125" s="1">
        <v>20</v>
      </c>
      <c r="BP125" s="1">
        <v>9</v>
      </c>
      <c r="BQ125" s="1">
        <v>2</v>
      </c>
      <c r="BR125" s="1">
        <v>6</v>
      </c>
      <c r="BS125" s="1">
        <v>23</v>
      </c>
      <c r="BT125" s="1">
        <v>104</v>
      </c>
      <c r="BU125" s="1">
        <v>33</v>
      </c>
      <c r="BV125" s="1">
        <v>4</v>
      </c>
      <c r="BW125" s="1">
        <v>12</v>
      </c>
      <c r="BX125" s="1">
        <v>73</v>
      </c>
      <c r="BY125" s="1">
        <v>222</v>
      </c>
      <c r="BZ125" s="1">
        <v>11</v>
      </c>
    </row>
    <row r="126" spans="1:78">
      <c r="A126" s="16">
        <v>11</v>
      </c>
      <c r="B126" s="59" t="s">
        <v>626</v>
      </c>
      <c r="C126" s="60" t="s">
        <v>267</v>
      </c>
      <c r="D126" s="59" t="s">
        <v>386</v>
      </c>
      <c r="E126" s="59" t="s">
        <v>314</v>
      </c>
      <c r="F126" s="59" t="s">
        <v>479</v>
      </c>
      <c r="G126" s="59" t="s">
        <v>315</v>
      </c>
      <c r="H126" s="11">
        <v>22981185</v>
      </c>
      <c r="I126" s="11">
        <v>23041805</v>
      </c>
      <c r="J126" s="11">
        <v>1194941</v>
      </c>
      <c r="K126" s="52">
        <v>1464892</v>
      </c>
      <c r="L126" s="52">
        <v>0</v>
      </c>
      <c r="M126" s="52">
        <v>1690565</v>
      </c>
      <c r="N126" s="52">
        <v>9527526</v>
      </c>
      <c r="O126" s="52">
        <v>0</v>
      </c>
      <c r="P126" s="52">
        <v>0</v>
      </c>
      <c r="Q126" s="52">
        <v>995802</v>
      </c>
      <c r="R126" s="11">
        <v>5668500</v>
      </c>
      <c r="S126" s="11">
        <v>1542387</v>
      </c>
      <c r="T126" s="11">
        <v>0</v>
      </c>
      <c r="U126" s="11">
        <v>0</v>
      </c>
      <c r="V126" s="11">
        <v>22004321</v>
      </c>
      <c r="W126" s="13">
        <v>0.09</v>
      </c>
      <c r="X126" s="11">
        <v>0</v>
      </c>
      <c r="Y126" s="26">
        <f>1081287/21961879</f>
        <v>4.9234721673860421E-2</v>
      </c>
      <c r="Z126" s="11">
        <v>1081471</v>
      </c>
      <c r="AA126" s="11">
        <v>0</v>
      </c>
      <c r="AB126" s="11">
        <f>60620+5791</f>
        <v>66411</v>
      </c>
      <c r="AC126" s="11">
        <v>566901</v>
      </c>
      <c r="AD126" s="11">
        <v>47021</v>
      </c>
      <c r="AE126" s="11">
        <v>137716</v>
      </c>
      <c r="AF126" s="11">
        <f>120823+3094</f>
        <v>123917</v>
      </c>
      <c r="AG126" s="11">
        <v>2075</v>
      </c>
      <c r="AH126" s="11">
        <v>29561</v>
      </c>
      <c r="AI126" s="11">
        <v>103</v>
      </c>
      <c r="AJ126" s="11">
        <v>7035</v>
      </c>
      <c r="AK126" s="11">
        <f>15336+18778+29036</f>
        <v>63150</v>
      </c>
      <c r="AL126" s="11">
        <v>9537</v>
      </c>
      <c r="AM126" s="11">
        <v>0</v>
      </c>
      <c r="AN126" s="11">
        <v>0</v>
      </c>
      <c r="AO126" s="11">
        <v>0</v>
      </c>
      <c r="AP126" s="11">
        <v>9328</v>
      </c>
      <c r="AQ126" s="11">
        <v>0</v>
      </c>
      <c r="AR126" s="11">
        <v>1051930</v>
      </c>
      <c r="AS126" s="11">
        <v>1079593</v>
      </c>
      <c r="AT126" s="11">
        <v>429</v>
      </c>
      <c r="AU126" s="11">
        <v>0</v>
      </c>
      <c r="AV126" s="11">
        <v>143628</v>
      </c>
      <c r="AW126" s="11">
        <v>0</v>
      </c>
      <c r="AX126" s="11">
        <v>96171</v>
      </c>
      <c r="AY126" s="11">
        <v>0</v>
      </c>
      <c r="AZ126" s="11">
        <v>0</v>
      </c>
      <c r="BA126" s="11">
        <v>0</v>
      </c>
      <c r="BB126" s="11">
        <v>3338</v>
      </c>
      <c r="BC126" s="11">
        <v>2150</v>
      </c>
      <c r="BD126" s="11">
        <v>0</v>
      </c>
      <c r="BE126" s="11">
        <f>5+19-4</f>
        <v>20</v>
      </c>
      <c r="BF126" s="11">
        <v>-236</v>
      </c>
      <c r="BG126" s="11">
        <v>-1284</v>
      </c>
      <c r="BH126" s="11">
        <v>-557</v>
      </c>
      <c r="BI126" s="11">
        <v>-4</v>
      </c>
      <c r="BJ126" s="11">
        <f t="shared" si="9"/>
        <v>3427</v>
      </c>
      <c r="BK126" s="1">
        <v>0</v>
      </c>
      <c r="BL126" s="1">
        <v>247</v>
      </c>
      <c r="BM126" s="1">
        <v>41</v>
      </c>
      <c r="BN126" s="1">
        <v>199</v>
      </c>
      <c r="BO126" s="1">
        <v>5</v>
      </c>
      <c r="BP126" s="1">
        <v>65</v>
      </c>
      <c r="BQ126" s="1">
        <v>2</v>
      </c>
      <c r="BR126" s="1">
        <v>3</v>
      </c>
      <c r="BS126" s="1">
        <v>33</v>
      </c>
      <c r="BT126" s="1">
        <v>98</v>
      </c>
      <c r="BU126" s="1">
        <v>6</v>
      </c>
      <c r="BV126" s="1">
        <v>13</v>
      </c>
      <c r="BW126" s="1">
        <v>14</v>
      </c>
      <c r="BX126" s="1">
        <v>90</v>
      </c>
      <c r="BY126" s="1">
        <v>425</v>
      </c>
      <c r="BZ126" s="1">
        <v>65</v>
      </c>
    </row>
    <row r="127" spans="1:78">
      <c r="A127" s="16">
        <v>11</v>
      </c>
      <c r="B127" s="59" t="s">
        <v>678</v>
      </c>
      <c r="C127" s="60" t="s">
        <v>649</v>
      </c>
      <c r="D127" s="59" t="s">
        <v>130</v>
      </c>
      <c r="E127" s="59" t="s">
        <v>314</v>
      </c>
      <c r="F127" s="59" t="s">
        <v>479</v>
      </c>
      <c r="G127" s="59" t="s">
        <v>315</v>
      </c>
      <c r="H127" s="11">
        <v>54820800</v>
      </c>
      <c r="I127" s="11">
        <v>55081671</v>
      </c>
      <c r="J127" s="11">
        <v>3433826</v>
      </c>
      <c r="K127" s="52">
        <v>0</v>
      </c>
      <c r="L127" s="52">
        <v>0</v>
      </c>
      <c r="M127" s="52">
        <v>0</v>
      </c>
      <c r="N127" s="52">
        <v>31001135</v>
      </c>
      <c r="O127" s="52">
        <v>0</v>
      </c>
      <c r="P127" s="52">
        <v>0</v>
      </c>
      <c r="Q127" s="52">
        <v>1519149</v>
      </c>
      <c r="R127" s="11">
        <v>10965089</v>
      </c>
      <c r="S127" s="11">
        <v>4750065</v>
      </c>
      <c r="T127" s="11">
        <v>0</v>
      </c>
      <c r="U127" s="11">
        <v>0</v>
      </c>
      <c r="V127" s="11">
        <v>51581380</v>
      </c>
      <c r="W127" s="13">
        <v>5.5800000000000002E-2</v>
      </c>
      <c r="X127" s="11">
        <v>0</v>
      </c>
      <c r="Y127" s="26">
        <f>3351942/51581380</f>
        <v>6.4983565775091706E-2</v>
      </c>
      <c r="Z127" s="11">
        <v>3345942</v>
      </c>
      <c r="AA127" s="11">
        <v>0</v>
      </c>
      <c r="AB127" s="11">
        <v>260871</v>
      </c>
      <c r="AC127" s="11">
        <v>1758368</v>
      </c>
      <c r="AD127" s="11">
        <v>137335</v>
      </c>
      <c r="AE127" s="11">
        <v>246662</v>
      </c>
      <c r="AF127" s="11">
        <f>296980+7059</f>
        <v>304039</v>
      </c>
      <c r="AG127" s="11">
        <v>83496</v>
      </c>
      <c r="AH127" s="11">
        <v>63147</v>
      </c>
      <c r="AI127" s="11">
        <v>30993</v>
      </c>
      <c r="AJ127" s="11">
        <v>0</v>
      </c>
      <c r="AK127" s="11">
        <f>53908+100141+98339</f>
        <v>252388</v>
      </c>
      <c r="AL127" s="11">
        <v>26136</v>
      </c>
      <c r="AM127" s="11">
        <v>295</v>
      </c>
      <c r="AN127" s="11">
        <v>0</v>
      </c>
      <c r="AO127" s="11">
        <v>8194</v>
      </c>
      <c r="AP127" s="11">
        <v>638518</v>
      </c>
      <c r="AQ127" s="11">
        <v>0</v>
      </c>
      <c r="AR127" s="11">
        <v>3705960</v>
      </c>
      <c r="AS127" s="11">
        <v>3638996</v>
      </c>
      <c r="AT127" s="11">
        <v>27440</v>
      </c>
      <c r="AU127" s="11">
        <v>0</v>
      </c>
      <c r="AV127" s="11">
        <v>143628</v>
      </c>
      <c r="AW127" s="11">
        <v>0</v>
      </c>
      <c r="AX127" s="11">
        <v>518372</v>
      </c>
      <c r="AY127" s="11">
        <v>0</v>
      </c>
      <c r="AZ127" s="11">
        <v>0</v>
      </c>
      <c r="BA127" s="11">
        <v>0</v>
      </c>
      <c r="BB127" s="11">
        <v>10871</v>
      </c>
      <c r="BC127" s="11">
        <v>6068</v>
      </c>
      <c r="BD127" s="11">
        <v>0</v>
      </c>
      <c r="BE127" s="11">
        <v>-14</v>
      </c>
      <c r="BF127" s="11">
        <v>-636</v>
      </c>
      <c r="BG127" s="11">
        <v>-4240</v>
      </c>
      <c r="BH127" s="11">
        <v>-1398</v>
      </c>
      <c r="BI127" s="11">
        <v>-5</v>
      </c>
      <c r="BJ127" s="11">
        <f t="shared" si="9"/>
        <v>10646</v>
      </c>
      <c r="BK127" s="1">
        <v>56</v>
      </c>
      <c r="BL127" s="1">
        <v>723</v>
      </c>
      <c r="BM127" s="1">
        <v>97</v>
      </c>
      <c r="BN127" s="1">
        <v>393</v>
      </c>
      <c r="BO127" s="1">
        <v>2</v>
      </c>
      <c r="BP127" s="1">
        <v>183</v>
      </c>
      <c r="BQ127" s="1">
        <v>4</v>
      </c>
      <c r="BR127" s="1">
        <v>12</v>
      </c>
      <c r="BS127" s="1">
        <v>88</v>
      </c>
      <c r="BT127" s="1">
        <v>361</v>
      </c>
      <c r="BU127" s="1">
        <v>11</v>
      </c>
      <c r="BV127" s="1">
        <v>43</v>
      </c>
      <c r="BW127" s="1">
        <v>78</v>
      </c>
      <c r="BX127" s="1">
        <v>360</v>
      </c>
      <c r="BY127" s="1">
        <v>1983</v>
      </c>
      <c r="BZ127" s="1">
        <v>272</v>
      </c>
    </row>
    <row r="128" spans="1:78">
      <c r="A128" s="16">
        <v>12</v>
      </c>
      <c r="B128" s="59" t="s">
        <v>204</v>
      </c>
      <c r="C128" s="60" t="s">
        <v>688</v>
      </c>
      <c r="D128" s="59" t="s">
        <v>234</v>
      </c>
      <c r="E128" s="59" t="s">
        <v>461</v>
      </c>
      <c r="F128" s="59"/>
      <c r="G128" s="59" t="s">
        <v>477</v>
      </c>
      <c r="H128" s="11">
        <v>1154186</v>
      </c>
      <c r="I128" s="11">
        <v>1154334</v>
      </c>
      <c r="J128" s="11">
        <v>15816</v>
      </c>
      <c r="K128" s="52">
        <v>0</v>
      </c>
      <c r="L128" s="52">
        <v>0</v>
      </c>
      <c r="M128" s="52">
        <v>0</v>
      </c>
      <c r="N128" s="52">
        <v>217697</v>
      </c>
      <c r="O128" s="52">
        <v>0</v>
      </c>
      <c r="P128" s="52">
        <v>0</v>
      </c>
      <c r="Q128" s="52">
        <v>122482</v>
      </c>
      <c r="R128" s="11">
        <v>691985</v>
      </c>
      <c r="S128" s="11">
        <v>36036</v>
      </c>
      <c r="T128" s="11">
        <v>0</v>
      </c>
      <c r="U128" s="11">
        <v>0</v>
      </c>
      <c r="V128" s="11">
        <v>1164542</v>
      </c>
      <c r="W128" s="13">
        <v>0.05</v>
      </c>
      <c r="X128" s="11">
        <v>0</v>
      </c>
      <c r="Y128" s="26">
        <f>94188/1068235</f>
        <v>8.8171610179408083E-2</v>
      </c>
      <c r="Z128" s="11">
        <v>96314</v>
      </c>
      <c r="AA128" s="11">
        <v>0</v>
      </c>
      <c r="AB128" s="11">
        <f>148+20+23</f>
        <v>191</v>
      </c>
      <c r="AC128" s="11">
        <v>0</v>
      </c>
      <c r="AD128" s="11">
        <v>0</v>
      </c>
      <c r="AE128" s="11">
        <v>0</v>
      </c>
      <c r="AF128" s="11">
        <v>1008</v>
      </c>
      <c r="AG128" s="11">
        <v>0</v>
      </c>
      <c r="AH128" s="11">
        <v>2892</v>
      </c>
      <c r="AI128" s="11">
        <v>24425</v>
      </c>
      <c r="AJ128" s="11">
        <v>0</v>
      </c>
      <c r="AK128" s="11">
        <f>541+3362</f>
        <v>3903</v>
      </c>
      <c r="AL128" s="11">
        <v>1638</v>
      </c>
      <c r="AM128" s="11">
        <v>0</v>
      </c>
      <c r="AN128" s="11">
        <v>0</v>
      </c>
      <c r="AO128" s="11">
        <v>600</v>
      </c>
      <c r="AP128" s="11">
        <v>0</v>
      </c>
      <c r="AQ128" s="11">
        <v>29573</v>
      </c>
      <c r="AR128" s="11">
        <v>40764</v>
      </c>
      <c r="AS128" s="11">
        <v>41674</v>
      </c>
      <c r="AT128" s="11">
        <v>0</v>
      </c>
      <c r="AU128" s="11">
        <v>0</v>
      </c>
      <c r="AV128" s="11">
        <v>56918</v>
      </c>
      <c r="AW128" s="11">
        <v>0</v>
      </c>
      <c r="AX128" s="11">
        <v>4120</v>
      </c>
      <c r="AY128" s="11">
        <v>0</v>
      </c>
      <c r="AZ128" s="11">
        <v>0</v>
      </c>
      <c r="BA128" s="11">
        <v>0</v>
      </c>
      <c r="BB128" s="11">
        <v>248</v>
      </c>
      <c r="BC128" s="11">
        <v>74</v>
      </c>
      <c r="BD128" s="11">
        <v>1</v>
      </c>
      <c r="BE128" s="11">
        <v>0</v>
      </c>
      <c r="BF128" s="11">
        <v>-24</v>
      </c>
      <c r="BG128" s="11">
        <v>-29</v>
      </c>
      <c r="BH128" s="11">
        <v>-64</v>
      </c>
      <c r="BI128" s="11">
        <v>0</v>
      </c>
      <c r="BJ128" s="11">
        <f t="shared" si="9"/>
        <v>206</v>
      </c>
      <c r="BK128" s="1">
        <v>0</v>
      </c>
      <c r="BL128" s="1">
        <v>21</v>
      </c>
      <c r="BM128" s="1">
        <v>11</v>
      </c>
      <c r="BN128" s="1">
        <v>31</v>
      </c>
      <c r="BO128" s="1">
        <v>1</v>
      </c>
      <c r="BP128" s="1">
        <v>0</v>
      </c>
      <c r="BQ128" s="1" t="s">
        <v>456</v>
      </c>
      <c r="BR128" s="1" t="s">
        <v>456</v>
      </c>
      <c r="BS128" s="1" t="s">
        <v>456</v>
      </c>
      <c r="BT128" s="1" t="s">
        <v>456</v>
      </c>
      <c r="BU128" s="1" t="s">
        <v>456</v>
      </c>
      <c r="BV128" s="1" t="s">
        <v>456</v>
      </c>
      <c r="BW128" s="1" t="s">
        <v>456</v>
      </c>
      <c r="BX128" s="1" t="s">
        <v>456</v>
      </c>
      <c r="BY128" s="1" t="s">
        <v>456</v>
      </c>
      <c r="BZ128" s="1" t="s">
        <v>456</v>
      </c>
    </row>
    <row r="129" spans="1:78">
      <c r="A129" s="16">
        <v>12</v>
      </c>
      <c r="B129" s="59" t="s">
        <v>206</v>
      </c>
      <c r="C129" s="60" t="s">
        <v>115</v>
      </c>
      <c r="D129" s="59" t="s">
        <v>687</v>
      </c>
      <c r="E129" s="59" t="s">
        <v>311</v>
      </c>
      <c r="F129" s="59" t="s">
        <v>479</v>
      </c>
      <c r="G129" s="59" t="s">
        <v>322</v>
      </c>
      <c r="H129" s="11">
        <v>1352635</v>
      </c>
      <c r="I129" s="11">
        <v>1354266</v>
      </c>
      <c r="J129" s="11">
        <v>45186</v>
      </c>
      <c r="K129" s="52">
        <v>0</v>
      </c>
      <c r="L129" s="52">
        <v>15662</v>
      </c>
      <c r="M129" s="52">
        <v>154132</v>
      </c>
      <c r="N129" s="52">
        <v>0</v>
      </c>
      <c r="O129" s="52">
        <v>0</v>
      </c>
      <c r="P129" s="52">
        <v>206071</v>
      </c>
      <c r="Q129" s="52">
        <v>0</v>
      </c>
      <c r="R129" s="11">
        <v>744654</v>
      </c>
      <c r="S129" s="11">
        <v>70146</v>
      </c>
      <c r="T129" s="11">
        <v>0</v>
      </c>
      <c r="U129" s="11">
        <v>0</v>
      </c>
      <c r="V129" s="11">
        <v>1316778</v>
      </c>
      <c r="W129" s="13">
        <v>7.9399999999999998E-2</v>
      </c>
      <c r="X129" s="11">
        <v>0</v>
      </c>
      <c r="Y129" s="26">
        <f>119607/1315680</f>
        <v>9.0908883619117115E-2</v>
      </c>
      <c r="Z129" s="11">
        <v>119609</v>
      </c>
      <c r="AA129" s="11">
        <v>0</v>
      </c>
      <c r="AB129" s="11">
        <f>1400+63+18</f>
        <v>1481</v>
      </c>
      <c r="AC129" s="11">
        <v>39881</v>
      </c>
      <c r="AD129" s="11">
        <v>3272</v>
      </c>
      <c r="AE129" s="11">
        <v>7474</v>
      </c>
      <c r="AF129" s="11">
        <v>8800</v>
      </c>
      <c r="AG129" s="11">
        <v>0</v>
      </c>
      <c r="AH129" s="11">
        <v>3622</v>
      </c>
      <c r="AI129" s="11">
        <v>0</v>
      </c>
      <c r="AJ129" s="11">
        <v>0</v>
      </c>
      <c r="AK129" s="11">
        <f>3324+6530+5017</f>
        <v>14871</v>
      </c>
      <c r="AL129" s="11">
        <v>7111</v>
      </c>
      <c r="AM129" s="11">
        <v>0</v>
      </c>
      <c r="AN129" s="11">
        <v>0</v>
      </c>
      <c r="AO129" s="11">
        <v>0</v>
      </c>
      <c r="AP129" s="11">
        <v>3489</v>
      </c>
      <c r="AQ129" s="11">
        <v>98791</v>
      </c>
      <c r="AR129" s="11">
        <v>108030</v>
      </c>
      <c r="AS129" s="11">
        <v>103992</v>
      </c>
      <c r="AT129" s="11">
        <v>0</v>
      </c>
      <c r="AU129" s="11">
        <v>0</v>
      </c>
      <c r="AV129" s="11">
        <v>13171</v>
      </c>
      <c r="AW129" s="11">
        <v>342</v>
      </c>
      <c r="AX129" s="11">
        <v>-422</v>
      </c>
      <c r="AY129" s="11">
        <v>0</v>
      </c>
      <c r="AZ129" s="11">
        <v>0</v>
      </c>
      <c r="BA129" s="11">
        <v>0</v>
      </c>
      <c r="BB129" s="11">
        <v>272</v>
      </c>
      <c r="BC129" s="11">
        <v>159</v>
      </c>
      <c r="BD129" s="11">
        <v>2</v>
      </c>
      <c r="BE129" s="11">
        <v>-1</v>
      </c>
      <c r="BF129" s="11">
        <v>-52</v>
      </c>
      <c r="BG129" s="11">
        <v>-43</v>
      </c>
      <c r="BH129" s="11">
        <v>-57</v>
      </c>
      <c r="BI129" s="11">
        <v>0</v>
      </c>
      <c r="BJ129" s="11">
        <f t="shared" si="9"/>
        <v>280</v>
      </c>
      <c r="BK129" s="1">
        <v>0</v>
      </c>
      <c r="BL129" s="1">
        <v>8</v>
      </c>
      <c r="BM129" s="1">
        <v>6</v>
      </c>
      <c r="BN129" s="1">
        <v>36</v>
      </c>
      <c r="BO129" s="1">
        <v>3</v>
      </c>
      <c r="BP129" s="1">
        <v>4</v>
      </c>
      <c r="BQ129" s="1">
        <v>1</v>
      </c>
      <c r="BR129" s="1">
        <v>0</v>
      </c>
      <c r="BS129" s="1">
        <v>13</v>
      </c>
      <c r="BT129" s="1">
        <v>17</v>
      </c>
      <c r="BU129" s="1">
        <v>21</v>
      </c>
      <c r="BV129" s="1">
        <v>0</v>
      </c>
      <c r="BW129" s="1">
        <v>2</v>
      </c>
      <c r="BX129" s="1">
        <v>4</v>
      </c>
      <c r="BY129" s="1">
        <v>11</v>
      </c>
      <c r="BZ129" s="1">
        <v>17</v>
      </c>
    </row>
    <row r="130" spans="1:78">
      <c r="A130" s="16">
        <v>12</v>
      </c>
      <c r="B130" s="59" t="s">
        <v>235</v>
      </c>
      <c r="C130" s="60" t="s">
        <v>428</v>
      </c>
      <c r="D130" s="59" t="s">
        <v>66</v>
      </c>
      <c r="E130" s="59" t="s">
        <v>442</v>
      </c>
      <c r="F130" s="59"/>
      <c r="G130" s="59" t="s">
        <v>437</v>
      </c>
      <c r="H130" s="11">
        <v>500844</v>
      </c>
      <c r="I130" s="11">
        <v>500963</v>
      </c>
      <c r="J130" s="11">
        <v>6327</v>
      </c>
      <c r="K130" s="52">
        <v>114888</v>
      </c>
      <c r="L130" s="52">
        <v>12822</v>
      </c>
      <c r="M130" s="52">
        <v>0</v>
      </c>
      <c r="N130" s="52">
        <v>0</v>
      </c>
      <c r="O130" s="52">
        <v>1551</v>
      </c>
      <c r="P130" s="2">
        <v>72250</v>
      </c>
      <c r="Q130" s="52">
        <v>0</v>
      </c>
      <c r="R130" s="11">
        <v>239409</v>
      </c>
      <c r="S130" s="11">
        <v>16729</v>
      </c>
      <c r="T130" s="11">
        <v>0</v>
      </c>
      <c r="U130" s="11">
        <v>0</v>
      </c>
      <c r="V130" s="11">
        <v>503414</v>
      </c>
      <c r="W130" s="13">
        <v>4.0731200000000002E-2</v>
      </c>
      <c r="X130" s="11">
        <v>0</v>
      </c>
      <c r="Y130" s="26">
        <f>45765/457649</f>
        <v>0.1000002185080706</v>
      </c>
      <c r="Z130" s="11">
        <v>45765</v>
      </c>
      <c r="AA130" s="11">
        <v>0</v>
      </c>
      <c r="AB130" s="11">
        <f>112+9+16</f>
        <v>137</v>
      </c>
      <c r="AC130" s="11">
        <v>6383</v>
      </c>
      <c r="AD130" s="11">
        <v>0</v>
      </c>
      <c r="AE130" s="11">
        <v>0</v>
      </c>
      <c r="AF130" s="11">
        <v>2100</v>
      </c>
      <c r="AG130" s="11">
        <v>0</v>
      </c>
      <c r="AH130" s="11">
        <v>1492</v>
      </c>
      <c r="AI130" s="11">
        <v>2265</v>
      </c>
      <c r="AJ130" s="11">
        <v>0</v>
      </c>
      <c r="AK130" s="11">
        <f>154+1073+1867</f>
        <v>3094</v>
      </c>
      <c r="AL130" s="11">
        <v>1548</v>
      </c>
      <c r="AM130" s="11">
        <v>0</v>
      </c>
      <c r="AN130" s="11">
        <v>0</v>
      </c>
      <c r="AO130" s="11">
        <v>750</v>
      </c>
      <c r="AP130" s="11">
        <v>0</v>
      </c>
      <c r="AQ130" s="11">
        <v>14560</v>
      </c>
      <c r="AR130" s="11">
        <v>19130</v>
      </c>
      <c r="AS130" s="11">
        <v>28194</v>
      </c>
      <c r="AT130" s="11">
        <v>0</v>
      </c>
      <c r="AU130" s="11">
        <v>0</v>
      </c>
      <c r="AV130" s="11">
        <v>24726</v>
      </c>
      <c r="AW130" s="11">
        <v>0</v>
      </c>
      <c r="AX130" s="11">
        <v>5374</v>
      </c>
      <c r="AY130" s="11">
        <v>2122</v>
      </c>
      <c r="AZ130" s="11">
        <v>2122</v>
      </c>
      <c r="BA130" s="11">
        <v>0</v>
      </c>
      <c r="BB130" s="11">
        <v>108</v>
      </c>
      <c r="BC130" s="11">
        <v>43</v>
      </c>
      <c r="BD130" s="11">
        <v>0</v>
      </c>
      <c r="BE130" s="11">
        <v>0</v>
      </c>
      <c r="BF130" s="11">
        <v>-10</v>
      </c>
      <c r="BG130" s="11">
        <v>-23</v>
      </c>
      <c r="BH130" s="11">
        <v>-19</v>
      </c>
      <c r="BI130" s="11">
        <v>0</v>
      </c>
      <c r="BJ130" s="11">
        <f t="shared" si="9"/>
        <v>99</v>
      </c>
      <c r="BK130" s="1">
        <v>0</v>
      </c>
      <c r="BL130" s="1">
        <v>4</v>
      </c>
      <c r="BM130" s="1">
        <v>2</v>
      </c>
      <c r="BN130" s="1">
        <v>10</v>
      </c>
      <c r="BO130" s="1">
        <v>3</v>
      </c>
      <c r="BP130" s="1">
        <v>0</v>
      </c>
      <c r="BQ130" s="1">
        <v>0</v>
      </c>
      <c r="BR130" s="1">
        <v>0</v>
      </c>
      <c r="BS130" s="1">
        <v>4</v>
      </c>
      <c r="BT130" s="1">
        <v>1</v>
      </c>
      <c r="BU130" s="1">
        <v>0</v>
      </c>
      <c r="BV130" s="1">
        <v>1</v>
      </c>
      <c r="BW130" s="1">
        <v>0</v>
      </c>
      <c r="BX130" s="1">
        <v>1</v>
      </c>
      <c r="BY130" s="1">
        <v>7</v>
      </c>
      <c r="BZ130" s="1">
        <v>0</v>
      </c>
    </row>
    <row r="131" spans="1:78">
      <c r="A131" s="16">
        <v>12</v>
      </c>
      <c r="B131" s="59" t="s">
        <v>355</v>
      </c>
      <c r="C131" s="60" t="s">
        <v>331</v>
      </c>
      <c r="D131" s="59" t="s">
        <v>436</v>
      </c>
      <c r="E131" s="59" t="s">
        <v>442</v>
      </c>
      <c r="F131" s="59"/>
      <c r="G131" s="59" t="s">
        <v>437</v>
      </c>
      <c r="H131" s="11">
        <v>35836127</v>
      </c>
      <c r="I131" s="11">
        <v>36004103</v>
      </c>
      <c r="J131" s="11">
        <v>594048</v>
      </c>
      <c r="K131" s="52">
        <v>0</v>
      </c>
      <c r="L131" s="52">
        <v>2723520</v>
      </c>
      <c r="M131" s="52">
        <v>8994735</v>
      </c>
      <c r="N131" s="52">
        <v>0</v>
      </c>
      <c r="O131" s="52">
        <v>0</v>
      </c>
      <c r="P131" s="52">
        <v>5743324</v>
      </c>
      <c r="Q131" s="52">
        <v>0</v>
      </c>
      <c r="R131" s="11">
        <v>14772292</v>
      </c>
      <c r="S131" s="11">
        <v>2001771</v>
      </c>
      <c r="T131" s="11">
        <v>0</v>
      </c>
      <c r="U131" s="11">
        <v>0</v>
      </c>
      <c r="V131" s="11">
        <v>35658628</v>
      </c>
      <c r="W131" s="13">
        <v>0.13</v>
      </c>
      <c r="X131" s="11">
        <v>0</v>
      </c>
      <c r="Y131" s="26">
        <f>1423525/34235642</f>
        <v>4.1580204630016868E-2</v>
      </c>
      <c r="Z131" s="11">
        <v>1422986</v>
      </c>
      <c r="AA131" s="11">
        <v>0</v>
      </c>
      <c r="AB131" s="11">
        <f>140230+15736+6218</f>
        <v>162184</v>
      </c>
      <c r="AC131" s="11">
        <v>729464</v>
      </c>
      <c r="AD131" s="11">
        <v>57407</v>
      </c>
      <c r="AE131" s="11">
        <v>179413</v>
      </c>
      <c r="AF131" s="11">
        <v>149775</v>
      </c>
      <c r="AG131" s="11">
        <v>23305</v>
      </c>
      <c r="AH131" s="11">
        <v>36692</v>
      </c>
      <c r="AI131" s="11">
        <v>39</v>
      </c>
      <c r="AJ131" s="11">
        <v>0</v>
      </c>
      <c r="AK131" s="11">
        <f>39799+33000+28418</f>
        <v>101217</v>
      </c>
      <c r="AL131" s="11">
        <v>8348</v>
      </c>
      <c r="AM131" s="11">
        <v>0</v>
      </c>
      <c r="AN131" s="11">
        <v>0</v>
      </c>
      <c r="AO131" s="11">
        <v>31325</v>
      </c>
      <c r="AP131" s="11">
        <v>54783</v>
      </c>
      <c r="AQ131" s="11">
        <v>0</v>
      </c>
      <c r="AR131" s="11">
        <v>1432071</v>
      </c>
      <c r="AS131" s="11">
        <v>1427681</v>
      </c>
      <c r="AT131" s="11">
        <v>681</v>
      </c>
      <c r="AU131" s="11">
        <v>0</v>
      </c>
      <c r="AV131" s="11">
        <v>143628</v>
      </c>
      <c r="AW131" s="11">
        <v>0</v>
      </c>
      <c r="AX131" s="11">
        <v>213889</v>
      </c>
      <c r="AY131" s="11">
        <v>0</v>
      </c>
      <c r="AZ131" s="11">
        <v>0</v>
      </c>
      <c r="BA131" s="11">
        <v>0</v>
      </c>
      <c r="BB131" s="11">
        <v>8147</v>
      </c>
      <c r="BC131" s="11">
        <v>3062</v>
      </c>
      <c r="BD131" s="11">
        <v>0</v>
      </c>
      <c r="BE131" s="11">
        <v>43</v>
      </c>
      <c r="BF131" s="11">
        <v>-425</v>
      </c>
      <c r="BG131" s="11">
        <v>-1549</v>
      </c>
      <c r="BH131" s="11">
        <v>-1604</v>
      </c>
      <c r="BI131" s="11">
        <v>0</v>
      </c>
      <c r="BJ131" s="11">
        <f t="shared" si="9"/>
        <v>7674</v>
      </c>
      <c r="BK131" s="1">
        <v>17</v>
      </c>
      <c r="BL131" s="1">
        <v>535</v>
      </c>
      <c r="BM131" s="1">
        <v>234</v>
      </c>
      <c r="BN131" s="1">
        <v>809</v>
      </c>
      <c r="BO131" s="1">
        <v>26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</row>
    <row r="132" spans="1:78">
      <c r="A132" s="16">
        <v>12</v>
      </c>
      <c r="B132" s="59" t="s">
        <v>684</v>
      </c>
      <c r="C132" s="60" t="s">
        <v>29</v>
      </c>
      <c r="D132" s="59" t="s">
        <v>188</v>
      </c>
      <c r="E132" s="59" t="s">
        <v>311</v>
      </c>
      <c r="F132" s="59" t="s">
        <v>618</v>
      </c>
      <c r="G132" s="59" t="s">
        <v>322</v>
      </c>
      <c r="H132" s="11">
        <v>5837749</v>
      </c>
      <c r="I132" s="11">
        <v>5848303</v>
      </c>
      <c r="J132" s="11">
        <v>99240</v>
      </c>
      <c r="K132" s="52">
        <v>1230</v>
      </c>
      <c r="L132" s="52">
        <v>257731</v>
      </c>
      <c r="M132" s="52">
        <v>1768604</v>
      </c>
      <c r="N132" s="52">
        <v>0</v>
      </c>
      <c r="O132" s="52">
        <v>0</v>
      </c>
      <c r="P132" s="52">
        <v>353607</v>
      </c>
      <c r="Q132" s="52">
        <v>0</v>
      </c>
      <c r="R132" s="11">
        <v>2544848</v>
      </c>
      <c r="S132" s="11">
        <v>329153</v>
      </c>
      <c r="T132" s="11">
        <v>0</v>
      </c>
      <c r="U132" s="11">
        <v>0</v>
      </c>
      <c r="V132" s="11">
        <v>5722306</v>
      </c>
      <c r="W132" s="13">
        <v>7.0999999999999994E-2</v>
      </c>
      <c r="X132" s="11">
        <v>0</v>
      </c>
      <c r="Y132" s="26">
        <f>420868/5260849</f>
        <v>8.0000015206671021E-2</v>
      </c>
      <c r="Z132" s="11">
        <v>420925</v>
      </c>
      <c r="AA132" s="11">
        <v>0</v>
      </c>
      <c r="AB132" s="11">
        <f>9554+212</f>
        <v>9766</v>
      </c>
      <c r="AC132" s="11">
        <v>164631</v>
      </c>
      <c r="AD132" s="11">
        <v>12783</v>
      </c>
      <c r="AE132" s="11">
        <v>30706</v>
      </c>
      <c r="AF132" s="11">
        <f>23291+803</f>
        <v>24094</v>
      </c>
      <c r="AG132" s="11">
        <v>0</v>
      </c>
      <c r="AH132" s="11">
        <v>1150</v>
      </c>
      <c r="AI132" s="11">
        <v>0</v>
      </c>
      <c r="AJ132" s="11">
        <v>0</v>
      </c>
      <c r="AK132" s="11">
        <f>5100+8050+7884</f>
        <v>21034</v>
      </c>
      <c r="AL132" s="11">
        <v>6667</v>
      </c>
      <c r="AM132" s="11">
        <v>0</v>
      </c>
      <c r="AN132" s="11">
        <v>0</v>
      </c>
      <c r="AO132" s="11">
        <v>4983</v>
      </c>
      <c r="AP132" s="11">
        <v>2305</v>
      </c>
      <c r="AQ132" s="11">
        <v>0</v>
      </c>
      <c r="AR132" s="11">
        <v>287808</v>
      </c>
      <c r="AS132" s="11">
        <v>299834</v>
      </c>
      <c r="AT132" s="11">
        <v>1000</v>
      </c>
      <c r="AU132" s="11">
        <v>0</v>
      </c>
      <c r="AV132" s="11">
        <v>143628</v>
      </c>
      <c r="AW132" s="11">
        <v>0</v>
      </c>
      <c r="AX132" s="11">
        <v>46686</v>
      </c>
      <c r="AY132" s="11">
        <v>0</v>
      </c>
      <c r="AZ132" s="11">
        <v>0</v>
      </c>
      <c r="BA132" s="11">
        <v>0</v>
      </c>
      <c r="BB132" s="11">
        <v>1079</v>
      </c>
      <c r="BC132" s="11">
        <v>465</v>
      </c>
      <c r="BD132" s="11">
        <v>0</v>
      </c>
      <c r="BE132" s="11">
        <f>1+15</f>
        <v>16</v>
      </c>
      <c r="BF132" s="11">
        <v>-137.5</v>
      </c>
      <c r="BG132" s="11">
        <v>-207.5</v>
      </c>
      <c r="BH132" s="11">
        <v>-184</v>
      </c>
      <c r="BI132" s="11">
        <v>-3</v>
      </c>
      <c r="BJ132" s="11">
        <f t="shared" si="9"/>
        <v>1028</v>
      </c>
      <c r="BK132" s="1">
        <v>12</v>
      </c>
      <c r="BL132" s="1">
        <v>110</v>
      </c>
      <c r="BM132" s="1">
        <v>23</v>
      </c>
      <c r="BN132" s="1">
        <v>51</v>
      </c>
      <c r="BO132" s="1">
        <v>2</v>
      </c>
      <c r="BP132" s="1">
        <v>1</v>
      </c>
      <c r="BQ132" s="1">
        <v>1</v>
      </c>
      <c r="BR132" s="1">
        <v>5</v>
      </c>
      <c r="BS132" s="1">
        <v>16</v>
      </c>
      <c r="BT132" s="1">
        <v>75</v>
      </c>
      <c r="BU132" s="1">
        <v>0</v>
      </c>
      <c r="BV132" s="1">
        <v>4</v>
      </c>
      <c r="BW132" s="1">
        <v>3</v>
      </c>
      <c r="BX132" s="1">
        <v>0</v>
      </c>
      <c r="BY132" s="1">
        <v>87</v>
      </c>
      <c r="BZ132" s="1">
        <v>3</v>
      </c>
    </row>
    <row r="133" spans="1:78">
      <c r="A133" s="16">
        <v>12</v>
      </c>
      <c r="B133" s="59" t="s">
        <v>690</v>
      </c>
      <c r="C133" s="60" t="s">
        <v>165</v>
      </c>
      <c r="D133" s="59" t="s">
        <v>18</v>
      </c>
      <c r="E133" s="59" t="s">
        <v>601</v>
      </c>
      <c r="F133" s="59"/>
      <c r="G133" s="59" t="s">
        <v>617</v>
      </c>
      <c r="H133" s="11">
        <v>1970762</v>
      </c>
      <c r="I133" s="11">
        <v>1978768</v>
      </c>
      <c r="J133" s="11">
        <v>19542</v>
      </c>
      <c r="K133" s="52">
        <v>0</v>
      </c>
      <c r="L133" s="52">
        <v>0</v>
      </c>
      <c r="M133" s="52">
        <v>0</v>
      </c>
      <c r="N133" s="52">
        <v>570636</v>
      </c>
      <c r="O133" s="52">
        <v>0</v>
      </c>
      <c r="P133" s="52">
        <v>0</v>
      </c>
      <c r="Q133" s="52">
        <v>195271</v>
      </c>
      <c r="R133" s="11">
        <v>921527</v>
      </c>
      <c r="S133" s="11">
        <v>67068</v>
      </c>
      <c r="T133" s="11">
        <v>0</v>
      </c>
      <c r="U133" s="11">
        <v>0</v>
      </c>
      <c r="V133" s="11">
        <v>1937801</v>
      </c>
      <c r="W133" s="13">
        <v>0.09</v>
      </c>
      <c r="X133" s="11">
        <v>0</v>
      </c>
      <c r="Y133" s="26">
        <f>175450/1754502</f>
        <v>9.9999886007539465E-2</v>
      </c>
      <c r="Z133" s="11">
        <v>175638</v>
      </c>
      <c r="AA133" s="11">
        <v>61920</v>
      </c>
      <c r="AB133" s="11">
        <f>1811+100+192</f>
        <v>2103</v>
      </c>
      <c r="AC133" s="11">
        <v>34928</v>
      </c>
      <c r="AD133" s="11">
        <v>0</v>
      </c>
      <c r="AE133" s="11">
        <v>1089</v>
      </c>
      <c r="AF133" s="11">
        <f>11120+2165</f>
        <v>13285</v>
      </c>
      <c r="AG133" s="11">
        <v>0</v>
      </c>
      <c r="AH133" s="11">
        <v>2315</v>
      </c>
      <c r="AI133" s="11">
        <v>0</v>
      </c>
      <c r="AJ133" s="11">
        <v>0</v>
      </c>
      <c r="AK133" s="11">
        <f>3068+6350+4636</f>
        <v>14054</v>
      </c>
      <c r="AL133" s="11">
        <v>251</v>
      </c>
      <c r="AM133" s="11">
        <v>0</v>
      </c>
      <c r="AN133" s="11">
        <v>0</v>
      </c>
      <c r="AO133" s="11">
        <v>-292</v>
      </c>
      <c r="AP133" s="11">
        <v>6739</v>
      </c>
      <c r="AQ133" s="11">
        <v>34928</v>
      </c>
      <c r="AR133" s="11">
        <v>89366</v>
      </c>
      <c r="AS133" s="11">
        <v>85288</v>
      </c>
      <c r="AT133" s="11">
        <v>0</v>
      </c>
      <c r="AU133" s="11">
        <v>0</v>
      </c>
      <c r="AV133" s="11">
        <v>101089</v>
      </c>
      <c r="AW133" s="11">
        <v>432</v>
      </c>
      <c r="AX133" s="11">
        <v>3822</v>
      </c>
      <c r="AY133" s="11">
        <v>0</v>
      </c>
      <c r="AZ133" s="11">
        <v>0</v>
      </c>
      <c r="BA133" s="11">
        <v>0</v>
      </c>
      <c r="BB133" s="11">
        <v>179</v>
      </c>
      <c r="BC133" s="11">
        <v>156</v>
      </c>
      <c r="BD133" s="11">
        <v>0</v>
      </c>
      <c r="BE133" s="11">
        <v>12</v>
      </c>
      <c r="BF133" s="11">
        <v>-15</v>
      </c>
      <c r="BG133" s="11">
        <v>-16</v>
      </c>
      <c r="BH133" s="11">
        <v>-52</v>
      </c>
      <c r="BI133" s="11">
        <v>0</v>
      </c>
      <c r="BJ133" s="11">
        <f t="shared" si="9"/>
        <v>264</v>
      </c>
      <c r="BK133" s="1">
        <v>5</v>
      </c>
      <c r="BL133" s="1">
        <v>12</v>
      </c>
      <c r="BM133" s="1">
        <v>9</v>
      </c>
      <c r="BN133" s="1">
        <v>26</v>
      </c>
      <c r="BO133" s="1">
        <v>2</v>
      </c>
      <c r="BP133" s="1">
        <v>3</v>
      </c>
      <c r="BQ133" s="1">
        <v>1</v>
      </c>
      <c r="BR133" s="1">
        <v>1</v>
      </c>
      <c r="BS133" s="1">
        <v>9</v>
      </c>
      <c r="BT133" s="1">
        <v>1</v>
      </c>
      <c r="BU133" s="1">
        <v>3</v>
      </c>
      <c r="BV133" s="1">
        <v>1</v>
      </c>
      <c r="BW133" s="1">
        <v>0</v>
      </c>
      <c r="BX133" s="1">
        <v>6</v>
      </c>
      <c r="BY133" s="1">
        <v>3</v>
      </c>
      <c r="BZ133" s="1">
        <v>0</v>
      </c>
    </row>
    <row r="134" spans="1:78">
      <c r="A134" s="16">
        <v>13</v>
      </c>
      <c r="B134" s="59" t="s">
        <v>58</v>
      </c>
      <c r="C134" s="60" t="s">
        <v>346</v>
      </c>
      <c r="D134" s="59" t="s">
        <v>478</v>
      </c>
      <c r="E134" s="59" t="s">
        <v>47</v>
      </c>
      <c r="F134" s="59" t="s">
        <v>209</v>
      </c>
      <c r="G134" s="59" t="s">
        <v>49</v>
      </c>
      <c r="H134" s="11">
        <v>19809730</v>
      </c>
      <c r="I134" s="11">
        <v>19841196</v>
      </c>
      <c r="J134" s="11">
        <v>655156</v>
      </c>
      <c r="K134" s="52">
        <v>6076287</v>
      </c>
      <c r="L134" s="52">
        <v>559366</v>
      </c>
      <c r="M134" s="52">
        <v>6501075</v>
      </c>
      <c r="N134" s="52">
        <v>0</v>
      </c>
      <c r="O134" s="52">
        <v>1444</v>
      </c>
      <c r="P134" s="52">
        <v>1291548</v>
      </c>
      <c r="Q134" s="52">
        <v>0</v>
      </c>
      <c r="R134" s="11">
        <v>2019924</v>
      </c>
      <c r="S134" s="11">
        <v>1459114</v>
      </c>
      <c r="T134" s="11">
        <v>0</v>
      </c>
      <c r="U134" s="11">
        <v>0</v>
      </c>
      <c r="V134" s="11">
        <v>18994921</v>
      </c>
      <c r="W134" s="13">
        <v>6.7900000000000002E-2</v>
      </c>
      <c r="X134" s="11">
        <f>1018498/18983302</f>
        <v>5.3652309803636902E-2</v>
      </c>
      <c r="Y134" s="26">
        <f>1018498/18983302</f>
        <v>5.3652309803636902E-2</v>
      </c>
      <c r="Z134" s="11">
        <v>1024410</v>
      </c>
      <c r="AA134" s="11">
        <v>0</v>
      </c>
      <c r="AB134" s="11">
        <f>31466+5680</f>
        <v>37146</v>
      </c>
      <c r="AC134" s="11">
        <v>521127</v>
      </c>
      <c r="AD134" s="11">
        <v>43264</v>
      </c>
      <c r="AE134" s="11">
        <v>92472</v>
      </c>
      <c r="AF134" s="11">
        <v>73454</v>
      </c>
      <c r="AG134" s="11">
        <v>1650</v>
      </c>
      <c r="AH134" s="11">
        <v>14471</v>
      </c>
      <c r="AI134" s="11">
        <v>2743</v>
      </c>
      <c r="AJ134" s="11">
        <v>33533</v>
      </c>
      <c r="AK134" s="11">
        <f>9888+33460+19109</f>
        <v>62457</v>
      </c>
      <c r="AL134" s="11">
        <v>12585</v>
      </c>
      <c r="AM134" s="11">
        <v>0</v>
      </c>
      <c r="AN134" s="11">
        <v>0</v>
      </c>
      <c r="AO134" s="11">
        <v>2656</v>
      </c>
      <c r="AP134" s="11">
        <v>57511</v>
      </c>
      <c r="AQ134" s="11">
        <v>0</v>
      </c>
      <c r="AR134" s="11">
        <v>1127781</v>
      </c>
      <c r="AS134" s="11">
        <v>1131364</v>
      </c>
      <c r="AT134" s="11">
        <v>0</v>
      </c>
      <c r="AU134" s="11">
        <v>0</v>
      </c>
      <c r="AV134" s="11">
        <v>95969</v>
      </c>
      <c r="AW134" s="11">
        <v>0</v>
      </c>
      <c r="AX134" s="11">
        <v>222670</v>
      </c>
      <c r="AY134" s="11">
        <v>0</v>
      </c>
      <c r="AZ134" s="11">
        <v>0</v>
      </c>
      <c r="BA134" s="11">
        <v>0</v>
      </c>
      <c r="BB134" s="11">
        <v>5797</v>
      </c>
      <c r="BC134" s="11">
        <v>1880</v>
      </c>
      <c r="BD134" s="11">
        <v>14</v>
      </c>
      <c r="BE134" s="11">
        <f>17+11+-5</f>
        <v>23</v>
      </c>
      <c r="BF134" s="11">
        <v>-142</v>
      </c>
      <c r="BG134" s="11">
        <v>-645</v>
      </c>
      <c r="BH134" s="11">
        <v>-404</v>
      </c>
      <c r="BI134" s="11">
        <v>-1</v>
      </c>
      <c r="BJ134" s="11">
        <f t="shared" si="9"/>
        <v>6522</v>
      </c>
      <c r="BK134" s="1">
        <v>36</v>
      </c>
      <c r="BL134" s="1">
        <v>56</v>
      </c>
      <c r="BM134" s="1">
        <v>31</v>
      </c>
      <c r="BN134" s="1">
        <v>303</v>
      </c>
      <c r="BO134" s="1">
        <v>14</v>
      </c>
      <c r="BP134" s="1">
        <v>1</v>
      </c>
      <c r="BQ134" s="1">
        <v>1</v>
      </c>
      <c r="BR134" s="1">
        <v>1</v>
      </c>
      <c r="BS134" s="1">
        <v>13</v>
      </c>
      <c r="BT134" s="1">
        <v>88</v>
      </c>
      <c r="BU134" s="1">
        <v>0</v>
      </c>
      <c r="BV134" s="1">
        <v>6</v>
      </c>
      <c r="BW134" s="1">
        <v>6</v>
      </c>
      <c r="BX134" s="1">
        <v>410</v>
      </c>
      <c r="BY134" s="1">
        <v>4</v>
      </c>
      <c r="BZ134" s="1">
        <v>3</v>
      </c>
    </row>
    <row r="135" spans="1:78">
      <c r="A135" s="16">
        <v>13</v>
      </c>
      <c r="B135" s="59" t="s">
        <v>156</v>
      </c>
      <c r="C135" s="60" t="s">
        <v>169</v>
      </c>
      <c r="D135" s="59" t="s">
        <v>478</v>
      </c>
      <c r="E135" s="59" t="s">
        <v>47</v>
      </c>
      <c r="F135" s="59" t="s">
        <v>209</v>
      </c>
      <c r="G135" s="59" t="s">
        <v>49</v>
      </c>
      <c r="H135" s="11">
        <v>50604313</v>
      </c>
      <c r="I135" s="11">
        <v>50758032</v>
      </c>
      <c r="J135" s="11">
        <v>4468718</v>
      </c>
      <c r="K135" s="52">
        <v>15103754</v>
      </c>
      <c r="L135" s="52">
        <v>1461541</v>
      </c>
      <c r="M135" s="52">
        <v>16898734</v>
      </c>
      <c r="N135" s="52">
        <v>0</v>
      </c>
      <c r="O135" s="52">
        <v>27994</v>
      </c>
      <c r="P135" s="52">
        <v>3102049</v>
      </c>
      <c r="Q135" s="52">
        <v>0</v>
      </c>
      <c r="R135" s="11">
        <v>4691112</v>
      </c>
      <c r="S135" s="11">
        <v>3541695</v>
      </c>
      <c r="T135" s="11">
        <v>0</v>
      </c>
      <c r="U135" s="11">
        <v>0</v>
      </c>
      <c r="V135" s="11">
        <v>47690372.140000001</v>
      </c>
      <c r="W135" s="13">
        <v>2.7400000000000001E-2</v>
      </c>
      <c r="X135" s="11">
        <v>0</v>
      </c>
      <c r="Y135" s="26">
        <f>2706847/47672095</f>
        <v>5.6780533769283686E-2</v>
      </c>
      <c r="Z135" s="11">
        <v>2706692</v>
      </c>
      <c r="AA135" s="11">
        <v>0</v>
      </c>
      <c r="AB135" s="11">
        <f>153720+10270</f>
        <v>163990</v>
      </c>
      <c r="AC135" s="11">
        <v>1215692</v>
      </c>
      <c r="AD135" s="11">
        <v>102399</v>
      </c>
      <c r="AE135" s="11">
        <v>207811</v>
      </c>
      <c r="AF135" s="11">
        <v>159944</v>
      </c>
      <c r="AG135" s="11">
        <v>4337</v>
      </c>
      <c r="AH135" s="11">
        <v>35758</v>
      </c>
      <c r="AI135" s="11">
        <v>0</v>
      </c>
      <c r="AJ135" s="11">
        <v>61984</v>
      </c>
      <c r="AK135" s="11">
        <f>25863+64336+35252</f>
        <v>125451</v>
      </c>
      <c r="AL135" s="11">
        <v>15509</v>
      </c>
      <c r="AM135" s="11">
        <v>996</v>
      </c>
      <c r="AN135" s="11">
        <v>0</v>
      </c>
      <c r="AO135" s="11">
        <v>2069</v>
      </c>
      <c r="AP135" s="11">
        <v>50764</v>
      </c>
      <c r="AQ135" s="11">
        <v>0</v>
      </c>
      <c r="AR135" s="11">
        <v>2991757</v>
      </c>
      <c r="AS135" s="11">
        <v>3040919</v>
      </c>
      <c r="AT135" s="11">
        <v>0</v>
      </c>
      <c r="AU135" s="11">
        <v>0</v>
      </c>
      <c r="AV135" s="11">
        <v>143628</v>
      </c>
      <c r="AW135" s="11">
        <v>0</v>
      </c>
      <c r="AX135" s="11">
        <v>257041</v>
      </c>
      <c r="AY135" s="11">
        <v>0</v>
      </c>
      <c r="AZ135" s="11">
        <v>0</v>
      </c>
      <c r="BA135" s="11">
        <v>0</v>
      </c>
      <c r="BB135" s="11">
        <v>18428</v>
      </c>
      <c r="BC135" s="11">
        <v>4669</v>
      </c>
      <c r="BD135" s="11">
        <v>67</v>
      </c>
      <c r="BE135" s="11">
        <f>5+37-11691</f>
        <v>-11649</v>
      </c>
      <c r="BF135" s="11">
        <v>-557</v>
      </c>
      <c r="BG135" s="11">
        <v>-2372</v>
      </c>
      <c r="BH135" s="11">
        <v>-1875</v>
      </c>
      <c r="BI135" s="11">
        <v>-20</v>
      </c>
      <c r="BJ135" s="11">
        <f t="shared" si="9"/>
        <v>6691</v>
      </c>
      <c r="BK135" s="1">
        <v>21</v>
      </c>
      <c r="BL135" s="1">
        <v>297</v>
      </c>
      <c r="BM135" s="1">
        <v>171</v>
      </c>
      <c r="BN135" s="1">
        <v>1368</v>
      </c>
      <c r="BO135" s="1">
        <v>35</v>
      </c>
      <c r="BP135" s="1">
        <v>4</v>
      </c>
      <c r="BQ135" s="1">
        <v>5</v>
      </c>
      <c r="BR135" s="1">
        <v>9</v>
      </c>
      <c r="BS135" s="1">
        <v>95</v>
      </c>
      <c r="BT135" s="1">
        <v>297</v>
      </c>
      <c r="BU135" s="1">
        <v>0</v>
      </c>
      <c r="BV135" s="1">
        <v>15</v>
      </c>
      <c r="BW135" s="1">
        <v>19</v>
      </c>
      <c r="BX135" s="1">
        <v>1513</v>
      </c>
      <c r="BY135" s="1">
        <v>16</v>
      </c>
      <c r="BZ135" s="1">
        <v>10</v>
      </c>
    </row>
    <row r="136" spans="1:78">
      <c r="A136" s="16">
        <v>13</v>
      </c>
      <c r="B136" s="59" t="s">
        <v>238</v>
      </c>
      <c r="C136" s="60" t="s">
        <v>563</v>
      </c>
      <c r="D136" s="59" t="s">
        <v>350</v>
      </c>
      <c r="E136" s="59" t="s">
        <v>443</v>
      </c>
      <c r="F136" s="59" t="s">
        <v>694</v>
      </c>
      <c r="G136" s="59" t="s">
        <v>441</v>
      </c>
      <c r="H136" s="11">
        <v>25838363</v>
      </c>
      <c r="I136" s="11">
        <v>25921223</v>
      </c>
      <c r="J136" s="11">
        <v>1124026</v>
      </c>
      <c r="K136" s="52">
        <v>4865182</v>
      </c>
      <c r="L136" s="52">
        <v>1711297</v>
      </c>
      <c r="M136" s="52">
        <v>5975789</v>
      </c>
      <c r="N136" s="52">
        <v>0</v>
      </c>
      <c r="O136" s="52">
        <v>10928</v>
      </c>
      <c r="P136" s="52">
        <v>1218046</v>
      </c>
      <c r="Q136" s="52">
        <v>0</v>
      </c>
      <c r="R136" s="11">
        <v>5166774</v>
      </c>
      <c r="S136" s="11">
        <v>1033864</v>
      </c>
      <c r="T136" s="11">
        <v>22438</v>
      </c>
      <c r="U136" s="11">
        <v>0</v>
      </c>
      <c r="V136" s="11">
        <v>21380384</v>
      </c>
      <c r="W136" s="13">
        <v>0.17</v>
      </c>
      <c r="X136" s="11">
        <v>4259541</v>
      </c>
      <c r="Y136" s="26">
        <f>1346007/17089391</f>
        <v>7.8762724780537821E-2</v>
      </c>
      <c r="Z136" s="11">
        <v>1347155</v>
      </c>
      <c r="AA136" s="11">
        <v>131769</v>
      </c>
      <c r="AB136" s="11">
        <f>74298+1932</f>
        <v>76230</v>
      </c>
      <c r="AC136" s="11">
        <v>638248</v>
      </c>
      <c r="AD136" s="11">
        <v>47548</v>
      </c>
      <c r="AE136" s="11">
        <v>102280</v>
      </c>
      <c r="AF136" s="11">
        <v>121599</v>
      </c>
      <c r="AG136" s="11">
        <v>13876</v>
      </c>
      <c r="AH136" s="11">
        <v>48193</v>
      </c>
      <c r="AI136" s="11">
        <v>11956</v>
      </c>
      <c r="AJ136" s="11">
        <v>0</v>
      </c>
      <c r="AK136" s="11">
        <f>21380+29653+45942</f>
        <v>96975</v>
      </c>
      <c r="AL136" s="11">
        <v>13591</v>
      </c>
      <c r="AM136" s="11">
        <v>1625</v>
      </c>
      <c r="AN136" s="11">
        <v>5206</v>
      </c>
      <c r="AO136" s="11">
        <v>1503</v>
      </c>
      <c r="AP136" s="11">
        <v>86741</v>
      </c>
      <c r="AQ136" s="11">
        <v>155135</v>
      </c>
      <c r="AR136" s="11">
        <v>1281892</v>
      </c>
      <c r="AS136" s="11">
        <v>1399409</v>
      </c>
      <c r="AT136" s="11">
        <v>4748</v>
      </c>
      <c r="AU136" s="11">
        <v>0</v>
      </c>
      <c r="AV136" s="11">
        <v>143628</v>
      </c>
      <c r="AW136" s="11">
        <v>0</v>
      </c>
      <c r="AX136" s="11">
        <v>141250</v>
      </c>
      <c r="AY136" s="11">
        <v>0</v>
      </c>
      <c r="AZ136" s="11">
        <v>0</v>
      </c>
      <c r="BA136" s="11">
        <v>0</v>
      </c>
      <c r="BB136" s="11">
        <v>3869</v>
      </c>
      <c r="BC136" s="11">
        <v>2592</v>
      </c>
      <c r="BD136" s="11">
        <v>0</v>
      </c>
      <c r="BE136" s="11">
        <f>46-3</f>
        <v>43</v>
      </c>
      <c r="BF136" s="11">
        <v>-220</v>
      </c>
      <c r="BG136" s="11">
        <v>-1002</v>
      </c>
      <c r="BH136" s="11">
        <v>-631</v>
      </c>
      <c r="BI136" s="11">
        <v>-8</v>
      </c>
      <c r="BJ136" s="11">
        <f t="shared" si="9"/>
        <v>4643</v>
      </c>
      <c r="BK136" s="1">
        <v>2</v>
      </c>
      <c r="BL136" s="1">
        <v>166</v>
      </c>
      <c r="BM136" s="1">
        <v>63</v>
      </c>
      <c r="BN136" s="1">
        <v>352</v>
      </c>
      <c r="BO136" s="1">
        <v>55</v>
      </c>
      <c r="BP136" s="1">
        <v>3</v>
      </c>
      <c r="BQ136" s="1">
        <v>19</v>
      </c>
      <c r="BR136" s="1">
        <v>6</v>
      </c>
      <c r="BS136" s="1">
        <v>19</v>
      </c>
      <c r="BT136" s="1">
        <v>44</v>
      </c>
      <c r="BU136" s="1">
        <v>42</v>
      </c>
      <c r="BV136" s="1">
        <v>129</v>
      </c>
      <c r="BW136" s="1">
        <v>15</v>
      </c>
      <c r="BX136" s="1">
        <v>76</v>
      </c>
      <c r="BY136" s="1">
        <v>325</v>
      </c>
      <c r="BZ136" s="1">
        <v>1</v>
      </c>
    </row>
    <row r="137" spans="1:78">
      <c r="A137" s="16">
        <v>13</v>
      </c>
      <c r="B137" s="59" t="s">
        <v>269</v>
      </c>
      <c r="C137" s="60" t="s">
        <v>337</v>
      </c>
      <c r="D137" s="59" t="s">
        <v>387</v>
      </c>
      <c r="E137" s="59" t="s">
        <v>47</v>
      </c>
      <c r="F137" s="59" t="s">
        <v>209</v>
      </c>
      <c r="G137" s="59" t="s">
        <v>49</v>
      </c>
      <c r="H137" s="11">
        <v>20454666</v>
      </c>
      <c r="I137" s="11">
        <v>20555301</v>
      </c>
      <c r="J137" s="11">
        <v>678466</v>
      </c>
      <c r="K137" s="52">
        <v>5672538</v>
      </c>
      <c r="L137" s="52">
        <v>401332</v>
      </c>
      <c r="M137" s="52">
        <v>8029510</v>
      </c>
      <c r="N137" s="52">
        <v>0</v>
      </c>
      <c r="O137" s="52">
        <v>11996</v>
      </c>
      <c r="P137" s="52">
        <v>1182874</v>
      </c>
      <c r="Q137" s="52">
        <v>0</v>
      </c>
      <c r="R137" s="11">
        <v>1655081</v>
      </c>
      <c r="S137" s="11">
        <v>1651703</v>
      </c>
      <c r="T137" s="11">
        <v>65654</v>
      </c>
      <c r="U137" s="11">
        <v>0</v>
      </c>
      <c r="V137" s="11">
        <v>19862032</v>
      </c>
      <c r="W137" s="13">
        <v>6.1899999999999997E-2</v>
      </c>
      <c r="X137" s="11">
        <v>0</v>
      </c>
      <c r="Y137" s="26">
        <f>1191722/19862032</f>
        <v>6.0000004027785277E-2</v>
      </c>
      <c r="Z137" s="11">
        <v>1191344</v>
      </c>
      <c r="AA137" s="11">
        <v>0</v>
      </c>
      <c r="AB137" s="11">
        <f>34981+5016</f>
        <v>39997</v>
      </c>
      <c r="AC137" s="11">
        <v>512932</v>
      </c>
      <c r="AD137" s="11">
        <v>43139</v>
      </c>
      <c r="AE137" s="11">
        <v>71123</v>
      </c>
      <c r="AF137" s="11">
        <v>114480</v>
      </c>
      <c r="AG137" s="11">
        <v>3000</v>
      </c>
      <c r="AH137" s="11">
        <v>36020</v>
      </c>
      <c r="AI137" s="11">
        <v>0</v>
      </c>
      <c r="AJ137" s="11">
        <v>35119</v>
      </c>
      <c r="AK137" s="11">
        <f>19429+23746+26763</f>
        <v>69938</v>
      </c>
      <c r="AL137" s="11">
        <v>10244</v>
      </c>
      <c r="AM137" s="11">
        <v>0</v>
      </c>
      <c r="AN137" s="11">
        <v>0</v>
      </c>
      <c r="AO137" s="11">
        <v>10080</v>
      </c>
      <c r="AP137" s="11">
        <v>37878</v>
      </c>
      <c r="AQ137" s="11">
        <v>0</v>
      </c>
      <c r="AR137" s="11">
        <v>1199400</v>
      </c>
      <c r="AS137" s="11">
        <v>1221207</v>
      </c>
      <c r="AT137" s="11">
        <v>0</v>
      </c>
      <c r="AU137" s="11">
        <v>0</v>
      </c>
      <c r="AV137" s="11">
        <v>95969</v>
      </c>
      <c r="AW137" s="11">
        <v>0</v>
      </c>
      <c r="AX137" s="11">
        <v>332100</v>
      </c>
      <c r="AY137" s="11">
        <v>26253</v>
      </c>
      <c r="AZ137" s="11">
        <v>26253</v>
      </c>
      <c r="BA137" s="11">
        <v>0</v>
      </c>
      <c r="BB137" s="11">
        <v>5865</v>
      </c>
      <c r="BC137" s="11">
        <v>1805</v>
      </c>
      <c r="BD137" s="11">
        <v>5</v>
      </c>
      <c r="BE137" s="11">
        <f>13+9</f>
        <v>22</v>
      </c>
      <c r="BF137" s="11">
        <v>-177</v>
      </c>
      <c r="BG137" s="11">
        <v>-540</v>
      </c>
      <c r="BH137" s="11">
        <v>-329</v>
      </c>
      <c r="BI137" s="11">
        <v>-5</v>
      </c>
      <c r="BJ137" s="11">
        <f t="shared" si="9"/>
        <v>6646</v>
      </c>
      <c r="BK137" s="1">
        <v>56</v>
      </c>
      <c r="BL137" s="1">
        <v>37</v>
      </c>
      <c r="BM137" s="1">
        <v>27</v>
      </c>
      <c r="BN137" s="1">
        <v>258</v>
      </c>
      <c r="BO137" s="1">
        <v>7</v>
      </c>
      <c r="BP137" s="1">
        <v>0</v>
      </c>
      <c r="BQ137" s="1">
        <v>1</v>
      </c>
      <c r="BR137" s="1">
        <v>4</v>
      </c>
      <c r="BS137" s="1">
        <v>25</v>
      </c>
      <c r="BT137" s="1">
        <v>110</v>
      </c>
      <c r="BU137" s="1">
        <v>1</v>
      </c>
      <c r="BV137" s="1">
        <v>4</v>
      </c>
      <c r="BW137" s="1">
        <v>2</v>
      </c>
      <c r="BX137" s="1">
        <v>340</v>
      </c>
      <c r="BY137" s="1">
        <v>1</v>
      </c>
      <c r="BZ137" s="1">
        <v>3</v>
      </c>
    </row>
    <row r="138" spans="1:78">
      <c r="A138" s="16">
        <v>13</v>
      </c>
      <c r="B138" s="59" t="s">
        <v>371</v>
      </c>
      <c r="C138" s="60" t="s">
        <v>339</v>
      </c>
      <c r="D138" s="59" t="s">
        <v>623</v>
      </c>
      <c r="E138" s="59" t="s">
        <v>443</v>
      </c>
      <c r="F138" s="59" t="s">
        <v>208</v>
      </c>
      <c r="G138" s="59" t="s">
        <v>441</v>
      </c>
      <c r="H138" s="11">
        <v>53264949</v>
      </c>
      <c r="I138" s="11">
        <v>53498783</v>
      </c>
      <c r="J138" s="11">
        <v>1424445</v>
      </c>
      <c r="K138" s="52">
        <v>3914238</v>
      </c>
      <c r="L138" s="52">
        <v>5797358</v>
      </c>
      <c r="M138" s="52">
        <v>19373035</v>
      </c>
      <c r="N138" s="52">
        <v>0</v>
      </c>
      <c r="O138" s="52">
        <v>6781</v>
      </c>
      <c r="P138" s="52">
        <v>3129767</v>
      </c>
      <c r="Q138" s="52">
        <v>0</v>
      </c>
      <c r="R138" s="11">
        <v>14208651</v>
      </c>
      <c r="S138" s="11">
        <v>3908788</v>
      </c>
      <c r="T138" s="11">
        <v>26153</v>
      </c>
      <c r="U138" s="11">
        <v>0</v>
      </c>
      <c r="V138" s="11">
        <v>51914042</v>
      </c>
      <c r="W138" s="13">
        <v>5.2600000000000001E-2</v>
      </c>
      <c r="X138" s="11">
        <v>2807444</v>
      </c>
      <c r="Y138" s="26">
        <f>1513123/48810423</f>
        <v>3.0999997684920698E-2</v>
      </c>
      <c r="Z138" s="11">
        <v>1513123</v>
      </c>
      <c r="AA138" s="11">
        <v>0</v>
      </c>
      <c r="AB138" s="11">
        <f>233834+2386</f>
        <v>236220</v>
      </c>
      <c r="AC138" s="11">
        <v>896483</v>
      </c>
      <c r="AD138" s="11">
        <v>71597</v>
      </c>
      <c r="AE138" s="11">
        <v>205310</v>
      </c>
      <c r="AF138" s="11">
        <v>178377</v>
      </c>
      <c r="AG138" s="11">
        <v>2662</v>
      </c>
      <c r="AH138" s="11">
        <v>36955</v>
      </c>
      <c r="AI138" s="11">
        <v>100</v>
      </c>
      <c r="AJ138" s="11">
        <v>0</v>
      </c>
      <c r="AK138" s="11">
        <f>10912+57241+30037</f>
        <v>98190</v>
      </c>
      <c r="AL138" s="11">
        <v>13061</v>
      </c>
      <c r="AM138" s="11">
        <v>101</v>
      </c>
      <c r="AN138" s="11">
        <v>463</v>
      </c>
      <c r="AO138" s="11">
        <v>1437</v>
      </c>
      <c r="AP138" s="11">
        <v>36042</v>
      </c>
      <c r="AQ138" s="11">
        <v>81196</v>
      </c>
      <c r="AR138" s="11">
        <v>1631577</v>
      </c>
      <c r="AS138" s="11">
        <v>1721985</v>
      </c>
      <c r="AT138" s="11">
        <v>0</v>
      </c>
      <c r="AU138" s="11">
        <v>0</v>
      </c>
      <c r="AV138" s="11">
        <v>143628</v>
      </c>
      <c r="AW138" s="11">
        <v>0</v>
      </c>
      <c r="AX138" s="11">
        <v>186449</v>
      </c>
      <c r="AY138" s="11">
        <v>0</v>
      </c>
      <c r="AZ138" s="11">
        <v>0</v>
      </c>
      <c r="BA138" s="11">
        <v>0</v>
      </c>
      <c r="BB138" s="11">
        <v>10748</v>
      </c>
      <c r="BC138" s="11">
        <v>5616</v>
      </c>
      <c r="BD138" s="11">
        <v>0</v>
      </c>
      <c r="BE138" s="11">
        <f>46-1-43</f>
        <v>2</v>
      </c>
      <c r="BF138" s="11">
        <v>-509</v>
      </c>
      <c r="BG138" s="11">
        <v>-3790</v>
      </c>
      <c r="BH138" s="11">
        <v>-1615</v>
      </c>
      <c r="BI138" s="11">
        <v>-12</v>
      </c>
      <c r="BJ138" s="11">
        <f t="shared" si="9"/>
        <v>10440</v>
      </c>
      <c r="BK138" s="1">
        <v>43</v>
      </c>
      <c r="BL138" s="1">
        <v>544</v>
      </c>
      <c r="BM138" s="1">
        <v>245</v>
      </c>
      <c r="BN138" s="1">
        <v>775</v>
      </c>
      <c r="BO138" s="1">
        <v>2</v>
      </c>
      <c r="BP138" s="1">
        <v>49</v>
      </c>
      <c r="BQ138" s="1">
        <v>0</v>
      </c>
      <c r="BR138" s="1">
        <v>5</v>
      </c>
      <c r="BS138" s="1">
        <v>61</v>
      </c>
      <c r="BT138" s="1">
        <v>319</v>
      </c>
      <c r="BU138" s="1">
        <v>4</v>
      </c>
      <c r="BV138" s="1">
        <v>24</v>
      </c>
      <c r="BW138" s="1">
        <v>39</v>
      </c>
      <c r="BX138" s="1">
        <v>242</v>
      </c>
      <c r="BY138" s="1">
        <v>1814</v>
      </c>
      <c r="BZ138" s="1">
        <v>140</v>
      </c>
    </row>
    <row r="139" spans="1:78">
      <c r="A139" s="16">
        <v>13</v>
      </c>
      <c r="B139" s="59" t="s">
        <v>379</v>
      </c>
      <c r="C139" s="60" t="s">
        <v>352</v>
      </c>
      <c r="D139" s="59" t="s">
        <v>496</v>
      </c>
      <c r="E139" s="59" t="s">
        <v>462</v>
      </c>
      <c r="F139" s="59"/>
      <c r="G139" s="59" t="s">
        <v>464</v>
      </c>
      <c r="H139" s="11">
        <v>11415275</v>
      </c>
      <c r="I139" s="11">
        <v>11427987</v>
      </c>
      <c r="J139" s="11">
        <v>321216</v>
      </c>
      <c r="K139" s="52">
        <v>22993</v>
      </c>
      <c r="L139" s="52">
        <v>311079</v>
      </c>
      <c r="M139" s="52">
        <v>2208132</v>
      </c>
      <c r="N139" s="52">
        <v>2080675</v>
      </c>
      <c r="O139" s="52">
        <v>0</v>
      </c>
      <c r="P139" s="52">
        <v>516981</v>
      </c>
      <c r="Q139" s="52">
        <v>255931</v>
      </c>
      <c r="R139" s="11">
        <v>3599197</v>
      </c>
      <c r="S139" s="11">
        <v>1319368</v>
      </c>
      <c r="T139" s="11">
        <v>9732</v>
      </c>
      <c r="U139" s="11">
        <v>0</v>
      </c>
      <c r="V139" s="11">
        <v>11158936</v>
      </c>
      <c r="W139" s="13">
        <v>7.7600000000000002E-2</v>
      </c>
      <c r="X139" s="11">
        <v>0</v>
      </c>
      <c r="Y139" s="26">
        <f>835220/11149104</f>
        <v>7.4913643284698031E-2</v>
      </c>
      <c r="Z139" s="11">
        <v>834848</v>
      </c>
      <c r="AA139" s="11">
        <v>0</v>
      </c>
      <c r="AB139" s="11">
        <f>12712+1302</f>
        <v>14014</v>
      </c>
      <c r="AC139" s="11">
        <v>327502</v>
      </c>
      <c r="AD139" s="11">
        <v>25694</v>
      </c>
      <c r="AE139" s="11">
        <v>48830</v>
      </c>
      <c r="AF139" s="11">
        <f>49835+2078</f>
        <v>51913</v>
      </c>
      <c r="AG139" s="11">
        <v>5102</v>
      </c>
      <c r="AH139" s="11">
        <v>44988</v>
      </c>
      <c r="AI139" s="11">
        <v>5850</v>
      </c>
      <c r="AJ139" s="11">
        <v>0</v>
      </c>
      <c r="AK139" s="11">
        <f>11599+24688+26858</f>
        <v>63145</v>
      </c>
      <c r="AL139" s="11">
        <v>7085</v>
      </c>
      <c r="AM139" s="11">
        <v>493</v>
      </c>
      <c r="AN139" s="11">
        <v>0</v>
      </c>
      <c r="AO139" s="11">
        <v>0</v>
      </c>
      <c r="AP139" s="11">
        <v>21420</v>
      </c>
      <c r="AQ139" s="11">
        <v>0</v>
      </c>
      <c r="AR139" s="11">
        <v>700650</v>
      </c>
      <c r="AS139" s="11">
        <v>714907</v>
      </c>
      <c r="AT139" s="11">
        <v>0</v>
      </c>
      <c r="AU139" s="11">
        <v>0</v>
      </c>
      <c r="AV139" s="11">
        <v>143628</v>
      </c>
      <c r="AW139" s="11">
        <v>0</v>
      </c>
      <c r="AX139" s="11">
        <v>100740</v>
      </c>
      <c r="AY139" s="11">
        <v>0</v>
      </c>
      <c r="AZ139" s="11">
        <v>0</v>
      </c>
      <c r="BA139" s="11">
        <v>0</v>
      </c>
      <c r="BB139" s="11">
        <v>2327</v>
      </c>
      <c r="BC139" s="11">
        <v>984</v>
      </c>
      <c r="BD139" s="11">
        <v>0</v>
      </c>
      <c r="BE139" s="11">
        <v>67</v>
      </c>
      <c r="BF139" s="11">
        <v>-132</v>
      </c>
      <c r="BG139" s="11">
        <v>-301</v>
      </c>
      <c r="BH139" s="11">
        <v>-462</v>
      </c>
      <c r="BI139" s="11">
        <v>-2</v>
      </c>
      <c r="BJ139" s="11">
        <f t="shared" si="9"/>
        <v>2481</v>
      </c>
      <c r="BK139" s="1">
        <v>2</v>
      </c>
      <c r="BL139" s="1">
        <v>78</v>
      </c>
      <c r="BM139" s="1">
        <v>50</v>
      </c>
      <c r="BN139" s="1">
        <v>276</v>
      </c>
      <c r="BO139" s="1">
        <v>55</v>
      </c>
      <c r="BP139" s="1">
        <v>3</v>
      </c>
      <c r="BQ139" s="1">
        <v>0</v>
      </c>
      <c r="BR139" s="1">
        <v>4</v>
      </c>
      <c r="BS139" s="1">
        <v>14</v>
      </c>
      <c r="BT139" s="1">
        <v>111</v>
      </c>
      <c r="BU139" s="1">
        <v>3</v>
      </c>
      <c r="BV139" s="1">
        <v>1</v>
      </c>
      <c r="BW139" s="1">
        <v>9</v>
      </c>
      <c r="BX139" s="1">
        <v>32</v>
      </c>
      <c r="BY139" s="1">
        <v>249</v>
      </c>
      <c r="BZ139" s="1">
        <v>10</v>
      </c>
    </row>
    <row r="140" spans="1:78">
      <c r="A140" s="16">
        <v>14</v>
      </c>
      <c r="B140" s="1" t="s">
        <v>98</v>
      </c>
      <c r="C140" s="62" t="s">
        <v>583</v>
      </c>
      <c r="D140" s="1" t="s">
        <v>523</v>
      </c>
      <c r="E140" s="59" t="s">
        <v>57</v>
      </c>
      <c r="F140" s="59"/>
      <c r="G140" s="59" t="s">
        <v>48</v>
      </c>
      <c r="H140" s="11">
        <v>14379639</v>
      </c>
      <c r="I140" s="11">
        <v>14448670</v>
      </c>
      <c r="J140" s="11">
        <v>663097</v>
      </c>
      <c r="K140" s="52">
        <v>0</v>
      </c>
      <c r="L140" s="52">
        <v>1572347</v>
      </c>
      <c r="M140" s="52">
        <v>0</v>
      </c>
      <c r="N140" s="52">
        <v>4145036</v>
      </c>
      <c r="O140" s="52">
        <v>0</v>
      </c>
      <c r="P140" s="52">
        <v>0</v>
      </c>
      <c r="Q140" s="52">
        <v>1702151</v>
      </c>
      <c r="R140" s="11">
        <v>2885741</v>
      </c>
      <c r="S140" s="11">
        <v>1426240</v>
      </c>
      <c r="T140" s="11">
        <v>0</v>
      </c>
      <c r="U140" s="11">
        <v>0</v>
      </c>
      <c r="V140" s="11">
        <v>12629115</v>
      </c>
      <c r="W140" s="13">
        <v>0.2041</v>
      </c>
      <c r="X140" s="11">
        <v>0</v>
      </c>
      <c r="Y140" s="26">
        <f>906490/13675833</f>
        <v>6.6284079368328058E-2</v>
      </c>
      <c r="Z140" s="11">
        <v>897600</v>
      </c>
      <c r="AA140" s="11">
        <v>0</v>
      </c>
      <c r="AB140" s="11">
        <f>51031+17</f>
        <v>51048</v>
      </c>
      <c r="AC140" s="11">
        <v>417253</v>
      </c>
      <c r="AD140" s="11">
        <v>32747</v>
      </c>
      <c r="AE140" s="11">
        <v>61566</v>
      </c>
      <c r="AF140" s="11">
        <v>77023</v>
      </c>
      <c r="AG140" s="11">
        <v>8422</v>
      </c>
      <c r="AH140" s="11">
        <v>37963</v>
      </c>
      <c r="AI140" s="11">
        <v>0</v>
      </c>
      <c r="AJ140" s="11">
        <v>0</v>
      </c>
      <c r="AK140" s="11">
        <f>11268+16686+24777</f>
        <v>52731</v>
      </c>
      <c r="AL140" s="11">
        <v>7417</v>
      </c>
      <c r="AM140" s="11">
        <v>0</v>
      </c>
      <c r="AN140" s="11">
        <v>0</v>
      </c>
      <c r="AO140" s="11">
        <v>4712</v>
      </c>
      <c r="AP140" s="11">
        <v>26800</v>
      </c>
      <c r="AQ140" s="11">
        <v>0</v>
      </c>
      <c r="AR140" s="11">
        <v>821239</v>
      </c>
      <c r="AS140" s="11">
        <v>821041</v>
      </c>
      <c r="AT140" s="11">
        <v>0</v>
      </c>
      <c r="AU140" s="11">
        <v>0</v>
      </c>
      <c r="AV140" s="11">
        <v>143628</v>
      </c>
      <c r="AW140" s="11">
        <v>0</v>
      </c>
      <c r="AX140" s="11">
        <v>110175</v>
      </c>
      <c r="AY140" s="11">
        <v>0</v>
      </c>
      <c r="AZ140" s="11">
        <v>0</v>
      </c>
      <c r="BA140" s="11">
        <v>0</v>
      </c>
      <c r="BB140" s="11">
        <v>3151</v>
      </c>
      <c r="BC140" s="11">
        <v>1803</v>
      </c>
      <c r="BD140" s="11">
        <v>0</v>
      </c>
      <c r="BE140" s="11">
        <v>-5</v>
      </c>
      <c r="BF140" s="11">
        <v>-181</v>
      </c>
      <c r="BG140" s="11">
        <v>-1073</v>
      </c>
      <c r="BH140" s="11">
        <v>-552</v>
      </c>
      <c r="BI140" s="11">
        <v>0</v>
      </c>
      <c r="BJ140" s="11">
        <f t="shared" ref="BJ140:BJ171" si="10">SUM(BB140:BI140)</f>
        <v>3143</v>
      </c>
      <c r="BK140" s="1">
        <v>0</v>
      </c>
      <c r="BL140" s="1">
        <v>43</v>
      </c>
      <c r="BM140" s="1">
        <v>42</v>
      </c>
      <c r="BN140" s="1">
        <v>471</v>
      </c>
      <c r="BO140" s="1">
        <v>3</v>
      </c>
      <c r="BP140" s="1">
        <v>11</v>
      </c>
      <c r="BQ140" s="1">
        <v>0</v>
      </c>
      <c r="BR140" s="1">
        <v>1</v>
      </c>
      <c r="BS140" s="1">
        <v>9</v>
      </c>
      <c r="BT140" s="1">
        <v>64</v>
      </c>
      <c r="BU140" s="1">
        <v>6</v>
      </c>
      <c r="BV140" s="1">
        <v>0</v>
      </c>
      <c r="BW140" s="1">
        <v>3</v>
      </c>
      <c r="BX140" s="1">
        <v>32</v>
      </c>
      <c r="BY140" s="1">
        <v>217</v>
      </c>
      <c r="BZ140" s="1">
        <v>11</v>
      </c>
    </row>
    <row r="141" spans="1:78">
      <c r="A141" s="16">
        <v>14</v>
      </c>
      <c r="B141" s="1" t="s">
        <v>360</v>
      </c>
      <c r="C141" s="62" t="s">
        <v>191</v>
      </c>
      <c r="D141" s="1" t="s">
        <v>666</v>
      </c>
      <c r="E141" s="59" t="s">
        <v>57</v>
      </c>
      <c r="F141" s="59"/>
      <c r="G141" s="59" t="s">
        <v>48</v>
      </c>
      <c r="H141" s="11">
        <v>7759369</v>
      </c>
      <c r="I141" s="11">
        <v>7975151</v>
      </c>
      <c r="J141" s="11">
        <v>402307</v>
      </c>
      <c r="K141" s="52">
        <v>0</v>
      </c>
      <c r="L141" s="52">
        <v>768681</v>
      </c>
      <c r="M141" s="52">
        <v>1869892</v>
      </c>
      <c r="N141" s="52">
        <v>0</v>
      </c>
      <c r="O141" s="52">
        <v>0</v>
      </c>
      <c r="P141" s="52">
        <v>804240</v>
      </c>
      <c r="Q141" s="52">
        <v>0</v>
      </c>
      <c r="R141" s="11">
        <v>1792123</v>
      </c>
      <c r="S141" s="11">
        <v>892154</v>
      </c>
      <c r="T141" s="11">
        <v>13092</v>
      </c>
      <c r="U141" s="11"/>
      <c r="V141" s="11">
        <v>6744990</v>
      </c>
      <c r="W141" s="13">
        <v>0.4078</v>
      </c>
      <c r="X141" s="11">
        <v>0</v>
      </c>
      <c r="Y141" s="26">
        <f>601016/6660542</f>
        <v>9.0235299169346875E-2</v>
      </c>
      <c r="Z141" s="11">
        <v>573307</v>
      </c>
      <c r="AA141" s="11">
        <v>0</v>
      </c>
      <c r="AB141" s="11">
        <f>72962+671</f>
        <v>73633</v>
      </c>
      <c r="AC141" s="11">
        <v>249794</v>
      </c>
      <c r="AD141" s="11">
        <v>21885</v>
      </c>
      <c r="AE141" s="11">
        <v>23773</v>
      </c>
      <c r="AF141" s="11">
        <f>51088+3843</f>
        <v>54931</v>
      </c>
      <c r="AG141" s="11">
        <v>5406</v>
      </c>
      <c r="AH141" s="11">
        <v>32784</v>
      </c>
      <c r="AI141" s="11">
        <v>23837</v>
      </c>
      <c r="AJ141" s="11">
        <v>0</v>
      </c>
      <c r="AK141" s="11">
        <f>8015+10657+14930</f>
        <v>33602</v>
      </c>
      <c r="AL141" s="11">
        <v>87830</v>
      </c>
      <c r="AM141" s="11">
        <v>0</v>
      </c>
      <c r="AN141" s="11">
        <v>0</v>
      </c>
      <c r="AO141" s="11">
        <v>5029</v>
      </c>
      <c r="AP141" s="11">
        <v>22968</v>
      </c>
      <c r="AQ141" s="11">
        <v>0</v>
      </c>
      <c r="AR141" s="11">
        <v>525596</v>
      </c>
      <c r="AS141" s="11">
        <v>556736</v>
      </c>
      <c r="AT141" s="11">
        <v>1725</v>
      </c>
      <c r="AU141" s="11">
        <v>1000</v>
      </c>
      <c r="AV141" s="11">
        <v>143628</v>
      </c>
      <c r="AW141" s="11">
        <v>0</v>
      </c>
      <c r="AX141" s="11">
        <v>64901</v>
      </c>
      <c r="AY141" s="11">
        <v>0</v>
      </c>
      <c r="AZ141" s="11">
        <v>0</v>
      </c>
      <c r="BA141" s="11">
        <v>0</v>
      </c>
      <c r="BB141" s="11">
        <v>2064</v>
      </c>
      <c r="BC141" s="11">
        <v>925</v>
      </c>
      <c r="BD141" s="11">
        <v>0</v>
      </c>
      <c r="BE141" s="11">
        <f>39+24</f>
        <v>63</v>
      </c>
      <c r="BF141" s="11">
        <v>-49</v>
      </c>
      <c r="BG141" s="11">
        <v>-505</v>
      </c>
      <c r="BH141" s="11">
        <v>-300</v>
      </c>
      <c r="BI141" s="11">
        <v>-2</v>
      </c>
      <c r="BJ141" s="11">
        <f t="shared" si="10"/>
        <v>2196</v>
      </c>
      <c r="BK141" s="1">
        <v>27</v>
      </c>
      <c r="BL141" s="36">
        <v>26</v>
      </c>
      <c r="BM141" s="36">
        <v>25</v>
      </c>
      <c r="BN141" s="1">
        <v>182</v>
      </c>
      <c r="BO141" s="1">
        <v>6</v>
      </c>
      <c r="BP141" s="1">
        <v>0</v>
      </c>
      <c r="BQ141" s="1">
        <v>0</v>
      </c>
      <c r="BR141" s="1">
        <v>0</v>
      </c>
      <c r="BS141" s="1">
        <v>4</v>
      </c>
      <c r="BT141" s="1">
        <v>19</v>
      </c>
      <c r="BU141" s="1">
        <v>0</v>
      </c>
      <c r="BV141" s="1">
        <v>2</v>
      </c>
      <c r="BW141" s="1">
        <v>3</v>
      </c>
      <c r="BX141" s="1">
        <v>8</v>
      </c>
      <c r="BY141" s="1">
        <v>93</v>
      </c>
      <c r="BZ141" s="1">
        <v>5</v>
      </c>
    </row>
    <row r="142" spans="1:78">
      <c r="A142" s="16">
        <v>14</v>
      </c>
      <c r="B142" s="59" t="s">
        <v>418</v>
      </c>
      <c r="C142" s="60" t="s">
        <v>542</v>
      </c>
      <c r="D142" s="59" t="s">
        <v>523</v>
      </c>
      <c r="E142" s="59" t="s">
        <v>57</v>
      </c>
      <c r="F142" s="59"/>
      <c r="G142" s="59" t="s">
        <v>48</v>
      </c>
      <c r="H142" s="11">
        <v>14157182</v>
      </c>
      <c r="I142" s="11">
        <v>14310361</v>
      </c>
      <c r="J142" s="11">
        <v>798722</v>
      </c>
      <c r="K142" s="52">
        <v>0</v>
      </c>
      <c r="L142" s="52">
        <v>1760890</v>
      </c>
      <c r="M142" s="52">
        <v>4262297</v>
      </c>
      <c r="N142" s="52">
        <v>0</v>
      </c>
      <c r="O142" s="52">
        <v>0</v>
      </c>
      <c r="P142" s="52">
        <v>1746256</v>
      </c>
      <c r="Q142" s="52">
        <v>0</v>
      </c>
      <c r="R142" s="11">
        <v>2819064</v>
      </c>
      <c r="S142" s="11">
        <v>1619103</v>
      </c>
      <c r="T142" s="11">
        <v>0</v>
      </c>
      <c r="U142" s="11">
        <v>0</v>
      </c>
      <c r="V142" s="11">
        <v>13206464</v>
      </c>
      <c r="W142" s="13">
        <v>0.24</v>
      </c>
      <c r="X142" s="11">
        <v>0</v>
      </c>
      <c r="Y142" s="26">
        <f>922398/13206464</f>
        <v>6.9844433756075811E-2</v>
      </c>
      <c r="Z142" s="11">
        <v>925834</v>
      </c>
      <c r="AA142" s="11">
        <v>0</v>
      </c>
      <c r="AB142" s="11">
        <f>145219+11103+233</f>
        <v>156555</v>
      </c>
      <c r="AC142" s="11">
        <v>511989</v>
      </c>
      <c r="AD142" s="11">
        <v>41107</v>
      </c>
      <c r="AE142" s="11">
        <v>101429</v>
      </c>
      <c r="AF142" s="11">
        <v>80298</v>
      </c>
      <c r="AG142" s="11">
        <v>1586</v>
      </c>
      <c r="AH142" s="11">
        <v>29471</v>
      </c>
      <c r="AI142" s="11">
        <v>18631</v>
      </c>
      <c r="AJ142" s="11">
        <v>0</v>
      </c>
      <c r="AK142" s="11">
        <f>10745+26658+23470</f>
        <v>60873</v>
      </c>
      <c r="AL142" s="11">
        <v>9138</v>
      </c>
      <c r="AM142" s="11">
        <v>0</v>
      </c>
      <c r="AN142" s="11">
        <v>0</v>
      </c>
      <c r="AO142" s="11">
        <v>8292</v>
      </c>
      <c r="AP142" s="11">
        <v>24362</v>
      </c>
      <c r="AQ142" s="11">
        <v>29210</v>
      </c>
      <c r="AR142" s="11">
        <v>977974</v>
      </c>
      <c r="AS142" s="11">
        <v>999219</v>
      </c>
      <c r="AT142" s="11">
        <v>0</v>
      </c>
      <c r="AU142" s="11">
        <v>0</v>
      </c>
      <c r="AV142" s="11">
        <v>143628</v>
      </c>
      <c r="AW142" s="11">
        <v>0</v>
      </c>
      <c r="AX142" s="11">
        <v>63803</v>
      </c>
      <c r="AY142" s="11">
        <v>0</v>
      </c>
      <c r="AZ142" s="11">
        <v>0</v>
      </c>
      <c r="BA142" s="11">
        <v>0</v>
      </c>
      <c r="BB142" s="11">
        <v>3091</v>
      </c>
      <c r="BC142" s="11">
        <v>1777</v>
      </c>
      <c r="BD142" s="11">
        <v>32</v>
      </c>
      <c r="BE142" s="11">
        <v>-6</v>
      </c>
      <c r="BF142" s="11">
        <v>-206</v>
      </c>
      <c r="BG142" s="11">
        <v>-1090</v>
      </c>
      <c r="BH142" s="11">
        <v>-750</v>
      </c>
      <c r="BI142" s="11">
        <v>0</v>
      </c>
      <c r="BJ142" s="11">
        <f t="shared" si="10"/>
        <v>2848</v>
      </c>
      <c r="BK142" s="1">
        <v>20</v>
      </c>
      <c r="BL142" s="36">
        <v>50</v>
      </c>
      <c r="BM142" s="36">
        <v>41</v>
      </c>
      <c r="BN142" s="36">
        <v>446</v>
      </c>
      <c r="BO142" s="36">
        <v>9</v>
      </c>
      <c r="BP142" s="36">
        <v>204</v>
      </c>
      <c r="BQ142" s="1">
        <v>0</v>
      </c>
      <c r="BR142" s="1">
        <v>1</v>
      </c>
      <c r="BS142" s="1">
        <v>6</v>
      </c>
      <c r="BT142" s="1">
        <v>82</v>
      </c>
      <c r="BU142" s="1">
        <v>117</v>
      </c>
      <c r="BV142" s="1">
        <v>0</v>
      </c>
      <c r="BW142" s="1">
        <v>1</v>
      </c>
      <c r="BX142" s="1">
        <v>20</v>
      </c>
      <c r="BY142" s="1">
        <v>366</v>
      </c>
      <c r="BZ142" s="1">
        <v>703</v>
      </c>
    </row>
    <row r="143" spans="1:78">
      <c r="A143" s="16">
        <v>15</v>
      </c>
      <c r="B143" s="1" t="s">
        <v>78</v>
      </c>
      <c r="C143" s="62" t="s">
        <v>649</v>
      </c>
      <c r="D143" s="1" t="s">
        <v>590</v>
      </c>
      <c r="E143" s="59" t="s">
        <v>108</v>
      </c>
      <c r="F143" s="59" t="s">
        <v>618</v>
      </c>
      <c r="G143" s="59" t="s">
        <v>109</v>
      </c>
      <c r="H143" s="11">
        <v>20776760</v>
      </c>
      <c r="I143" s="11">
        <v>20835503</v>
      </c>
      <c r="J143" s="11">
        <v>901824</v>
      </c>
      <c r="K143" s="52">
        <v>251057</v>
      </c>
      <c r="L143" s="52">
        <v>2196536</v>
      </c>
      <c r="M143" s="52">
        <v>5330942</v>
      </c>
      <c r="N143" s="52">
        <v>0</v>
      </c>
      <c r="O143" s="52">
        <v>0</v>
      </c>
      <c r="P143" s="52">
        <v>2754668</v>
      </c>
      <c r="Q143" s="52">
        <v>0</v>
      </c>
      <c r="R143" s="11">
        <v>6504857</v>
      </c>
      <c r="S143" s="11">
        <v>1613932</v>
      </c>
      <c r="T143" s="11">
        <v>0</v>
      </c>
      <c r="U143" s="11">
        <v>38782</v>
      </c>
      <c r="V143" s="11">
        <v>19798305</v>
      </c>
      <c r="W143" s="13">
        <v>9.4799999999999995E-2</v>
      </c>
      <c r="X143" s="11">
        <v>0</v>
      </c>
      <c r="Y143" s="26">
        <f>1106124/19595046</f>
        <v>5.6449165773838961E-2</v>
      </c>
      <c r="Z143" s="11">
        <v>1107531</v>
      </c>
      <c r="AA143" s="11">
        <v>0</v>
      </c>
      <c r="AB143" s="11">
        <f>58743+2145</f>
        <v>60888</v>
      </c>
      <c r="AC143" s="11">
        <v>504615</v>
      </c>
      <c r="AD143" s="11">
        <v>41065</v>
      </c>
      <c r="AE143" s="11">
        <v>110626</v>
      </c>
      <c r="AF143" s="11">
        <v>147833</v>
      </c>
      <c r="AG143" s="11">
        <v>6500</v>
      </c>
      <c r="AH143" s="11">
        <v>33179</v>
      </c>
      <c r="AI143" s="11">
        <v>10376</v>
      </c>
      <c r="AJ143" s="11">
        <v>43037</v>
      </c>
      <c r="AK143" s="11">
        <f>9854+14045+22245</f>
        <v>46144</v>
      </c>
      <c r="AL143" s="11">
        <v>15784</v>
      </c>
      <c r="AM143" s="11">
        <v>0</v>
      </c>
      <c r="AN143" s="11">
        <v>125</v>
      </c>
      <c r="AO143" s="11">
        <v>368</v>
      </c>
      <c r="AP143" s="11">
        <v>21606</v>
      </c>
      <c r="AQ143" s="11">
        <v>0</v>
      </c>
      <c r="AR143" s="11">
        <v>1030511</v>
      </c>
      <c r="AS143" s="11">
        <v>1074365</v>
      </c>
      <c r="AT143" s="11">
        <v>0</v>
      </c>
      <c r="AU143" s="11">
        <v>0</v>
      </c>
      <c r="AV143" s="11">
        <v>143628</v>
      </c>
      <c r="AW143" s="11">
        <v>0</v>
      </c>
      <c r="AX143" s="11">
        <v>159750</v>
      </c>
      <c r="AY143" s="11">
        <v>0</v>
      </c>
      <c r="AZ143" s="11">
        <v>0</v>
      </c>
      <c r="BA143" s="11">
        <v>0</v>
      </c>
      <c r="BB143" s="11">
        <v>3920</v>
      </c>
      <c r="BC143" s="11">
        <v>1334</v>
      </c>
      <c r="BD143" s="3">
        <v>54</v>
      </c>
      <c r="BE143" s="11">
        <f>13-1</f>
        <v>12</v>
      </c>
      <c r="BF143" s="11">
        <v>-178</v>
      </c>
      <c r="BG143" s="11">
        <v>-983</v>
      </c>
      <c r="BH143" s="11">
        <v>-824</v>
      </c>
      <c r="BI143" s="11">
        <v>-2</v>
      </c>
      <c r="BJ143" s="11">
        <f t="shared" si="10"/>
        <v>3333</v>
      </c>
      <c r="BK143" s="1">
        <v>1</v>
      </c>
      <c r="BL143" s="1">
        <v>301</v>
      </c>
      <c r="BM143" s="1">
        <v>75</v>
      </c>
      <c r="BN143" s="1">
        <v>181</v>
      </c>
      <c r="BO143" s="1">
        <v>248</v>
      </c>
      <c r="BP143" s="1">
        <v>16</v>
      </c>
      <c r="BQ143" s="1">
        <v>1</v>
      </c>
      <c r="BR143" s="1">
        <v>6</v>
      </c>
      <c r="BS143" s="1">
        <v>47</v>
      </c>
      <c r="BT143" s="1">
        <v>99</v>
      </c>
      <c r="BU143" s="1">
        <v>1</v>
      </c>
      <c r="BV143" s="1">
        <v>31</v>
      </c>
      <c r="BW143" s="1">
        <v>25</v>
      </c>
      <c r="BX143" s="1">
        <v>152</v>
      </c>
      <c r="BY143" s="1">
        <v>409</v>
      </c>
      <c r="BZ143" s="1">
        <v>17</v>
      </c>
    </row>
    <row r="144" spans="1:78">
      <c r="A144" s="16">
        <v>15</v>
      </c>
      <c r="B144" s="59" t="s">
        <v>307</v>
      </c>
      <c r="C144" s="60" t="s">
        <v>305</v>
      </c>
      <c r="D144" s="59" t="s">
        <v>302</v>
      </c>
      <c r="E144" s="59" t="s">
        <v>298</v>
      </c>
      <c r="F144" s="59"/>
      <c r="G144" s="59" t="s">
        <v>290</v>
      </c>
      <c r="H144" s="11">
        <v>4653801</v>
      </c>
      <c r="I144" s="11">
        <v>4676897</v>
      </c>
      <c r="J144" s="11">
        <v>210586</v>
      </c>
      <c r="K144" s="52">
        <v>0</v>
      </c>
      <c r="L144" s="52">
        <v>228087</v>
      </c>
      <c r="M144" s="52">
        <v>1164457</v>
      </c>
      <c r="N144" s="52">
        <v>706869</v>
      </c>
      <c r="O144" s="52">
        <v>0</v>
      </c>
      <c r="P144" s="52">
        <v>368322</v>
      </c>
      <c r="Q144" s="52">
        <v>0</v>
      </c>
      <c r="R144" s="11">
        <v>1544259</v>
      </c>
      <c r="S144" s="11">
        <v>266858</v>
      </c>
      <c r="T144" s="11">
        <v>2335</v>
      </c>
      <c r="U144" s="11">
        <v>0</v>
      </c>
      <c r="V144" s="11">
        <v>4663406</v>
      </c>
      <c r="W144" s="13">
        <v>0.1358</v>
      </c>
      <c r="X144" s="11">
        <v>0</v>
      </c>
      <c r="Y144" s="26">
        <f>387421/4661071</f>
        <v>8.311845067367564E-2</v>
      </c>
      <c r="Z144" s="11">
        <v>382219</v>
      </c>
      <c r="AA144" s="11">
        <v>0</v>
      </c>
      <c r="AB144" s="11">
        <f>23023+123+655</f>
        <v>23801</v>
      </c>
      <c r="AC144" s="11">
        <v>127805</v>
      </c>
      <c r="AD144" s="11">
        <v>8835</v>
      </c>
      <c r="AE144" s="11">
        <v>11847</v>
      </c>
      <c r="AF144" s="11">
        <v>33678</v>
      </c>
      <c r="AG144" s="11">
        <v>2091</v>
      </c>
      <c r="AH144" s="11">
        <v>15928</v>
      </c>
      <c r="AI144" s="11">
        <v>1003</v>
      </c>
      <c r="AJ144" s="11">
        <v>0</v>
      </c>
      <c r="AK144" s="11">
        <f>4649+13415+2075</f>
        <v>20139</v>
      </c>
      <c r="AL144" s="11">
        <v>7886</v>
      </c>
      <c r="AM144" s="11">
        <v>0</v>
      </c>
      <c r="AN144" s="11">
        <v>0</v>
      </c>
      <c r="AO144" s="11">
        <v>0</v>
      </c>
      <c r="AP144" s="11">
        <v>5891</v>
      </c>
      <c r="AQ144" s="11">
        <v>41219</v>
      </c>
      <c r="AR144" s="11">
        <v>259912</v>
      </c>
      <c r="AS144" s="11">
        <v>282785</v>
      </c>
      <c r="AT144" s="11">
        <v>0</v>
      </c>
      <c r="AU144" s="11">
        <v>0</v>
      </c>
      <c r="AV144" s="11">
        <v>143628</v>
      </c>
      <c r="AW144" s="11">
        <v>0</v>
      </c>
      <c r="AX144" s="11">
        <v>31327</v>
      </c>
      <c r="AY144" s="11">
        <v>0</v>
      </c>
      <c r="AZ144" s="11">
        <v>0</v>
      </c>
      <c r="BA144" s="11">
        <v>0</v>
      </c>
      <c r="BB144" s="11">
        <v>866</v>
      </c>
      <c r="BC144" s="11">
        <v>501</v>
      </c>
      <c r="BD144" s="11">
        <v>51</v>
      </c>
      <c r="BE144" s="11">
        <v>0</v>
      </c>
      <c r="BF144" s="11">
        <v>-100</v>
      </c>
      <c r="BG144" s="11">
        <v>-248</v>
      </c>
      <c r="BH144" s="11">
        <v>-144</v>
      </c>
      <c r="BI144" s="11">
        <v>0</v>
      </c>
      <c r="BJ144" s="11">
        <f t="shared" si="10"/>
        <v>926</v>
      </c>
      <c r="BK144" s="1">
        <v>0</v>
      </c>
      <c r="BL144" s="36">
        <v>32</v>
      </c>
      <c r="BM144" s="36">
        <v>16</v>
      </c>
      <c r="BN144" s="36">
        <v>65</v>
      </c>
      <c r="BO144" s="36">
        <v>3</v>
      </c>
      <c r="BP144" s="36">
        <v>6</v>
      </c>
      <c r="BQ144" s="1">
        <v>1</v>
      </c>
      <c r="BR144" s="1">
        <v>2</v>
      </c>
      <c r="BS144" s="1">
        <v>19</v>
      </c>
      <c r="BT144" s="1">
        <v>27</v>
      </c>
      <c r="BU144" s="1">
        <v>2</v>
      </c>
      <c r="BV144" s="1">
        <v>1</v>
      </c>
      <c r="BW144" s="1">
        <v>3</v>
      </c>
      <c r="BX144" s="1">
        <v>17</v>
      </c>
      <c r="BY144" s="1">
        <v>60</v>
      </c>
      <c r="BZ144" s="1">
        <v>5</v>
      </c>
    </row>
    <row r="145" spans="1:78">
      <c r="A145" s="16">
        <v>15</v>
      </c>
      <c r="B145" s="59" t="s">
        <v>611</v>
      </c>
      <c r="C145" s="60" t="s">
        <v>169</v>
      </c>
      <c r="D145" s="59" t="s">
        <v>590</v>
      </c>
      <c r="E145" s="59" t="s">
        <v>108</v>
      </c>
      <c r="F145" s="59" t="s">
        <v>618</v>
      </c>
      <c r="G145" s="59" t="s">
        <v>109</v>
      </c>
      <c r="H145" s="11">
        <v>20472837</v>
      </c>
      <c r="I145" s="11">
        <v>20529796</v>
      </c>
      <c r="J145" s="11">
        <v>970568</v>
      </c>
      <c r="K145" s="52">
        <v>0</v>
      </c>
      <c r="L145" s="52">
        <v>1740098</v>
      </c>
      <c r="M145" s="52">
        <v>5202368</v>
      </c>
      <c r="N145" s="52">
        <v>301772</v>
      </c>
      <c r="O145" s="52">
        <v>0</v>
      </c>
      <c r="P145" s="52">
        <v>2024307</v>
      </c>
      <c r="Q145" s="52">
        <v>0</v>
      </c>
      <c r="R145" s="11">
        <v>7045028</v>
      </c>
      <c r="S145" s="11">
        <v>1573110</v>
      </c>
      <c r="T145" s="11">
        <v>0</v>
      </c>
      <c r="U145" s="11">
        <v>0</v>
      </c>
      <c r="V145" s="11">
        <v>19269937</v>
      </c>
      <c r="W145" s="13">
        <v>7.6799999999999993E-2</v>
      </c>
      <c r="X145" s="11">
        <v>0</v>
      </c>
      <c r="Y145" s="26">
        <f>1382186/19155734</f>
        <v>7.215520950541493E-2</v>
      </c>
      <c r="Z145" s="11">
        <v>1383354</v>
      </c>
      <c r="AA145" s="11">
        <v>0</v>
      </c>
      <c r="AB145" s="11">
        <f>56959+1748</f>
        <v>58707</v>
      </c>
      <c r="AC145" s="11">
        <v>567978</v>
      </c>
      <c r="AD145" s="11">
        <v>47265</v>
      </c>
      <c r="AE145" s="11">
        <v>103684</v>
      </c>
      <c r="AF145" s="11">
        <f>203676+150</f>
        <v>203826</v>
      </c>
      <c r="AG145" s="11">
        <v>4683</v>
      </c>
      <c r="AH145" s="11">
        <v>40676</v>
      </c>
      <c r="AI145" s="11">
        <v>1500</v>
      </c>
      <c r="AJ145" s="11">
        <v>18841</v>
      </c>
      <c r="AK145" s="11">
        <f>16419+19837+28815</f>
        <v>65071</v>
      </c>
      <c r="AL145" s="11">
        <v>11525</v>
      </c>
      <c r="AM145" s="11">
        <v>0</v>
      </c>
      <c r="AN145" s="11">
        <v>0</v>
      </c>
      <c r="AO145" s="11">
        <v>1311</v>
      </c>
      <c r="AP145" s="11">
        <v>117848</v>
      </c>
      <c r="AQ145" s="11">
        <v>0</v>
      </c>
      <c r="AR145" s="11">
        <v>1238559</v>
      </c>
      <c r="AS145" s="11">
        <v>1339009</v>
      </c>
      <c r="AT145" s="11">
        <v>0</v>
      </c>
      <c r="AU145" s="11">
        <v>0</v>
      </c>
      <c r="AV145" s="11">
        <v>143628</v>
      </c>
      <c r="AW145" s="11">
        <v>0</v>
      </c>
      <c r="AX145" s="11">
        <v>167141</v>
      </c>
      <c r="AY145" s="11">
        <v>0</v>
      </c>
      <c r="AZ145" s="11">
        <v>0</v>
      </c>
      <c r="BA145" s="11">
        <v>0</v>
      </c>
      <c r="BB145" s="11">
        <v>3968</v>
      </c>
      <c r="BC145" s="11">
        <v>1335</v>
      </c>
      <c r="BD145" s="11">
        <v>8</v>
      </c>
      <c r="BE145" s="11">
        <v>12</v>
      </c>
      <c r="BF145" s="11">
        <v>-215</v>
      </c>
      <c r="BG145" s="11">
        <v>-881</v>
      </c>
      <c r="BH145" s="11">
        <v>-807</v>
      </c>
      <c r="BI145" s="11">
        <v>-1</v>
      </c>
      <c r="BJ145" s="11">
        <f t="shared" si="10"/>
        <v>3419</v>
      </c>
      <c r="BK145" s="1">
        <v>15</v>
      </c>
      <c r="BL145" s="1">
        <v>341</v>
      </c>
      <c r="BM145" s="1">
        <v>68</v>
      </c>
      <c r="BN145" s="1">
        <v>145</v>
      </c>
      <c r="BO145" s="1">
        <v>181</v>
      </c>
      <c r="BP145" s="1">
        <v>73</v>
      </c>
      <c r="BQ145" s="1">
        <v>74</v>
      </c>
      <c r="BR145" s="1">
        <v>18</v>
      </c>
      <c r="BS145" s="1">
        <v>27</v>
      </c>
      <c r="BT145" s="1">
        <v>56</v>
      </c>
      <c r="BU145" s="1">
        <v>0</v>
      </c>
      <c r="BV145" s="1">
        <v>244</v>
      </c>
      <c r="BW145" s="1">
        <v>32</v>
      </c>
      <c r="BX145" s="1">
        <v>53</v>
      </c>
      <c r="BY145" s="1">
        <v>200</v>
      </c>
      <c r="BZ145" s="1">
        <v>0</v>
      </c>
    </row>
    <row r="146" spans="1:78">
      <c r="A146" s="16">
        <v>16</v>
      </c>
      <c r="B146" s="59" t="s">
        <v>142</v>
      </c>
      <c r="C146" s="60" t="s">
        <v>35</v>
      </c>
      <c r="D146" s="59" t="s">
        <v>500</v>
      </c>
      <c r="E146" s="59" t="s">
        <v>108</v>
      </c>
      <c r="F146" s="59" t="s">
        <v>121</v>
      </c>
      <c r="G146" s="59" t="s">
        <v>109</v>
      </c>
      <c r="H146" s="11">
        <v>17783597</v>
      </c>
      <c r="I146" s="11">
        <v>17853703</v>
      </c>
      <c r="J146" s="11">
        <v>2789549</v>
      </c>
      <c r="K146" s="52">
        <v>0</v>
      </c>
      <c r="L146" s="52">
        <v>0</v>
      </c>
      <c r="M146" s="52">
        <v>0</v>
      </c>
      <c r="N146" s="52">
        <v>5506157</v>
      </c>
      <c r="O146" s="52">
        <v>0</v>
      </c>
      <c r="P146" s="52">
        <v>0</v>
      </c>
      <c r="Q146" s="52">
        <v>3368500</v>
      </c>
      <c r="R146" s="11">
        <v>4754906</v>
      </c>
      <c r="S146" s="11">
        <v>589644</v>
      </c>
      <c r="T146" s="11">
        <v>14609</v>
      </c>
      <c r="U146" s="11">
        <v>0</v>
      </c>
      <c r="V146" s="11">
        <v>15439415</v>
      </c>
      <c r="W146" s="13">
        <v>0.04</v>
      </c>
      <c r="X146" s="11">
        <v>0</v>
      </c>
      <c r="Y146" s="26">
        <f>1175045/15424806</f>
        <v>7.6178915961730737E-2</v>
      </c>
      <c r="Z146" s="11">
        <v>1181783</v>
      </c>
      <c r="AA146" s="11">
        <v>0</v>
      </c>
      <c r="AB146" s="11">
        <f>70106+2160</f>
        <v>72266</v>
      </c>
      <c r="AC146" s="11">
        <v>653995</v>
      </c>
      <c r="AD146" s="11">
        <v>54623</v>
      </c>
      <c r="AE146" s="11">
        <v>97137</v>
      </c>
      <c r="AF146" s="11">
        <f>165949+145</f>
        <v>166094</v>
      </c>
      <c r="AG146" s="11">
        <v>14674</v>
      </c>
      <c r="AH146" s="11">
        <v>18771</v>
      </c>
      <c r="AI146" s="11">
        <v>1338</v>
      </c>
      <c r="AJ146" s="11">
        <v>0</v>
      </c>
      <c r="AK146" s="11">
        <f>20075+19604+21217</f>
        <v>60896</v>
      </c>
      <c r="AL146" s="11">
        <v>11223</v>
      </c>
      <c r="AM146" s="11">
        <v>911</v>
      </c>
      <c r="AN146" s="11">
        <v>3542</v>
      </c>
      <c r="AO146" s="11">
        <v>15489</v>
      </c>
      <c r="AP146" s="11">
        <v>15510</v>
      </c>
      <c r="AQ146" s="11">
        <v>0</v>
      </c>
      <c r="AR146" s="11">
        <v>1195613</v>
      </c>
      <c r="AS146" s="11">
        <v>1265015</v>
      </c>
      <c r="AT146" s="11">
        <v>0</v>
      </c>
      <c r="AU146" s="11">
        <v>0</v>
      </c>
      <c r="AV146" s="11">
        <v>143628</v>
      </c>
      <c r="AW146" s="11">
        <v>0</v>
      </c>
      <c r="AX146" s="11">
        <v>184477</v>
      </c>
      <c r="AY146" s="11">
        <v>0</v>
      </c>
      <c r="AZ146" s="11">
        <v>0</v>
      </c>
      <c r="BA146" s="11">
        <v>0</v>
      </c>
      <c r="BB146" s="11">
        <v>2371</v>
      </c>
      <c r="BC146" s="11">
        <v>920</v>
      </c>
      <c r="BD146" s="11">
        <v>0</v>
      </c>
      <c r="BE146" s="11">
        <v>-1</v>
      </c>
      <c r="BF146" s="11">
        <v>-134</v>
      </c>
      <c r="BG146" s="11">
        <v>-785</v>
      </c>
      <c r="BH146" s="11">
        <v>-584</v>
      </c>
      <c r="BI146" s="11">
        <v>-10</v>
      </c>
      <c r="BJ146" s="11">
        <f t="shared" si="10"/>
        <v>1777</v>
      </c>
      <c r="BK146" s="1">
        <v>17</v>
      </c>
      <c r="BL146" s="1">
        <v>304</v>
      </c>
      <c r="BM146" s="1">
        <v>40</v>
      </c>
      <c r="BN146" s="1">
        <v>113</v>
      </c>
      <c r="BO146" s="1">
        <v>72</v>
      </c>
      <c r="BP146" s="1">
        <v>55</v>
      </c>
      <c r="BQ146" s="1">
        <v>0</v>
      </c>
      <c r="BR146" s="1">
        <v>4</v>
      </c>
      <c r="BS146" s="1">
        <v>13</v>
      </c>
      <c r="BT146" s="1">
        <v>91</v>
      </c>
      <c r="BU146" s="1">
        <v>28</v>
      </c>
      <c r="BV146" s="1">
        <v>10</v>
      </c>
      <c r="BW146" s="1">
        <v>10</v>
      </c>
      <c r="BX146" s="1">
        <v>39</v>
      </c>
      <c r="BY146" s="1">
        <v>231</v>
      </c>
      <c r="BZ146" s="1">
        <v>60</v>
      </c>
    </row>
    <row r="147" spans="1:78">
      <c r="A147" s="16">
        <v>16</v>
      </c>
      <c r="B147" s="59" t="s">
        <v>163</v>
      </c>
      <c r="C147" s="60" t="s">
        <v>457</v>
      </c>
      <c r="D147" s="59" t="s">
        <v>393</v>
      </c>
      <c r="E147" s="59" t="s">
        <v>108</v>
      </c>
      <c r="F147" s="59" t="s">
        <v>121</v>
      </c>
      <c r="G147" s="59" t="s">
        <v>109</v>
      </c>
      <c r="H147" s="11">
        <v>18104180</v>
      </c>
      <c r="I147" s="11">
        <v>18134020</v>
      </c>
      <c r="J147" s="11">
        <v>775195</v>
      </c>
      <c r="K147" s="52">
        <v>0</v>
      </c>
      <c r="L147" s="52">
        <v>0</v>
      </c>
      <c r="M147" s="52">
        <v>0</v>
      </c>
      <c r="N147" s="52">
        <v>8635715</v>
      </c>
      <c r="O147" s="52">
        <v>0</v>
      </c>
      <c r="P147" s="52">
        <v>0</v>
      </c>
      <c r="Q147" s="52">
        <v>2914261</v>
      </c>
      <c r="R147" s="11">
        <v>2782573</v>
      </c>
      <c r="S147" s="11">
        <v>1631326</v>
      </c>
      <c r="T147" s="11">
        <v>16863</v>
      </c>
      <c r="U147" s="11">
        <v>0</v>
      </c>
      <c r="V147" s="11">
        <v>17541157</v>
      </c>
      <c r="W147" s="13">
        <v>0.02</v>
      </c>
      <c r="X147" s="11">
        <v>0</v>
      </c>
      <c r="Y147" s="26">
        <f>1559662/17524294</f>
        <v>8.8999990527435804E-2</v>
      </c>
      <c r="Z147" s="11">
        <v>1560419</v>
      </c>
      <c r="AA147" s="11">
        <v>0</v>
      </c>
      <c r="AB147" s="11">
        <f>29840+516</f>
        <v>30356</v>
      </c>
      <c r="AC147" s="11">
        <v>800680</v>
      </c>
      <c r="AD147" s="11">
        <v>68198</v>
      </c>
      <c r="AE147" s="11">
        <v>107993</v>
      </c>
      <c r="AF147" s="11">
        <v>195323</v>
      </c>
      <c r="AG147" s="11">
        <v>22580</v>
      </c>
      <c r="AH147" s="11">
        <v>33857</v>
      </c>
      <c r="AI147" s="11">
        <v>17090</v>
      </c>
      <c r="AJ147" s="11">
        <v>0</v>
      </c>
      <c r="AK147" s="11">
        <f>17001+23855+49611</f>
        <v>90467</v>
      </c>
      <c r="AL147" s="11">
        <v>13708</v>
      </c>
      <c r="AM147" s="11">
        <v>0</v>
      </c>
      <c r="AN147" s="11">
        <v>0</v>
      </c>
      <c r="AO147" s="11">
        <v>23674</v>
      </c>
      <c r="AP147" s="11">
        <v>3732</v>
      </c>
      <c r="AQ147" s="11">
        <v>0</v>
      </c>
      <c r="AR147" s="11">
        <v>1447031</v>
      </c>
      <c r="AS147" s="11">
        <v>1633659</v>
      </c>
      <c r="AT147" s="11">
        <v>0</v>
      </c>
      <c r="AU147" s="11">
        <v>0</v>
      </c>
      <c r="AV147" s="11">
        <v>143628</v>
      </c>
      <c r="AW147" s="11">
        <v>0</v>
      </c>
      <c r="AX147" s="11">
        <v>186498</v>
      </c>
      <c r="AY147" s="11">
        <v>0</v>
      </c>
      <c r="AZ147" s="11">
        <v>0</v>
      </c>
      <c r="BA147" s="11">
        <v>0</v>
      </c>
      <c r="BB147" s="11">
        <v>3958</v>
      </c>
      <c r="BC147" s="11">
        <v>3474</v>
      </c>
      <c r="BD147" s="11">
        <v>0</v>
      </c>
      <c r="BE147" s="11">
        <v>0</v>
      </c>
      <c r="BF147" s="11">
        <v>-264</v>
      </c>
      <c r="BG147" s="11">
        <v>-2357</v>
      </c>
      <c r="BH147" s="11">
        <v>-289</v>
      </c>
      <c r="BI147" s="11">
        <v>0</v>
      </c>
      <c r="BJ147" s="11">
        <f t="shared" si="10"/>
        <v>4522</v>
      </c>
      <c r="BK147" s="1">
        <v>0</v>
      </c>
      <c r="BL147" s="1">
        <v>95</v>
      </c>
      <c r="BM147" s="1">
        <v>11</v>
      </c>
      <c r="BN147" s="1">
        <v>81</v>
      </c>
      <c r="BO147" s="1">
        <v>102</v>
      </c>
      <c r="BP147" s="1">
        <v>0</v>
      </c>
      <c r="BQ147" s="1">
        <v>27</v>
      </c>
      <c r="BR147" s="1">
        <v>3</v>
      </c>
      <c r="BS147" s="1">
        <v>25</v>
      </c>
      <c r="BT147" s="1">
        <v>24</v>
      </c>
      <c r="BU147" s="1">
        <v>0</v>
      </c>
      <c r="BV147" s="1">
        <v>223</v>
      </c>
      <c r="BW147" s="1">
        <v>6</v>
      </c>
      <c r="BX147" s="1">
        <v>50</v>
      </c>
      <c r="BY147" s="1">
        <v>159</v>
      </c>
      <c r="BZ147" s="1">
        <v>0</v>
      </c>
    </row>
    <row r="148" spans="1:78">
      <c r="A148" s="16">
        <v>16</v>
      </c>
      <c r="B148" s="59" t="s">
        <v>168</v>
      </c>
      <c r="C148" s="60" t="s">
        <v>576</v>
      </c>
      <c r="D148" s="59" t="s">
        <v>567</v>
      </c>
      <c r="E148" s="59" t="s">
        <v>108</v>
      </c>
      <c r="F148" s="59" t="s">
        <v>121</v>
      </c>
      <c r="G148" s="59" t="s">
        <v>109</v>
      </c>
      <c r="H148" s="11">
        <v>26001451</v>
      </c>
      <c r="I148" s="11">
        <v>26059986</v>
      </c>
      <c r="J148" s="11">
        <v>1014650</v>
      </c>
      <c r="K148" s="52">
        <v>0</v>
      </c>
      <c r="L148" s="52">
        <v>3726500</v>
      </c>
      <c r="M148" s="52">
        <v>0</v>
      </c>
      <c r="N148" s="52">
        <v>9171145</v>
      </c>
      <c r="O148" s="52">
        <v>0</v>
      </c>
      <c r="P148" s="52">
        <v>2579472</v>
      </c>
      <c r="Q148" s="52">
        <v>0</v>
      </c>
      <c r="R148" s="11">
        <v>6086279</v>
      </c>
      <c r="S148" s="11">
        <v>1621738</v>
      </c>
      <c r="T148" s="11">
        <v>34538</v>
      </c>
      <c r="U148" s="11">
        <v>0</v>
      </c>
      <c r="V148" s="11">
        <v>24625370</v>
      </c>
      <c r="W148" s="13">
        <v>0.09</v>
      </c>
      <c r="X148" s="11">
        <v>0</v>
      </c>
      <c r="Y148" s="26">
        <f>1350773/24556968</f>
        <v>5.5005691256347279E-2</v>
      </c>
      <c r="Z148" s="11">
        <v>1349010</v>
      </c>
      <c r="AA148" s="11">
        <v>0</v>
      </c>
      <c r="AB148" s="11">
        <f>58535+3227</f>
        <v>61762</v>
      </c>
      <c r="AC148" s="11">
        <v>692974</v>
      </c>
      <c r="AD148" s="11">
        <v>60969</v>
      </c>
      <c r="AE148" s="11">
        <v>109783</v>
      </c>
      <c r="AF148" s="11">
        <v>135729</v>
      </c>
      <c r="AG148" s="11">
        <v>9580</v>
      </c>
      <c r="AH148" s="11">
        <v>40750</v>
      </c>
      <c r="AI148" s="11">
        <v>0</v>
      </c>
      <c r="AJ148" s="11">
        <v>0</v>
      </c>
      <c r="AK148" s="11">
        <f>27375+32011+63976</f>
        <v>123362</v>
      </c>
      <c r="AL148" s="11">
        <v>12994</v>
      </c>
      <c r="AM148" s="11">
        <v>988</v>
      </c>
      <c r="AN148" s="11">
        <v>0</v>
      </c>
      <c r="AO148" s="11">
        <v>41365</v>
      </c>
      <c r="AP148" s="11">
        <v>40224</v>
      </c>
      <c r="AQ148" s="11">
        <v>0</v>
      </c>
      <c r="AR148" s="11">
        <v>1338716</v>
      </c>
      <c r="AS148" s="11">
        <v>1374928</v>
      </c>
      <c r="AT148" s="11">
        <v>0</v>
      </c>
      <c r="AU148" s="11">
        <v>0</v>
      </c>
      <c r="AV148" s="11">
        <v>143628</v>
      </c>
      <c r="AW148" s="11">
        <v>0</v>
      </c>
      <c r="AX148" s="11">
        <v>143891</v>
      </c>
      <c r="AY148" s="11">
        <v>0</v>
      </c>
      <c r="AZ148" s="11">
        <v>0</v>
      </c>
      <c r="BA148" s="11">
        <v>0</v>
      </c>
      <c r="BB148" s="11">
        <v>3932</v>
      </c>
      <c r="BC148" s="11">
        <v>4048</v>
      </c>
      <c r="BD148" s="11">
        <v>13</v>
      </c>
      <c r="BE148" s="11">
        <f>72-14</f>
        <v>58</v>
      </c>
      <c r="BF148" s="11">
        <v>-264</v>
      </c>
      <c r="BG148" s="11">
        <v>-2493</v>
      </c>
      <c r="BH148" s="11">
        <v>-460</v>
      </c>
      <c r="BI148" s="11">
        <v>0</v>
      </c>
      <c r="BJ148" s="11">
        <f t="shared" si="10"/>
        <v>4834</v>
      </c>
      <c r="BK148" s="1">
        <v>0</v>
      </c>
      <c r="BL148" s="1">
        <v>329</v>
      </c>
      <c r="BM148" s="1">
        <v>3</v>
      </c>
      <c r="BN148" s="1">
        <v>6</v>
      </c>
      <c r="BO148" s="1">
        <v>5</v>
      </c>
      <c r="BP148" s="1">
        <v>181</v>
      </c>
      <c r="BQ148" s="1">
        <v>1</v>
      </c>
      <c r="BR148" s="1">
        <v>7</v>
      </c>
      <c r="BS148" s="1">
        <v>29</v>
      </c>
      <c r="BT148" s="1">
        <v>181</v>
      </c>
      <c r="BU148" s="1">
        <v>87</v>
      </c>
      <c r="BV148" s="1">
        <v>23</v>
      </c>
      <c r="BW148" s="1">
        <v>39</v>
      </c>
      <c r="BX148" s="1">
        <v>105</v>
      </c>
      <c r="BY148" s="1">
        <v>897</v>
      </c>
      <c r="BZ148" s="1">
        <v>337</v>
      </c>
    </row>
    <row r="149" spans="1:78">
      <c r="A149" s="16">
        <v>16</v>
      </c>
      <c r="B149" s="59" t="s">
        <v>203</v>
      </c>
      <c r="C149" s="60" t="s">
        <v>213</v>
      </c>
      <c r="D149" s="59" t="s">
        <v>393</v>
      </c>
      <c r="E149" s="59" t="s">
        <v>108</v>
      </c>
      <c r="F149" s="59" t="s">
        <v>121</v>
      </c>
      <c r="G149" s="59" t="s">
        <v>109</v>
      </c>
      <c r="H149" s="11">
        <v>18682158</v>
      </c>
      <c r="I149" s="11">
        <v>18735256</v>
      </c>
      <c r="J149" s="11">
        <v>1255511</v>
      </c>
      <c r="K149" s="52">
        <v>0</v>
      </c>
      <c r="L149" s="52">
        <v>633844</v>
      </c>
      <c r="M149" s="52">
        <v>202920</v>
      </c>
      <c r="N149" s="52">
        <v>8162672</v>
      </c>
      <c r="O149" s="52">
        <v>0</v>
      </c>
      <c r="P149" s="52">
        <v>834461</v>
      </c>
      <c r="Q149" s="52">
        <v>1798941</v>
      </c>
      <c r="R149" s="11">
        <v>3204823</v>
      </c>
      <c r="S149" s="11">
        <v>1674517</v>
      </c>
      <c r="T149" s="11">
        <v>51215</v>
      </c>
      <c r="U149" s="11">
        <v>0</v>
      </c>
      <c r="V149" s="11">
        <v>17923515</v>
      </c>
      <c r="W149" s="13">
        <v>7.9799999999999996E-2</v>
      </c>
      <c r="X149" s="11">
        <v>0</v>
      </c>
      <c r="Y149" s="26">
        <f>1363155/17476135</f>
        <v>7.8000942428059758E-2</v>
      </c>
      <c r="Z149" s="11">
        <v>1360122</v>
      </c>
      <c r="AA149" s="11">
        <v>0</v>
      </c>
      <c r="AB149" s="11">
        <f>53098+5644</f>
        <v>58742</v>
      </c>
      <c r="AC149" s="11">
        <v>742167</v>
      </c>
      <c r="AD149" s="11">
        <v>66392</v>
      </c>
      <c r="AE149" s="11">
        <v>91428</v>
      </c>
      <c r="AF149" s="11">
        <f>42172+2735</f>
        <v>44907</v>
      </c>
      <c r="AG149" s="11">
        <v>11575</v>
      </c>
      <c r="AH149" s="11">
        <v>61895</v>
      </c>
      <c r="AI149" s="11">
        <v>5100</v>
      </c>
      <c r="AJ149" s="11">
        <v>0</v>
      </c>
      <c r="AK149" s="11">
        <f>15514+41088+54929</f>
        <v>111531</v>
      </c>
      <c r="AL149" s="11">
        <v>14026</v>
      </c>
      <c r="AM149" s="11">
        <v>769</v>
      </c>
      <c r="AN149" s="11">
        <v>0</v>
      </c>
      <c r="AO149" s="11">
        <v>21753</v>
      </c>
      <c r="AP149" s="11">
        <v>24607</v>
      </c>
      <c r="AQ149" s="11">
        <v>0</v>
      </c>
      <c r="AR149" s="11">
        <v>1360419</v>
      </c>
      <c r="AS149" s="11">
        <v>1390766</v>
      </c>
      <c r="AT149" s="11">
        <v>0</v>
      </c>
      <c r="AU149" s="11">
        <v>0</v>
      </c>
      <c r="AV149" s="11">
        <v>143628</v>
      </c>
      <c r="AW149" s="11">
        <v>0</v>
      </c>
      <c r="AX149" s="11">
        <v>184827</v>
      </c>
      <c r="AY149" s="11">
        <v>0</v>
      </c>
      <c r="AZ149" s="11">
        <v>0</v>
      </c>
      <c r="BA149" s="11">
        <v>0</v>
      </c>
      <c r="BB149" s="11">
        <v>3411</v>
      </c>
      <c r="BC149" s="11">
        <v>3518</v>
      </c>
      <c r="BD149" s="11">
        <v>37</v>
      </c>
      <c r="BE149" s="11">
        <f>3+41-2</f>
        <v>42</v>
      </c>
      <c r="BF149" s="11">
        <v>-287</v>
      </c>
      <c r="BG149" s="11">
        <v>-3234</v>
      </c>
      <c r="BH149" s="11">
        <v>-301</v>
      </c>
      <c r="BI149" s="11">
        <v>0</v>
      </c>
      <c r="BJ149" s="11">
        <f t="shared" si="10"/>
        <v>3186</v>
      </c>
      <c r="BK149" s="1">
        <v>4</v>
      </c>
      <c r="BL149" s="1">
        <v>85</v>
      </c>
      <c r="BM149" s="1">
        <v>13</v>
      </c>
      <c r="BN149" s="1">
        <v>72</v>
      </c>
      <c r="BO149" s="1">
        <v>76</v>
      </c>
      <c r="BP149" s="1">
        <v>55</v>
      </c>
      <c r="BQ149" s="1">
        <v>0</v>
      </c>
      <c r="BR149" s="1">
        <v>1</v>
      </c>
      <c r="BS149" s="1">
        <v>28</v>
      </c>
      <c r="BT149" s="1">
        <v>51</v>
      </c>
      <c r="BU149" s="1">
        <v>0</v>
      </c>
      <c r="BV149" s="1">
        <v>22</v>
      </c>
      <c r="BW149" s="1">
        <v>12</v>
      </c>
      <c r="BX149" s="1">
        <v>98</v>
      </c>
      <c r="BY149" s="1">
        <v>367</v>
      </c>
      <c r="BZ149" s="1">
        <v>94</v>
      </c>
    </row>
    <row r="150" spans="1:78">
      <c r="A150" s="16">
        <v>16</v>
      </c>
      <c r="B150" s="59" t="s">
        <v>578</v>
      </c>
      <c r="C150" s="60" t="s">
        <v>216</v>
      </c>
      <c r="D150" s="59" t="s">
        <v>591</v>
      </c>
      <c r="E150" s="59" t="s">
        <v>108</v>
      </c>
      <c r="F150" s="59" t="s">
        <v>121</v>
      </c>
      <c r="G150" s="59" t="s">
        <v>109</v>
      </c>
      <c r="H150" s="11">
        <v>19588325</v>
      </c>
      <c r="I150" s="11">
        <v>19624210</v>
      </c>
      <c r="J150" s="11">
        <v>1541227</v>
      </c>
      <c r="K150" s="52">
        <v>0</v>
      </c>
      <c r="L150" s="52">
        <v>0</v>
      </c>
      <c r="M150" s="52">
        <v>0</v>
      </c>
      <c r="N150" s="52">
        <v>7699299</v>
      </c>
      <c r="O150" s="52">
        <v>0</v>
      </c>
      <c r="P150" s="52">
        <v>3583524</v>
      </c>
      <c r="Q150" s="52">
        <v>0</v>
      </c>
      <c r="R150" s="11">
        <v>3902768</v>
      </c>
      <c r="S150" s="11">
        <v>1638142</v>
      </c>
      <c r="T150" s="11">
        <v>26429</v>
      </c>
      <c r="U150" s="11">
        <v>0</v>
      </c>
      <c r="V150" s="11">
        <v>18248553</v>
      </c>
      <c r="W150" s="13">
        <v>0.15</v>
      </c>
      <c r="X150" s="11">
        <v>0</v>
      </c>
      <c r="Y150" s="26">
        <f>1400022/17999585</f>
        <v>7.7780793279400615E-2</v>
      </c>
      <c r="Z150" s="11">
        <v>1398391</v>
      </c>
      <c r="AA150" s="11">
        <v>0</v>
      </c>
      <c r="AB150" s="11">
        <f>35885+1816</f>
        <v>37701</v>
      </c>
      <c r="AC150" s="11">
        <v>720636</v>
      </c>
      <c r="AD150" s="11">
        <v>65070</v>
      </c>
      <c r="AE150" s="11">
        <v>108227</v>
      </c>
      <c r="AF150" s="11">
        <v>146075</v>
      </c>
      <c r="AG150" s="11">
        <v>9766</v>
      </c>
      <c r="AH150" s="11">
        <v>32318</v>
      </c>
      <c r="AI150" s="11">
        <v>134</v>
      </c>
      <c r="AJ150" s="11">
        <v>0</v>
      </c>
      <c r="AK150" s="11">
        <f>14479+24929+56088</f>
        <v>95496</v>
      </c>
      <c r="AL150" s="11">
        <v>15510</v>
      </c>
      <c r="AM150" s="11">
        <v>403</v>
      </c>
      <c r="AN150" s="11">
        <v>0</v>
      </c>
      <c r="AO150" s="11">
        <v>27927</v>
      </c>
      <c r="AP150" s="11">
        <v>15196</v>
      </c>
      <c r="AQ150" s="11">
        <v>0</v>
      </c>
      <c r="AR150" s="11">
        <v>1326786</v>
      </c>
      <c r="AS150" s="11">
        <v>1363439</v>
      </c>
      <c r="AT150" s="11">
        <v>0</v>
      </c>
      <c r="AU150" s="11">
        <v>0</v>
      </c>
      <c r="AV150" s="11">
        <v>143628</v>
      </c>
      <c r="AW150" s="11">
        <v>0</v>
      </c>
      <c r="AX150" s="11">
        <v>174796</v>
      </c>
      <c r="AY150" s="11">
        <v>0</v>
      </c>
      <c r="AZ150" s="11">
        <v>0</v>
      </c>
      <c r="BA150" s="11">
        <v>0</v>
      </c>
      <c r="BB150" s="11">
        <v>3573</v>
      </c>
      <c r="BC150" s="11">
        <v>2113</v>
      </c>
      <c r="BD150" s="11">
        <v>0</v>
      </c>
      <c r="BE150" s="11">
        <v>0</v>
      </c>
      <c r="BF150" s="11">
        <v>-235</v>
      </c>
      <c r="BG150" s="11">
        <v>-1401</v>
      </c>
      <c r="BH150" s="11">
        <v>-423</v>
      </c>
      <c r="BI150" s="11">
        <v>0</v>
      </c>
      <c r="BJ150" s="11">
        <f t="shared" si="10"/>
        <v>3627</v>
      </c>
      <c r="BK150" s="1">
        <v>14</v>
      </c>
      <c r="BL150" s="1">
        <v>75</v>
      </c>
      <c r="BM150" s="1">
        <v>26</v>
      </c>
      <c r="BN150" s="1">
        <v>193</v>
      </c>
      <c r="BO150" s="1">
        <v>69</v>
      </c>
      <c r="BP150" s="1">
        <v>31</v>
      </c>
      <c r="BQ150" s="1">
        <v>2</v>
      </c>
      <c r="BR150" s="1">
        <v>1</v>
      </c>
      <c r="BS150" s="1">
        <v>33</v>
      </c>
      <c r="BT150" s="1">
        <v>85</v>
      </c>
      <c r="BU150" s="1">
        <v>4</v>
      </c>
      <c r="BV150" s="1">
        <v>19</v>
      </c>
      <c r="BW150" s="1">
        <v>18</v>
      </c>
      <c r="BX150" s="1">
        <v>83</v>
      </c>
      <c r="BY150" s="1">
        <v>358</v>
      </c>
      <c r="BZ150" s="1">
        <v>85</v>
      </c>
    </row>
    <row r="151" spans="1:78">
      <c r="A151" s="16">
        <v>17</v>
      </c>
      <c r="B151" s="59" t="s">
        <v>96</v>
      </c>
      <c r="C151" s="60" t="s">
        <v>413</v>
      </c>
      <c r="D151" s="59" t="s">
        <v>291</v>
      </c>
      <c r="E151" s="59" t="s">
        <v>108</v>
      </c>
      <c r="F151" s="59" t="s">
        <v>479</v>
      </c>
      <c r="G151" s="59" t="s">
        <v>109</v>
      </c>
      <c r="H151" s="11">
        <v>35332223</v>
      </c>
      <c r="I151" s="11">
        <v>35443143</v>
      </c>
      <c r="J151" s="11">
        <v>1947746</v>
      </c>
      <c r="K151" s="52">
        <v>0</v>
      </c>
      <c r="L151" s="52">
        <v>0</v>
      </c>
      <c r="M151" s="52">
        <v>0</v>
      </c>
      <c r="N151" s="52">
        <v>15793453</v>
      </c>
      <c r="O151" s="52">
        <v>0</v>
      </c>
      <c r="P151" s="52">
        <v>0</v>
      </c>
      <c r="Q151" s="52">
        <v>7112609</v>
      </c>
      <c r="R151" s="11">
        <v>7293005</v>
      </c>
      <c r="S151" s="11">
        <v>2228018</v>
      </c>
      <c r="T151" s="11">
        <v>0</v>
      </c>
      <c r="U151" s="11">
        <v>0</v>
      </c>
      <c r="V151" s="11">
        <v>33892912</v>
      </c>
      <c r="W151" s="13">
        <v>8.5300000000000001E-2</v>
      </c>
      <c r="X151" s="11">
        <v>0</v>
      </c>
      <c r="Y151" s="26">
        <f>1450459/33892913</f>
        <v>4.2795347806191812E-2</v>
      </c>
      <c r="Z151" s="11">
        <v>1450402</v>
      </c>
      <c r="AA151" s="11">
        <v>0</v>
      </c>
      <c r="AB151" s="11">
        <f>110920+1445</f>
        <v>112365</v>
      </c>
      <c r="AC151" s="11">
        <v>844354</v>
      </c>
      <c r="AD151" s="11">
        <v>71284</v>
      </c>
      <c r="AE151" s="11">
        <v>124899</v>
      </c>
      <c r="AF151" s="11">
        <v>105614</v>
      </c>
      <c r="AG151" s="11">
        <v>4043</v>
      </c>
      <c r="AH151" s="11">
        <v>31276</v>
      </c>
      <c r="AI151" s="11">
        <v>7727</v>
      </c>
      <c r="AJ151" s="11">
        <v>26826</v>
      </c>
      <c r="AK151" s="11">
        <f>17150+42635+54517</f>
        <v>114302</v>
      </c>
      <c r="AL151" s="11">
        <v>8774</v>
      </c>
      <c r="AM151" s="11">
        <v>896</v>
      </c>
      <c r="AN151" s="11">
        <v>0</v>
      </c>
      <c r="AO151" s="11">
        <v>25739</v>
      </c>
      <c r="AP151" s="11">
        <v>17051</v>
      </c>
      <c r="AQ151" s="11">
        <v>0</v>
      </c>
      <c r="AR151" s="11">
        <v>1443971</v>
      </c>
      <c r="AS151" s="11">
        <v>1553523</v>
      </c>
      <c r="AT151" s="11">
        <v>0</v>
      </c>
      <c r="AU151" s="11">
        <v>0</v>
      </c>
      <c r="AV151" s="11">
        <v>143628</v>
      </c>
      <c r="AW151" s="11">
        <v>0</v>
      </c>
      <c r="AX151" s="11">
        <v>193257</v>
      </c>
      <c r="AY151" s="11">
        <v>0</v>
      </c>
      <c r="AZ151" s="11">
        <v>0</v>
      </c>
      <c r="BA151" s="11">
        <v>0</v>
      </c>
      <c r="BB151" s="11">
        <v>6360</v>
      </c>
      <c r="BC151" s="11">
        <v>2009</v>
      </c>
      <c r="BD151" s="11">
        <v>0</v>
      </c>
      <c r="BE151" s="11">
        <v>-7</v>
      </c>
      <c r="BF151" s="11">
        <v>-157</v>
      </c>
      <c r="BG151" s="11">
        <v>-976</v>
      </c>
      <c r="BH151" s="11">
        <v>-1424</v>
      </c>
      <c r="BI151" s="11">
        <v>-2</v>
      </c>
      <c r="BJ151" s="11">
        <f t="shared" si="10"/>
        <v>5803</v>
      </c>
      <c r="BK151" s="1">
        <v>5</v>
      </c>
      <c r="BL151" s="1">
        <v>216</v>
      </c>
      <c r="BM151" s="1">
        <v>55</v>
      </c>
      <c r="BN151" s="1">
        <v>878</v>
      </c>
      <c r="BO151" s="1">
        <v>343</v>
      </c>
      <c r="BP151" s="1">
        <v>10</v>
      </c>
      <c r="BQ151" s="1">
        <v>13</v>
      </c>
      <c r="BR151" s="1">
        <v>2</v>
      </c>
      <c r="BS151" s="1">
        <v>77</v>
      </c>
      <c r="BT151" s="1">
        <v>29</v>
      </c>
      <c r="BU151" s="1">
        <v>0</v>
      </c>
      <c r="BV151" s="1">
        <v>168</v>
      </c>
      <c r="BW151" s="1">
        <v>10</v>
      </c>
      <c r="BX151" s="1">
        <v>298</v>
      </c>
      <c r="BY151" s="1">
        <v>75</v>
      </c>
      <c r="BZ151" s="1">
        <v>11</v>
      </c>
    </row>
    <row r="152" spans="1:78">
      <c r="A152" s="16">
        <v>17</v>
      </c>
      <c r="B152" s="59" t="s">
        <v>102</v>
      </c>
      <c r="C152" s="60" t="s">
        <v>169</v>
      </c>
      <c r="D152" s="59" t="s">
        <v>248</v>
      </c>
      <c r="E152" s="59" t="s">
        <v>108</v>
      </c>
      <c r="F152" s="59" t="s">
        <v>479</v>
      </c>
      <c r="G152" s="59" t="s">
        <v>109</v>
      </c>
      <c r="H152" s="11">
        <v>14742475</v>
      </c>
      <c r="I152" s="11">
        <v>14777250</v>
      </c>
      <c r="J152" s="11">
        <v>899581</v>
      </c>
      <c r="K152" s="52">
        <v>0</v>
      </c>
      <c r="L152" s="52">
        <v>110586</v>
      </c>
      <c r="M152" s="52">
        <v>0</v>
      </c>
      <c r="N152" s="52">
        <v>4816312</v>
      </c>
      <c r="O152" s="52">
        <v>0</v>
      </c>
      <c r="P152" s="52">
        <v>0</v>
      </c>
      <c r="Q152" s="52">
        <v>3287657</v>
      </c>
      <c r="R152" s="11">
        <v>3816133</v>
      </c>
      <c r="S152" s="11">
        <v>1128114</v>
      </c>
      <c r="T152" s="11">
        <v>0</v>
      </c>
      <c r="U152" s="11">
        <v>0</v>
      </c>
      <c r="V152" s="11">
        <v>14241711</v>
      </c>
      <c r="W152" s="13">
        <v>4.58E-2</v>
      </c>
      <c r="X152" s="11">
        <v>0</v>
      </c>
      <c r="Y152" s="26">
        <f>1082553/14241711</f>
        <v>7.6012847051874596E-2</v>
      </c>
      <c r="Z152" s="11">
        <v>1082909</v>
      </c>
      <c r="AA152" s="11">
        <v>0</v>
      </c>
      <c r="AB152" s="11">
        <f>34775+4936</f>
        <v>39711</v>
      </c>
      <c r="AC152" s="11">
        <v>523125</v>
      </c>
      <c r="AD152" s="11">
        <v>42793</v>
      </c>
      <c r="AE152" s="11">
        <v>82874</v>
      </c>
      <c r="AF152" s="11">
        <v>140973</v>
      </c>
      <c r="AG152" s="11">
        <v>5565</v>
      </c>
      <c r="AH152" s="11">
        <v>74081</v>
      </c>
      <c r="AI152" s="11">
        <v>1378</v>
      </c>
      <c r="AJ152" s="11">
        <v>23413</v>
      </c>
      <c r="AK152" s="11">
        <f>21731+9614+20449</f>
        <v>51794</v>
      </c>
      <c r="AL152" s="11">
        <v>6249</v>
      </c>
      <c r="AM152" s="11">
        <v>871</v>
      </c>
      <c r="AN152" s="11">
        <v>0</v>
      </c>
      <c r="AO152" s="11">
        <v>956</v>
      </c>
      <c r="AP152" s="11">
        <v>21258</v>
      </c>
      <c r="AQ152" s="11">
        <v>0</v>
      </c>
      <c r="AR152" s="11">
        <v>1040523</v>
      </c>
      <c r="AS152" s="11">
        <v>1213529</v>
      </c>
      <c r="AT152" s="11">
        <v>0</v>
      </c>
      <c r="AU152" s="11">
        <v>0</v>
      </c>
      <c r="AV152" s="11">
        <v>143628</v>
      </c>
      <c r="AW152" s="11">
        <v>0</v>
      </c>
      <c r="AX152" s="11">
        <v>110233</v>
      </c>
      <c r="AY152" s="11">
        <v>0</v>
      </c>
      <c r="AZ152" s="11">
        <v>0</v>
      </c>
      <c r="BA152" s="11">
        <v>0</v>
      </c>
      <c r="BB152" s="11">
        <v>2689</v>
      </c>
      <c r="BC152" s="11">
        <v>649</v>
      </c>
      <c r="BD152" s="11">
        <v>25</v>
      </c>
      <c r="BE152" s="11">
        <v>-1</v>
      </c>
      <c r="BF152" s="11">
        <v>-48</v>
      </c>
      <c r="BG152" s="11">
        <v>-297</v>
      </c>
      <c r="BH152" s="11">
        <v>-607</v>
      </c>
      <c r="BI152" s="11">
        <v>-2</v>
      </c>
      <c r="BJ152" s="11">
        <f t="shared" si="10"/>
        <v>2408</v>
      </c>
      <c r="BK152" s="1">
        <v>52</v>
      </c>
      <c r="BL152" s="1">
        <v>90</v>
      </c>
      <c r="BM152" s="1">
        <v>30</v>
      </c>
      <c r="BN152" s="1">
        <v>596</v>
      </c>
      <c r="BO152" s="1">
        <v>90</v>
      </c>
      <c r="BP152" s="1">
        <v>0</v>
      </c>
      <c r="BQ152" s="1">
        <v>0</v>
      </c>
      <c r="BR152" s="1">
        <v>1</v>
      </c>
      <c r="BS152" s="1">
        <v>28</v>
      </c>
      <c r="BT152" s="1">
        <v>9</v>
      </c>
      <c r="BU152" s="1">
        <v>0</v>
      </c>
      <c r="BV152" s="1">
        <v>39</v>
      </c>
      <c r="BW152" s="1">
        <v>3</v>
      </c>
      <c r="BX152" s="1">
        <v>92</v>
      </c>
      <c r="BY152" s="1">
        <v>88</v>
      </c>
      <c r="BZ152" s="1">
        <v>31</v>
      </c>
    </row>
    <row r="153" spans="1:78">
      <c r="A153" s="16">
        <v>17</v>
      </c>
      <c r="B153" s="1" t="s">
        <v>186</v>
      </c>
      <c r="C153" s="62" t="s">
        <v>190</v>
      </c>
      <c r="D153" s="59" t="s">
        <v>111</v>
      </c>
      <c r="E153" s="59" t="s">
        <v>108</v>
      </c>
      <c r="F153" s="59" t="s">
        <v>479</v>
      </c>
      <c r="G153" s="59" t="s">
        <v>109</v>
      </c>
      <c r="H153" s="11">
        <v>40615852</v>
      </c>
      <c r="I153" s="3">
        <v>40752944</v>
      </c>
      <c r="J153" s="11">
        <v>2051972</v>
      </c>
      <c r="K153" s="52">
        <v>0</v>
      </c>
      <c r="L153" s="2">
        <v>3339481</v>
      </c>
      <c r="M153" s="52">
        <v>12830331</v>
      </c>
      <c r="N153" s="52">
        <v>0</v>
      </c>
      <c r="O153" s="52">
        <v>0</v>
      </c>
      <c r="P153" s="52">
        <v>6993932</v>
      </c>
      <c r="Q153" s="52">
        <v>0</v>
      </c>
      <c r="R153" s="11">
        <v>9299361</v>
      </c>
      <c r="S153" s="11">
        <v>4718597</v>
      </c>
      <c r="T153" s="11">
        <v>0</v>
      </c>
      <c r="U153" s="11">
        <v>0</v>
      </c>
      <c r="V153" s="11">
        <v>39070166</v>
      </c>
      <c r="W153" s="13">
        <v>7.9299999999999995E-2</v>
      </c>
      <c r="X153" s="11">
        <v>0</v>
      </c>
      <c r="Y153" s="26">
        <f>1863715/39070166</f>
        <v>4.7701742552104846E-2</v>
      </c>
      <c r="Z153" s="11">
        <v>1863536</v>
      </c>
      <c r="AA153" s="11">
        <v>0</v>
      </c>
      <c r="AB153" s="11">
        <v>137092</v>
      </c>
      <c r="AC153" s="11">
        <v>1094092</v>
      </c>
      <c r="AD153" s="11">
        <v>86258</v>
      </c>
      <c r="AE153" s="11">
        <v>171652</v>
      </c>
      <c r="AF153" s="11">
        <v>249417</v>
      </c>
      <c r="AG153" s="11">
        <v>0</v>
      </c>
      <c r="AH153" s="11">
        <v>52513</v>
      </c>
      <c r="AI153" s="11">
        <v>6357</v>
      </c>
      <c r="AJ153" s="11">
        <v>39714</v>
      </c>
      <c r="AK153" s="11">
        <f>20420+43086+41295</f>
        <v>104801</v>
      </c>
      <c r="AL153" s="11">
        <v>7171</v>
      </c>
      <c r="AM153" s="11">
        <v>823</v>
      </c>
      <c r="AN153" s="11">
        <v>6325</v>
      </c>
      <c r="AO153" s="11">
        <v>29533</v>
      </c>
      <c r="AP153" s="11">
        <v>5511</v>
      </c>
      <c r="AQ153" s="11">
        <v>0</v>
      </c>
      <c r="AR153" s="11">
        <v>1956916</v>
      </c>
      <c r="AS153" s="11">
        <v>1996805</v>
      </c>
      <c r="AT153" s="11">
        <v>0</v>
      </c>
      <c r="AU153" s="11">
        <v>0</v>
      </c>
      <c r="AV153" s="11">
        <v>143628</v>
      </c>
      <c r="AW153" s="11">
        <v>0</v>
      </c>
      <c r="AX153" s="11">
        <v>235664</v>
      </c>
      <c r="AY153" s="11">
        <v>0</v>
      </c>
      <c r="AZ153" s="11">
        <v>0</v>
      </c>
      <c r="BA153" s="11">
        <v>0</v>
      </c>
      <c r="BB153" s="11">
        <v>8204</v>
      </c>
      <c r="BC153" s="11">
        <v>2583</v>
      </c>
      <c r="BD153" s="11">
        <v>8</v>
      </c>
      <c r="BE153" s="11">
        <v>29</v>
      </c>
      <c r="BF153" s="11">
        <v>-158</v>
      </c>
      <c r="BG153" s="11">
        <v>-1139</v>
      </c>
      <c r="BH153" s="11">
        <v>-1762</v>
      </c>
      <c r="BI153" s="11">
        <v>-10</v>
      </c>
      <c r="BJ153" s="11">
        <f t="shared" si="10"/>
        <v>7755</v>
      </c>
      <c r="BK153" s="1">
        <v>151</v>
      </c>
      <c r="BL153" s="1">
        <v>122</v>
      </c>
      <c r="BM153" s="1">
        <v>16</v>
      </c>
      <c r="BN153" s="1">
        <v>1546</v>
      </c>
      <c r="BO153" s="1">
        <v>58</v>
      </c>
      <c r="BP153" s="1">
        <v>20</v>
      </c>
      <c r="BQ153" s="1">
        <v>1</v>
      </c>
      <c r="BR153" s="1">
        <v>0</v>
      </c>
      <c r="BS153" s="1">
        <v>24</v>
      </c>
      <c r="BT153" s="1">
        <v>94</v>
      </c>
      <c r="BU153" s="1">
        <v>0</v>
      </c>
      <c r="BV153" s="1">
        <v>2</v>
      </c>
      <c r="BW153" s="1">
        <v>6</v>
      </c>
      <c r="BX153" s="1">
        <v>81</v>
      </c>
      <c r="BY153" s="1">
        <v>717</v>
      </c>
      <c r="BZ153" s="1">
        <v>18</v>
      </c>
    </row>
    <row r="154" spans="1:78">
      <c r="A154" s="16">
        <v>17</v>
      </c>
      <c r="B154" s="59" t="s">
        <v>223</v>
      </c>
      <c r="C154" s="60" t="s">
        <v>399</v>
      </c>
      <c r="D154" s="59" t="s">
        <v>252</v>
      </c>
      <c r="E154" s="59" t="s">
        <v>108</v>
      </c>
      <c r="F154" s="59" t="s">
        <v>208</v>
      </c>
      <c r="G154" s="59" t="s">
        <v>109</v>
      </c>
      <c r="H154" s="11">
        <v>14586387</v>
      </c>
      <c r="I154" s="11">
        <v>14687196</v>
      </c>
      <c r="J154" s="11">
        <v>922823</v>
      </c>
      <c r="K154" s="52">
        <v>201229</v>
      </c>
      <c r="L154" s="52">
        <v>1375164</v>
      </c>
      <c r="M154" s="52">
        <v>2214969</v>
      </c>
      <c r="N154" s="52">
        <v>3810762</v>
      </c>
      <c r="O154" s="52">
        <v>8106</v>
      </c>
      <c r="P154" s="52">
        <v>234245</v>
      </c>
      <c r="Q154" s="52">
        <v>1285467</v>
      </c>
      <c r="R154" s="11">
        <v>2869990</v>
      </c>
      <c r="S154" s="11">
        <v>806188</v>
      </c>
      <c r="T154" s="11">
        <v>45981</v>
      </c>
      <c r="U154" s="11">
        <v>0</v>
      </c>
      <c r="V154" s="11">
        <v>13772054</v>
      </c>
      <c r="W154" s="13">
        <v>0.1288</v>
      </c>
      <c r="X154" s="11">
        <v>0</v>
      </c>
      <c r="Y154" s="26">
        <f>916191/13687297</f>
        <v>6.6937321517900869E-2</v>
      </c>
      <c r="Z154" s="11">
        <v>918468</v>
      </c>
      <c r="AA154" s="11">
        <v>0</v>
      </c>
      <c r="AB154" s="11">
        <f>100809+1308</f>
        <v>102117</v>
      </c>
      <c r="AC154" s="11">
        <v>424407</v>
      </c>
      <c r="AD154" s="11">
        <v>35682</v>
      </c>
      <c r="AE154" s="11">
        <v>78008</v>
      </c>
      <c r="AF154" s="11">
        <f>53997+9734</f>
        <v>63731</v>
      </c>
      <c r="AG154" s="11">
        <v>18269</v>
      </c>
      <c r="AH154" s="11">
        <v>43491</v>
      </c>
      <c r="AI154" s="11">
        <v>37517</v>
      </c>
      <c r="AJ154" s="11">
        <v>49819</v>
      </c>
      <c r="AK154" s="11">
        <f>10886+33943+62482</f>
        <v>107311</v>
      </c>
      <c r="AL154" s="11">
        <v>10141</v>
      </c>
      <c r="AM154" s="11">
        <v>1092</v>
      </c>
      <c r="AN154" s="11">
        <v>0</v>
      </c>
      <c r="AO154" s="11">
        <v>3739</v>
      </c>
      <c r="AP154" s="11">
        <v>2788</v>
      </c>
      <c r="AQ154" s="11">
        <v>0</v>
      </c>
      <c r="AR154" s="11">
        <v>942542</v>
      </c>
      <c r="AS154" s="11">
        <v>962745</v>
      </c>
      <c r="AT154" s="11">
        <v>0</v>
      </c>
      <c r="AU154" s="11">
        <v>0</v>
      </c>
      <c r="AV154" s="11">
        <v>143628</v>
      </c>
      <c r="AW154" s="11">
        <v>0</v>
      </c>
      <c r="AX154" s="11">
        <v>100516</v>
      </c>
      <c r="AY154" s="11">
        <v>0</v>
      </c>
      <c r="AZ154" s="11">
        <v>0</v>
      </c>
      <c r="BA154" s="11">
        <v>0</v>
      </c>
      <c r="BB154" s="11">
        <v>2574</v>
      </c>
      <c r="BC154" s="11">
        <v>1267</v>
      </c>
      <c r="BD154" s="11">
        <v>155</v>
      </c>
      <c r="BE154" s="11">
        <v>0</v>
      </c>
      <c r="BF154" s="11">
        <v>-237</v>
      </c>
      <c r="BG154" s="11">
        <v>-791</v>
      </c>
      <c r="BH154" s="11">
        <v>-531</v>
      </c>
      <c r="BI154" s="11">
        <v>-2</v>
      </c>
      <c r="BJ154" s="11">
        <f t="shared" si="10"/>
        <v>2435</v>
      </c>
      <c r="BK154" s="1">
        <v>23</v>
      </c>
      <c r="BL154" s="1">
        <v>170</v>
      </c>
      <c r="BM154" s="1">
        <v>29</v>
      </c>
      <c r="BN154" s="1">
        <v>136</v>
      </c>
      <c r="BO154" s="1">
        <v>90</v>
      </c>
      <c r="BP154" s="1">
        <v>2</v>
      </c>
      <c r="BQ154" s="1">
        <v>19</v>
      </c>
      <c r="BR154" s="1">
        <v>4</v>
      </c>
      <c r="BS154" s="1">
        <v>1</v>
      </c>
      <c r="BT154" s="1">
        <v>14</v>
      </c>
      <c r="BU154" s="1">
        <v>0</v>
      </c>
      <c r="BV154" s="1">
        <v>76</v>
      </c>
      <c r="BW154" s="1">
        <v>9</v>
      </c>
      <c r="BX154" s="1">
        <v>32</v>
      </c>
      <c r="BY154" s="1">
        <v>41</v>
      </c>
      <c r="BZ154" s="1">
        <v>18</v>
      </c>
    </row>
    <row r="155" spans="1:78">
      <c r="A155" s="16">
        <v>17</v>
      </c>
      <c r="B155" s="59" t="s">
        <v>274</v>
      </c>
      <c r="C155" s="60" t="s">
        <v>583</v>
      </c>
      <c r="D155" s="59" t="s">
        <v>444</v>
      </c>
      <c r="E155" s="59" t="s">
        <v>108</v>
      </c>
      <c r="F155" s="59" t="s">
        <v>208</v>
      </c>
      <c r="G155" s="59" t="s">
        <v>109</v>
      </c>
      <c r="H155" s="11">
        <v>15306425</v>
      </c>
      <c r="I155" s="11">
        <v>15360434</v>
      </c>
      <c r="J155" s="11">
        <v>461716</v>
      </c>
      <c r="K155" s="52">
        <v>643889</v>
      </c>
      <c r="L155" s="52">
        <v>2244263</v>
      </c>
      <c r="M155" s="52">
        <v>4785331</v>
      </c>
      <c r="N155" s="52">
        <v>0</v>
      </c>
      <c r="O155" s="52">
        <v>0</v>
      </c>
      <c r="P155" s="52">
        <v>1685202</v>
      </c>
      <c r="Q155" s="52">
        <v>0</v>
      </c>
      <c r="R155" s="11">
        <v>3410240</v>
      </c>
      <c r="S155" s="11">
        <v>1003157</v>
      </c>
      <c r="T155" s="11">
        <v>17280</v>
      </c>
      <c r="U155" s="11">
        <v>0</v>
      </c>
      <c r="V155" s="11">
        <v>14740163</v>
      </c>
      <c r="W155" s="13">
        <v>4.5100000000000001E-2</v>
      </c>
      <c r="X155" s="11">
        <v>643889</v>
      </c>
      <c r="Y155" s="26">
        <f>931166/14065917</f>
        <v>6.6200163131916678E-2</v>
      </c>
      <c r="Z155" s="11">
        <v>931180</v>
      </c>
      <c r="AA155" s="11">
        <v>0</v>
      </c>
      <c r="AB155" s="3">
        <f>54009+2244</f>
        <v>56253</v>
      </c>
      <c r="AC155" s="11">
        <v>401105</v>
      </c>
      <c r="AD155" s="11">
        <v>32749</v>
      </c>
      <c r="AE155" s="11">
        <v>69811</v>
      </c>
      <c r="AF155" s="11">
        <f>91594+6996</f>
        <v>98590</v>
      </c>
      <c r="AG155" s="11">
        <v>4417</v>
      </c>
      <c r="AH155" s="11">
        <v>29179</v>
      </c>
      <c r="AI155" s="11">
        <v>33822</v>
      </c>
      <c r="AJ155" s="11">
        <v>12572</v>
      </c>
      <c r="AK155" s="11">
        <f>15451+43171+30019</f>
        <v>88641</v>
      </c>
      <c r="AL155" s="11">
        <v>10196</v>
      </c>
      <c r="AM155" s="11">
        <v>1147</v>
      </c>
      <c r="AN155" s="11">
        <v>0</v>
      </c>
      <c r="AO155" s="11">
        <v>16099</v>
      </c>
      <c r="AP155" s="11">
        <v>36257</v>
      </c>
      <c r="AQ155" s="11">
        <v>0</v>
      </c>
      <c r="AR155" s="11">
        <v>882328</v>
      </c>
      <c r="AS155" s="11">
        <v>1091313</v>
      </c>
      <c r="AT155" s="11">
        <v>604</v>
      </c>
      <c r="AU155" s="11">
        <v>0</v>
      </c>
      <c r="AV155" s="11">
        <v>143628</v>
      </c>
      <c r="AW155" s="11">
        <v>0</v>
      </c>
      <c r="AX155" s="11">
        <v>119367</v>
      </c>
      <c r="AY155" s="11">
        <v>0</v>
      </c>
      <c r="AZ155" s="11">
        <v>0</v>
      </c>
      <c r="BA155" s="11">
        <v>0</v>
      </c>
      <c r="BB155" s="11">
        <v>2518</v>
      </c>
      <c r="BC155" s="11">
        <v>844</v>
      </c>
      <c r="BD155" s="11">
        <v>0</v>
      </c>
      <c r="BE155" s="11">
        <v>0</v>
      </c>
      <c r="BF155" s="11">
        <v>-136</v>
      </c>
      <c r="BG155" s="11">
        <v>-443</v>
      </c>
      <c r="BH155" s="11">
        <v>-338</v>
      </c>
      <c r="BI155" s="11">
        <v>0</v>
      </c>
      <c r="BJ155" s="11">
        <f t="shared" si="10"/>
        <v>2445</v>
      </c>
      <c r="BK155" s="1">
        <v>23</v>
      </c>
      <c r="BL155" s="1">
        <v>118</v>
      </c>
      <c r="BM155" s="1">
        <v>24</v>
      </c>
      <c r="BN155" s="1">
        <v>141</v>
      </c>
      <c r="BO155" s="1">
        <v>30</v>
      </c>
      <c r="BP155" s="1">
        <v>0</v>
      </c>
      <c r="BQ155" s="1">
        <v>17</v>
      </c>
      <c r="BR155" s="1">
        <v>4</v>
      </c>
      <c r="BS155" s="1">
        <v>36</v>
      </c>
      <c r="BT155" s="1">
        <v>39</v>
      </c>
      <c r="BU155" s="1">
        <v>0</v>
      </c>
      <c r="BV155" s="1">
        <v>110</v>
      </c>
      <c r="BW155" s="1">
        <v>12</v>
      </c>
      <c r="BX155" s="1">
        <v>76</v>
      </c>
      <c r="BY155" s="1">
        <v>102</v>
      </c>
      <c r="BZ155" s="1">
        <v>0</v>
      </c>
    </row>
    <row r="156" spans="1:78">
      <c r="A156" s="16">
        <v>17</v>
      </c>
      <c r="B156" s="59" t="s">
        <v>341</v>
      </c>
      <c r="C156" s="60" t="s">
        <v>329</v>
      </c>
      <c r="D156" s="59" t="s">
        <v>584</v>
      </c>
      <c r="E156" s="59" t="s">
        <v>108</v>
      </c>
      <c r="F156" s="59" t="s">
        <v>208</v>
      </c>
      <c r="G156" s="59" t="s">
        <v>109</v>
      </c>
      <c r="H156" s="11">
        <v>15021092</v>
      </c>
      <c r="I156" s="11">
        <v>15082657</v>
      </c>
      <c r="J156" s="11">
        <v>757583</v>
      </c>
      <c r="K156" s="52">
        <v>0</v>
      </c>
      <c r="L156" s="52">
        <v>0</v>
      </c>
      <c r="M156" s="52">
        <v>0</v>
      </c>
      <c r="N156" s="52">
        <v>6534501</v>
      </c>
      <c r="O156" s="52">
        <v>0</v>
      </c>
      <c r="P156" s="52">
        <v>0</v>
      </c>
      <c r="Q156" s="52">
        <v>1954752</v>
      </c>
      <c r="R156" s="11">
        <v>3514914</v>
      </c>
      <c r="S156" s="11">
        <v>1209914</v>
      </c>
      <c r="T156" s="11">
        <v>44102</v>
      </c>
      <c r="U156" s="11">
        <v>10738</v>
      </c>
      <c r="V156" s="11">
        <v>14421505</v>
      </c>
      <c r="W156" s="13">
        <v>6.5500000000000003E-2</v>
      </c>
      <c r="X156" s="11">
        <v>0</v>
      </c>
      <c r="Y156" s="26">
        <f>1149230/14362425</f>
        <v>8.0016431765527057E-2</v>
      </c>
      <c r="Z156" s="11">
        <v>1135051</v>
      </c>
      <c r="AA156" s="11">
        <v>0</v>
      </c>
      <c r="AB156" s="11">
        <f>61565+1992</f>
        <v>63557</v>
      </c>
      <c r="AC156" s="11">
        <v>617008</v>
      </c>
      <c r="AD156" s="11">
        <v>57879</v>
      </c>
      <c r="AE156" s="11">
        <v>109355</v>
      </c>
      <c r="AF156" s="11">
        <v>102662</v>
      </c>
      <c r="AG156" s="11">
        <v>0</v>
      </c>
      <c r="AH156" s="11">
        <v>34051</v>
      </c>
      <c r="AI156" s="11">
        <v>36680</v>
      </c>
      <c r="AJ156" s="11">
        <v>20995</v>
      </c>
      <c r="AK156" s="11">
        <f>10862+14745+18529</f>
        <v>44136</v>
      </c>
      <c r="AL156" s="11">
        <v>20860</v>
      </c>
      <c r="AM156" s="11">
        <v>1106</v>
      </c>
      <c r="AN156" s="11">
        <v>21691</v>
      </c>
      <c r="AO156" s="11">
        <v>28100</v>
      </c>
      <c r="AP156" s="11">
        <v>19704</v>
      </c>
      <c r="AQ156" s="11">
        <v>0</v>
      </c>
      <c r="AR156" s="11">
        <v>1185659</v>
      </c>
      <c r="AS156" s="11">
        <v>1234051</v>
      </c>
      <c r="AT156" s="11">
        <v>392</v>
      </c>
      <c r="AU156" s="11">
        <v>0</v>
      </c>
      <c r="AV156" s="11">
        <v>143628</v>
      </c>
      <c r="AW156" s="11">
        <v>0</v>
      </c>
      <c r="AX156" s="11">
        <v>74787</v>
      </c>
      <c r="AY156" s="11">
        <v>0</v>
      </c>
      <c r="AZ156" s="11">
        <v>0</v>
      </c>
      <c r="BA156" s="11">
        <v>0</v>
      </c>
      <c r="BB156" s="11">
        <v>2702</v>
      </c>
      <c r="BC156" s="11">
        <v>1100</v>
      </c>
      <c r="BD156" s="11">
        <v>0</v>
      </c>
      <c r="BE156" s="11">
        <f>8-35</f>
        <v>-27</v>
      </c>
      <c r="BF156" s="11">
        <v>-92</v>
      </c>
      <c r="BG156" s="11">
        <v>-613</v>
      </c>
      <c r="BH156" s="11">
        <v>-521</v>
      </c>
      <c r="BI156" s="11">
        <v>-8</v>
      </c>
      <c r="BJ156" s="11">
        <f t="shared" si="10"/>
        <v>2541</v>
      </c>
      <c r="BK156" s="1">
        <v>5</v>
      </c>
      <c r="BL156" s="1">
        <v>184</v>
      </c>
      <c r="BM156" s="1">
        <v>46</v>
      </c>
      <c r="BN156" s="1">
        <v>215</v>
      </c>
      <c r="BO156" s="1">
        <v>50</v>
      </c>
      <c r="BP156" s="1">
        <v>26</v>
      </c>
      <c r="BQ156" s="1">
        <v>16</v>
      </c>
      <c r="BR156" s="1">
        <v>5</v>
      </c>
      <c r="BS156" s="1">
        <v>25</v>
      </c>
      <c r="BT156" s="1">
        <v>38</v>
      </c>
      <c r="BU156" s="1">
        <v>8</v>
      </c>
      <c r="BV156" s="1">
        <v>185</v>
      </c>
      <c r="BW156" s="1">
        <v>23</v>
      </c>
      <c r="BX156" s="1">
        <v>108</v>
      </c>
      <c r="BY156" s="1">
        <v>229</v>
      </c>
      <c r="BZ156" s="1">
        <v>68</v>
      </c>
    </row>
    <row r="157" spans="1:78">
      <c r="A157" s="16">
        <v>17</v>
      </c>
      <c r="B157" s="59" t="s">
        <v>389</v>
      </c>
      <c r="C157" s="60" t="s">
        <v>382</v>
      </c>
      <c r="D157" s="59" t="s">
        <v>584</v>
      </c>
      <c r="E157" s="59" t="s">
        <v>108</v>
      </c>
      <c r="F157" s="59" t="s">
        <v>208</v>
      </c>
      <c r="G157" s="59" t="s">
        <v>109</v>
      </c>
      <c r="H157" s="11">
        <v>14301043</v>
      </c>
      <c r="I157" s="11">
        <v>14338214</v>
      </c>
      <c r="J157" s="11">
        <v>826630</v>
      </c>
      <c r="K157" s="52">
        <v>0</v>
      </c>
      <c r="L157" s="52">
        <v>2376626</v>
      </c>
      <c r="M157" s="52">
        <v>3795517</v>
      </c>
      <c r="N157" s="52">
        <v>0</v>
      </c>
      <c r="O157" s="52">
        <v>0</v>
      </c>
      <c r="P157" s="52">
        <v>1942253</v>
      </c>
      <c r="Q157" s="52">
        <v>0</v>
      </c>
      <c r="R157" s="11">
        <v>2975903</v>
      </c>
      <c r="S157" s="11">
        <v>1249917</v>
      </c>
      <c r="T157" s="11">
        <v>32332</v>
      </c>
      <c r="U157" s="11">
        <v>16739</v>
      </c>
      <c r="V157" s="11">
        <v>13640750</v>
      </c>
      <c r="W157" s="13">
        <v>6.5799999999999997E-2</v>
      </c>
      <c r="X157" s="11">
        <v>0</v>
      </c>
      <c r="Y157" s="26">
        <f>1230815/13592003</f>
        <v>9.0554350230793793E-2</v>
      </c>
      <c r="Z157" s="11">
        <v>1230752</v>
      </c>
      <c r="AA157" s="11">
        <v>0</v>
      </c>
      <c r="AB157" s="11">
        <f>37171+950</f>
        <v>38121</v>
      </c>
      <c r="AC157" s="11">
        <v>634175</v>
      </c>
      <c r="AD157" s="11">
        <v>52231</v>
      </c>
      <c r="AE157" s="11">
        <v>94457</v>
      </c>
      <c r="AF157" s="11">
        <v>114315</v>
      </c>
      <c r="AG157" s="11">
        <v>2727</v>
      </c>
      <c r="AH157" s="11">
        <v>26946</v>
      </c>
      <c r="AI157" s="11">
        <v>10638</v>
      </c>
      <c r="AJ157" s="11">
        <v>40617</v>
      </c>
      <c r="AK157" s="11">
        <f>21934+22316+25573</f>
        <v>69823</v>
      </c>
      <c r="AL157" s="11">
        <v>12645</v>
      </c>
      <c r="AM157" s="11">
        <v>2191</v>
      </c>
      <c r="AN157" s="11">
        <v>18310</v>
      </c>
      <c r="AO157" s="11">
        <v>18022</v>
      </c>
      <c r="AP157" s="11">
        <v>4284</v>
      </c>
      <c r="AQ157" s="11">
        <v>0</v>
      </c>
      <c r="AR157" s="11">
        <v>1168392</v>
      </c>
      <c r="AS157" s="11">
        <v>1195306</v>
      </c>
      <c r="AT157" s="11">
        <v>0</v>
      </c>
      <c r="AU157" s="11">
        <v>1000</v>
      </c>
      <c r="AV157" s="11">
        <v>143628</v>
      </c>
      <c r="AW157" s="11">
        <v>0</v>
      </c>
      <c r="AX157" s="11">
        <v>127253</v>
      </c>
      <c r="AY157" s="11">
        <v>0</v>
      </c>
      <c r="AZ157" s="11">
        <v>0</v>
      </c>
      <c r="BA157" s="11">
        <v>0</v>
      </c>
      <c r="BB157" s="11">
        <v>2722</v>
      </c>
      <c r="BC157" s="11">
        <v>1182</v>
      </c>
      <c r="BD157" s="11">
        <v>0</v>
      </c>
      <c r="BE157" s="11">
        <f>16-1</f>
        <v>15</v>
      </c>
      <c r="BF157" s="11">
        <v>-132</v>
      </c>
      <c r="BG157" s="11">
        <v>-754</v>
      </c>
      <c r="BH157" s="11">
        <v>-407</v>
      </c>
      <c r="BI157" s="11">
        <v>0</v>
      </c>
      <c r="BJ157" s="11">
        <f t="shared" si="10"/>
        <v>2626</v>
      </c>
      <c r="BK157" s="1">
        <v>10</v>
      </c>
      <c r="BL157" s="1">
        <v>133</v>
      </c>
      <c r="BM157" s="1">
        <v>25</v>
      </c>
      <c r="BN157" s="1">
        <v>180</v>
      </c>
      <c r="BO157" s="1">
        <v>63</v>
      </c>
      <c r="BP157" s="1">
        <v>4</v>
      </c>
      <c r="BQ157" s="1">
        <v>14</v>
      </c>
      <c r="BR157" s="1">
        <v>2</v>
      </c>
      <c r="BS157" s="1">
        <v>27</v>
      </c>
      <c r="BT157" s="1">
        <v>37</v>
      </c>
      <c r="BU157" s="1">
        <v>2</v>
      </c>
      <c r="BV157" s="1">
        <v>145</v>
      </c>
      <c r="BW157" s="1">
        <v>16</v>
      </c>
      <c r="BX157" s="1">
        <v>95</v>
      </c>
      <c r="BY157" s="1">
        <v>167</v>
      </c>
      <c r="BZ157" s="1">
        <v>1</v>
      </c>
    </row>
    <row r="158" spans="1:78">
      <c r="A158" s="16">
        <v>17</v>
      </c>
      <c r="B158" s="59" t="s">
        <v>417</v>
      </c>
      <c r="C158" s="60" t="s">
        <v>352</v>
      </c>
      <c r="D158" s="59" t="s">
        <v>377</v>
      </c>
      <c r="E158" s="59" t="s">
        <v>483</v>
      </c>
      <c r="F158" s="59"/>
      <c r="G158" s="59" t="s">
        <v>465</v>
      </c>
      <c r="H158" s="11">
        <v>30235850</v>
      </c>
      <c r="I158" s="11">
        <v>30395972</v>
      </c>
      <c r="J158" s="11">
        <v>1396726</v>
      </c>
      <c r="K158" s="52">
        <v>4051</v>
      </c>
      <c r="L158" s="52">
        <v>3291917</v>
      </c>
      <c r="M158" s="52">
        <v>6754902</v>
      </c>
      <c r="N158" s="52">
        <v>0</v>
      </c>
      <c r="O158" s="52">
        <v>162186</v>
      </c>
      <c r="P158" s="52">
        <v>4136000</v>
      </c>
      <c r="Q158" s="52">
        <v>0</v>
      </c>
      <c r="R158" s="11">
        <v>8272786</v>
      </c>
      <c r="S158" s="11">
        <v>3921160</v>
      </c>
      <c r="T158" s="11">
        <v>125646</v>
      </c>
      <c r="U158" s="11">
        <v>0</v>
      </c>
      <c r="V158" s="11">
        <v>28320976</v>
      </c>
      <c r="W158" s="13">
        <v>0.1822</v>
      </c>
      <c r="X158" s="11">
        <v>0</v>
      </c>
      <c r="Y158" s="26">
        <f>1589766/28158330</f>
        <v>5.6458106713004642E-2</v>
      </c>
      <c r="Z158" s="11">
        <v>1590087</v>
      </c>
      <c r="AA158" s="11">
        <v>0</v>
      </c>
      <c r="AB158" s="11">
        <f>160122+10941</f>
        <v>171063</v>
      </c>
      <c r="AC158" s="11">
        <v>1024716</v>
      </c>
      <c r="AD158" s="11">
        <v>79754</v>
      </c>
      <c r="AE158" s="11">
        <v>136335</v>
      </c>
      <c r="AF158" s="11">
        <v>99983</v>
      </c>
      <c r="AG158" s="11">
        <v>0</v>
      </c>
      <c r="AH158" s="11">
        <v>33275</v>
      </c>
      <c r="AI158" s="11">
        <v>38953</v>
      </c>
      <c r="AJ158" s="11">
        <v>56500</v>
      </c>
      <c r="AK158" s="11">
        <f>29813+20623+61552</f>
        <v>111988</v>
      </c>
      <c r="AL158" s="11">
        <v>15760</v>
      </c>
      <c r="AM158" s="11">
        <v>193</v>
      </c>
      <c r="AN158" s="11">
        <v>0</v>
      </c>
      <c r="AO158" s="11">
        <v>23711</v>
      </c>
      <c r="AP158" s="11">
        <v>45396</v>
      </c>
      <c r="AQ158" s="11">
        <v>0</v>
      </c>
      <c r="AR158" s="11">
        <v>1740192</v>
      </c>
      <c r="AS158" s="11">
        <v>1751469</v>
      </c>
      <c r="AT158" s="11">
        <v>67</v>
      </c>
      <c r="AU158" s="11">
        <v>0</v>
      </c>
      <c r="AV158" s="11">
        <v>143628</v>
      </c>
      <c r="AW158" s="11">
        <v>0</v>
      </c>
      <c r="AX158" s="11">
        <v>270300</v>
      </c>
      <c r="AY158" s="11">
        <v>0</v>
      </c>
      <c r="AZ158" s="11">
        <v>0</v>
      </c>
      <c r="BA158" s="11">
        <v>0</v>
      </c>
      <c r="BB158" s="11">
        <v>8596</v>
      </c>
      <c r="BC158" s="11">
        <v>3731</v>
      </c>
      <c r="BD158" s="11">
        <v>0</v>
      </c>
      <c r="BE158" s="11">
        <v>6</v>
      </c>
      <c r="BF158" s="11">
        <v>-347</v>
      </c>
      <c r="BG158" s="11">
        <v>-1775</v>
      </c>
      <c r="BH158" s="11">
        <v>-707</v>
      </c>
      <c r="BI158" s="11">
        <v>-2</v>
      </c>
      <c r="BJ158" s="11">
        <f t="shared" si="10"/>
        <v>9502</v>
      </c>
      <c r="BK158" s="1">
        <v>158</v>
      </c>
      <c r="BL158" s="1">
        <v>104</v>
      </c>
      <c r="BM158" s="1">
        <v>43</v>
      </c>
      <c r="BN158" s="1">
        <v>426</v>
      </c>
      <c r="BO158" s="1">
        <v>121</v>
      </c>
      <c r="BP158" s="1">
        <v>14</v>
      </c>
      <c r="BQ158" s="1">
        <v>0</v>
      </c>
      <c r="BR158" s="1">
        <v>5</v>
      </c>
      <c r="BS158" s="1">
        <v>58</v>
      </c>
      <c r="BT158" s="1">
        <v>316</v>
      </c>
      <c r="BU158" s="1">
        <v>15</v>
      </c>
      <c r="BV158" s="1">
        <v>6</v>
      </c>
      <c r="BW158" s="1">
        <v>19</v>
      </c>
      <c r="BX158" s="1">
        <v>151</v>
      </c>
      <c r="BY158" s="1">
        <v>1663</v>
      </c>
      <c r="BZ158" s="1">
        <v>196</v>
      </c>
    </row>
    <row r="159" spans="1:78">
      <c r="A159" s="16">
        <v>17</v>
      </c>
      <c r="B159" s="59" t="s">
        <v>426</v>
      </c>
      <c r="C159" s="60" t="s">
        <v>428</v>
      </c>
      <c r="D159" s="59" t="s">
        <v>594</v>
      </c>
      <c r="E159" s="59" t="s">
        <v>108</v>
      </c>
      <c r="F159" s="59" t="s">
        <v>479</v>
      </c>
      <c r="G159" s="59" t="s">
        <v>109</v>
      </c>
      <c r="H159" s="11">
        <v>7673472</v>
      </c>
      <c r="I159" s="11">
        <v>7698340</v>
      </c>
      <c r="J159" s="11">
        <v>259409</v>
      </c>
      <c r="K159" s="52">
        <v>0</v>
      </c>
      <c r="L159" s="52">
        <v>897698</v>
      </c>
      <c r="M159" s="52">
        <v>1685374</v>
      </c>
      <c r="N159" s="52">
        <v>0</v>
      </c>
      <c r="O159" s="52">
        <v>0</v>
      </c>
      <c r="P159" s="52">
        <v>0</v>
      </c>
      <c r="Q159" s="52">
        <v>2096875</v>
      </c>
      <c r="R159" s="11">
        <v>2009562</v>
      </c>
      <c r="S159" s="11">
        <v>231824</v>
      </c>
      <c r="T159" s="11">
        <v>0</v>
      </c>
      <c r="U159" s="11">
        <v>0</v>
      </c>
      <c r="V159" s="11">
        <v>7548790</v>
      </c>
      <c r="W159" s="13">
        <v>3.4799999999999998E-2</v>
      </c>
      <c r="X159" s="11">
        <v>0</v>
      </c>
      <c r="Y159" s="26">
        <f>582599/7469213</f>
        <v>7.8000051678804722E-2</v>
      </c>
      <c r="Z159" s="11">
        <v>582459</v>
      </c>
      <c r="AA159" s="11">
        <v>0</v>
      </c>
      <c r="AB159" s="11">
        <f>24868+638</f>
        <v>25506</v>
      </c>
      <c r="AC159" s="11">
        <v>215586</v>
      </c>
      <c r="AD159" s="11">
        <v>19557</v>
      </c>
      <c r="AE159" s="11">
        <v>36979</v>
      </c>
      <c r="AF159" s="11">
        <f>37613+1582</f>
        <v>39195</v>
      </c>
      <c r="AG159" s="11">
        <v>930</v>
      </c>
      <c r="AH159" s="11">
        <v>22821</v>
      </c>
      <c r="AI159" s="11">
        <v>300</v>
      </c>
      <c r="AJ159" s="11">
        <v>3482</v>
      </c>
      <c r="AK159" s="11">
        <f>11387+15000+18194</f>
        <v>44581</v>
      </c>
      <c r="AL159" s="11">
        <v>10515</v>
      </c>
      <c r="AM159" s="11">
        <v>360</v>
      </c>
      <c r="AN159" s="11">
        <v>0</v>
      </c>
      <c r="AO159" s="11">
        <v>23253</v>
      </c>
      <c r="AP159" s="11">
        <v>4794</v>
      </c>
      <c r="AQ159" s="11">
        <v>0</v>
      </c>
      <c r="AR159" s="11">
        <v>467245</v>
      </c>
      <c r="AS159" s="11">
        <v>477368</v>
      </c>
      <c r="AT159" s="11">
        <v>3281</v>
      </c>
      <c r="AU159" s="11">
        <v>0</v>
      </c>
      <c r="AV159" s="11">
        <v>143628</v>
      </c>
      <c r="AW159" s="11">
        <v>0</v>
      </c>
      <c r="AX159" s="11">
        <v>72483</v>
      </c>
      <c r="AY159" s="11">
        <v>0</v>
      </c>
      <c r="AZ159" s="11">
        <v>0</v>
      </c>
      <c r="BA159" s="11">
        <v>0</v>
      </c>
      <c r="BB159" s="11">
        <v>1296</v>
      </c>
      <c r="BC159" s="11">
        <v>263</v>
      </c>
      <c r="BD159" s="11">
        <v>0</v>
      </c>
      <c r="BE159" s="11">
        <v>7</v>
      </c>
      <c r="BF159" s="11">
        <v>-43</v>
      </c>
      <c r="BG159" s="11">
        <v>-174</v>
      </c>
      <c r="BH159" s="11">
        <v>-378</v>
      </c>
      <c r="BI159" s="11">
        <v>0</v>
      </c>
      <c r="BJ159" s="11">
        <f t="shared" si="10"/>
        <v>971</v>
      </c>
      <c r="BK159" s="1">
        <v>0</v>
      </c>
      <c r="BL159" s="1">
        <v>39</v>
      </c>
      <c r="BM159" s="1">
        <v>20</v>
      </c>
      <c r="BN159" s="1">
        <v>147</v>
      </c>
      <c r="BO159" s="1">
        <v>172</v>
      </c>
      <c r="BP159" s="1">
        <v>0</v>
      </c>
      <c r="BQ159" s="1">
        <v>1</v>
      </c>
      <c r="BR159" s="1">
        <v>2</v>
      </c>
      <c r="BS159" s="1">
        <v>17</v>
      </c>
      <c r="BT159" s="1">
        <v>23</v>
      </c>
      <c r="BU159" s="1">
        <v>0</v>
      </c>
      <c r="BV159" s="1">
        <v>44</v>
      </c>
      <c r="BW159" s="1">
        <v>6</v>
      </c>
      <c r="BX159" s="1">
        <v>42</v>
      </c>
      <c r="BY159" s="1">
        <v>82</v>
      </c>
      <c r="BZ159" s="1">
        <v>0</v>
      </c>
    </row>
    <row r="160" spans="1:78">
      <c r="A160" s="16">
        <v>17</v>
      </c>
      <c r="B160" s="59" t="s">
        <v>597</v>
      </c>
      <c r="C160" s="60" t="s">
        <v>36</v>
      </c>
      <c r="D160" s="59" t="s">
        <v>556</v>
      </c>
      <c r="E160" s="59" t="s">
        <v>483</v>
      </c>
      <c r="F160" s="59"/>
      <c r="G160" s="59" t="s">
        <v>465</v>
      </c>
      <c r="H160" s="11">
        <v>2386365</v>
      </c>
      <c r="I160" s="11">
        <v>2406836</v>
      </c>
      <c r="J160" s="11">
        <v>14152</v>
      </c>
      <c r="K160" s="52">
        <v>0</v>
      </c>
      <c r="L160" s="52">
        <v>0</v>
      </c>
      <c r="M160" s="52">
        <v>0</v>
      </c>
      <c r="N160" s="52">
        <v>597075</v>
      </c>
      <c r="O160" s="52">
        <v>0</v>
      </c>
      <c r="P160" s="52">
        <v>0</v>
      </c>
      <c r="Q160" s="52">
        <v>338430</v>
      </c>
      <c r="R160" s="11">
        <v>1215579</v>
      </c>
      <c r="S160" s="11">
        <v>99487</v>
      </c>
      <c r="T160" s="11">
        <v>0</v>
      </c>
      <c r="U160" s="11">
        <v>0</v>
      </c>
      <c r="V160" s="11">
        <v>2491926</v>
      </c>
      <c r="W160" s="13">
        <v>1.2200000000000001E-2</v>
      </c>
      <c r="X160" s="11">
        <v>0</v>
      </c>
      <c r="Y160" s="26">
        <f>241717/2491926</f>
        <v>9.7000071430692558E-2</v>
      </c>
      <c r="Z160" s="11">
        <v>241355</v>
      </c>
      <c r="AA160" s="11">
        <v>71782</v>
      </c>
      <c r="AB160" s="11">
        <f>2196+387</f>
        <v>2583</v>
      </c>
      <c r="AC160" s="11">
        <v>72126</v>
      </c>
      <c r="AD160" s="11">
        <v>6574</v>
      </c>
      <c r="AE160" s="11">
        <v>2118</v>
      </c>
      <c r="AF160" s="11">
        <f>12735+1571</f>
        <v>14306</v>
      </c>
      <c r="AG160" s="11">
        <v>6050</v>
      </c>
      <c r="AH160" s="11">
        <v>4144</v>
      </c>
      <c r="AI160" s="11">
        <v>16305</v>
      </c>
      <c r="AJ160" s="11">
        <v>0</v>
      </c>
      <c r="AK160" s="11">
        <f>2746+2650+443</f>
        <v>5839</v>
      </c>
      <c r="AL160" s="11">
        <v>0</v>
      </c>
      <c r="AM160" s="11">
        <v>582</v>
      </c>
      <c r="AN160" s="11">
        <v>0</v>
      </c>
      <c r="AO160" s="11">
        <v>1174</v>
      </c>
      <c r="AP160" s="11">
        <v>0</v>
      </c>
      <c r="AQ160" s="11">
        <v>0</v>
      </c>
      <c r="AR160" s="11">
        <v>143635</v>
      </c>
      <c r="AS160" s="11">
        <v>140699</v>
      </c>
      <c r="AT160" s="11">
        <v>0</v>
      </c>
      <c r="AU160" s="11">
        <v>0</v>
      </c>
      <c r="AV160" s="11">
        <v>122907</v>
      </c>
      <c r="AW160" s="11">
        <v>707</v>
      </c>
      <c r="AX160" s="11">
        <v>18961</v>
      </c>
      <c r="AY160" s="11">
        <v>0</v>
      </c>
      <c r="AZ160" s="11">
        <v>0</v>
      </c>
      <c r="BA160" s="11">
        <v>0</v>
      </c>
      <c r="BB160" s="11">
        <v>449</v>
      </c>
      <c r="BC160" s="11">
        <v>0</v>
      </c>
      <c r="BD160" s="11">
        <v>23</v>
      </c>
      <c r="BE160" s="11">
        <v>0</v>
      </c>
      <c r="BF160" s="11">
        <v>-24</v>
      </c>
      <c r="BG160" s="11">
        <v>-33</v>
      </c>
      <c r="BH160" s="11">
        <v>-150</v>
      </c>
      <c r="BI160" s="11">
        <v>0</v>
      </c>
      <c r="BJ160" s="11">
        <f t="shared" si="10"/>
        <v>265</v>
      </c>
      <c r="BK160" s="1">
        <v>0</v>
      </c>
      <c r="BL160" s="1">
        <v>32</v>
      </c>
      <c r="BM160" s="1">
        <v>16</v>
      </c>
      <c r="BN160" s="1">
        <v>84</v>
      </c>
      <c r="BO160" s="1">
        <v>2</v>
      </c>
      <c r="BP160" s="1">
        <v>3</v>
      </c>
      <c r="BQ160" s="1" t="s">
        <v>456</v>
      </c>
      <c r="BR160" s="1" t="s">
        <v>456</v>
      </c>
      <c r="BS160" s="1" t="s">
        <v>456</v>
      </c>
      <c r="BT160" s="1" t="s">
        <v>456</v>
      </c>
      <c r="BU160" s="1" t="s">
        <v>456</v>
      </c>
      <c r="BV160" s="1" t="s">
        <v>456</v>
      </c>
      <c r="BW160" s="1" t="s">
        <v>456</v>
      </c>
      <c r="BX160" s="1" t="s">
        <v>456</v>
      </c>
      <c r="BY160" s="1" t="s">
        <v>456</v>
      </c>
      <c r="BZ160" s="1" t="s">
        <v>456</v>
      </c>
    </row>
    <row r="161" spans="1:78">
      <c r="A161" s="16">
        <v>17</v>
      </c>
      <c r="B161" s="59" t="s">
        <v>675</v>
      </c>
      <c r="C161" s="60" t="s">
        <v>701</v>
      </c>
      <c r="D161" s="59" t="s">
        <v>556</v>
      </c>
      <c r="E161" s="59" t="s">
        <v>483</v>
      </c>
      <c r="F161" s="59"/>
      <c r="G161" s="59" t="s">
        <v>465</v>
      </c>
      <c r="H161" s="11">
        <v>4264122</v>
      </c>
      <c r="I161" s="11">
        <v>4279495</v>
      </c>
      <c r="J161" s="11">
        <v>202469</v>
      </c>
      <c r="K161" s="52">
        <v>0</v>
      </c>
      <c r="L161" s="52">
        <v>214710</v>
      </c>
      <c r="M161" s="52">
        <v>1204874</v>
      </c>
      <c r="N161" s="52">
        <v>0</v>
      </c>
      <c r="O161" s="52">
        <v>0</v>
      </c>
      <c r="P161" s="52">
        <v>309624</v>
      </c>
      <c r="Q161" s="52">
        <v>0</v>
      </c>
      <c r="R161" s="11">
        <v>1336304</v>
      </c>
      <c r="S161" s="11">
        <v>533795</v>
      </c>
      <c r="T161" s="11">
        <v>4668</v>
      </c>
      <c r="U161" s="11">
        <v>0</v>
      </c>
      <c r="V161" s="11">
        <v>4022980</v>
      </c>
      <c r="W161" s="13">
        <v>0.12089999999999999</v>
      </c>
      <c r="X161" s="11">
        <v>0</v>
      </c>
      <c r="Y161" s="26">
        <f>401770/4017697</f>
        <v>0.10000007466964284</v>
      </c>
      <c r="Z161" s="11">
        <v>401760</v>
      </c>
      <c r="AA161" s="11">
        <v>0</v>
      </c>
      <c r="AB161" s="11">
        <f>15372-1237+300</f>
        <v>14435</v>
      </c>
      <c r="AC161" s="11">
        <v>131172</v>
      </c>
      <c r="AD161" s="11">
        <v>10411</v>
      </c>
      <c r="AE161" s="11">
        <v>11715</v>
      </c>
      <c r="AF161" s="11">
        <f>19258+2306</f>
        <v>21564</v>
      </c>
      <c r="AG161" s="11">
        <v>0</v>
      </c>
      <c r="AH161" s="11">
        <v>10335</v>
      </c>
      <c r="AI161" s="11">
        <v>648</v>
      </c>
      <c r="AJ161" s="11">
        <v>0</v>
      </c>
      <c r="AK161" s="11">
        <f>4505+6013+7373</f>
        <v>17891</v>
      </c>
      <c r="AL161" s="11">
        <v>6110</v>
      </c>
      <c r="AM161" s="11">
        <v>501</v>
      </c>
      <c r="AN161" s="11"/>
      <c r="AO161" s="11">
        <v>4259</v>
      </c>
      <c r="AP161" s="11">
        <v>10690</v>
      </c>
      <c r="AQ161" s="11">
        <v>0</v>
      </c>
      <c r="AR161" s="11">
        <v>280051</v>
      </c>
      <c r="AS161" s="11">
        <v>293446</v>
      </c>
      <c r="AT161" s="11">
        <v>0</v>
      </c>
      <c r="AU161" s="11">
        <v>0</v>
      </c>
      <c r="AV161" s="11">
        <v>143628</v>
      </c>
      <c r="AW161" s="11">
        <v>0</v>
      </c>
      <c r="AX161" s="11">
        <v>14406</v>
      </c>
      <c r="AY161" s="11">
        <v>0</v>
      </c>
      <c r="AZ161" s="11">
        <v>0</v>
      </c>
      <c r="BA161" s="11">
        <v>0</v>
      </c>
      <c r="BB161" s="11">
        <v>746</v>
      </c>
      <c r="BC161" s="11">
        <v>476</v>
      </c>
      <c r="BD161" s="11">
        <v>1</v>
      </c>
      <c r="BE161" s="11">
        <f>17-1</f>
        <v>16</v>
      </c>
      <c r="BF161" s="11">
        <v>-110</v>
      </c>
      <c r="BG161" s="11">
        <v>-186</v>
      </c>
      <c r="BH161" s="11">
        <v>-20</v>
      </c>
      <c r="BI161" s="11">
        <v>-2</v>
      </c>
      <c r="BJ161" s="11">
        <f t="shared" si="10"/>
        <v>921</v>
      </c>
      <c r="BK161" s="1">
        <v>0</v>
      </c>
      <c r="BL161" s="1">
        <v>17</v>
      </c>
      <c r="BM161" s="1">
        <v>0</v>
      </c>
      <c r="BN161" s="1">
        <v>2</v>
      </c>
      <c r="BO161" s="1">
        <v>1</v>
      </c>
      <c r="BP161" s="1">
        <v>3</v>
      </c>
      <c r="BQ161" s="1">
        <v>0</v>
      </c>
      <c r="BR161" s="1">
        <v>0</v>
      </c>
      <c r="BS161" s="1">
        <v>5</v>
      </c>
      <c r="BT161" s="1">
        <v>51</v>
      </c>
      <c r="BU161" s="1">
        <v>2</v>
      </c>
      <c r="BV161" s="1">
        <v>0</v>
      </c>
      <c r="BW161" s="1">
        <v>0</v>
      </c>
      <c r="BX161" s="1">
        <v>13</v>
      </c>
      <c r="BY161" s="1">
        <v>37</v>
      </c>
      <c r="BZ161" s="1">
        <v>60</v>
      </c>
    </row>
    <row r="162" spans="1:78">
      <c r="A162" s="16">
        <v>18</v>
      </c>
      <c r="B162" s="59" t="s">
        <v>99</v>
      </c>
      <c r="C162" s="60" t="s">
        <v>167</v>
      </c>
      <c r="D162" s="59" t="s">
        <v>622</v>
      </c>
      <c r="E162" s="59" t="s">
        <v>682</v>
      </c>
      <c r="F162" s="59" t="s">
        <v>208</v>
      </c>
      <c r="G162" s="59" t="s">
        <v>685</v>
      </c>
      <c r="H162" s="11">
        <v>16942265</v>
      </c>
      <c r="I162" s="11">
        <v>16987648</v>
      </c>
      <c r="J162" s="11">
        <v>904895</v>
      </c>
      <c r="K162" s="52">
        <v>0</v>
      </c>
      <c r="L162" s="52">
        <v>4543234</v>
      </c>
      <c r="M162" s="52">
        <v>696768</v>
      </c>
      <c r="N162" s="52">
        <v>2975440</v>
      </c>
      <c r="O162" s="52">
        <v>0</v>
      </c>
      <c r="P162" s="52">
        <v>363991</v>
      </c>
      <c r="Q162" s="52">
        <v>0</v>
      </c>
      <c r="R162" s="11">
        <v>3886176</v>
      </c>
      <c r="S162" s="11">
        <v>1060356</v>
      </c>
      <c r="T162" s="11">
        <v>38543</v>
      </c>
      <c r="U162" s="11">
        <v>118041</v>
      </c>
      <c r="V162" s="11">
        <v>15718585</v>
      </c>
      <c r="W162" s="13">
        <v>0.1</v>
      </c>
      <c r="X162" s="11">
        <v>0</v>
      </c>
      <c r="Y162" s="26">
        <f>1009343/14047189</f>
        <v>7.1853735291808205E-2</v>
      </c>
      <c r="Z162" s="11">
        <v>1006511</v>
      </c>
      <c r="AA162" s="11">
        <v>0</v>
      </c>
      <c r="AB162" s="11">
        <f>41069+2506</f>
        <v>43575</v>
      </c>
      <c r="AC162" s="11">
        <v>573227</v>
      </c>
      <c r="AD162" s="11">
        <v>54625</v>
      </c>
      <c r="AE162" s="11">
        <v>82054</v>
      </c>
      <c r="AF162" s="11">
        <v>51256</v>
      </c>
      <c r="AG162" s="11">
        <v>0</v>
      </c>
      <c r="AH162" s="11">
        <v>33344</v>
      </c>
      <c r="AI162" s="11">
        <v>35918</v>
      </c>
      <c r="AJ162" s="11">
        <v>0</v>
      </c>
      <c r="AK162" s="11">
        <f>13487+38271+24721</f>
        <v>76479</v>
      </c>
      <c r="AL162" s="11">
        <v>16021</v>
      </c>
      <c r="AM162" s="11">
        <v>297</v>
      </c>
      <c r="AN162" s="11">
        <v>0</v>
      </c>
      <c r="AO162" s="11">
        <v>7973</v>
      </c>
      <c r="AP162" s="11">
        <v>53861</v>
      </c>
      <c r="AQ162" s="11">
        <v>0</v>
      </c>
      <c r="AR162" s="11">
        <v>1059436</v>
      </c>
      <c r="AS162" s="11">
        <v>1116791</v>
      </c>
      <c r="AT162" s="11">
        <v>118</v>
      </c>
      <c r="AU162" s="11">
        <v>0</v>
      </c>
      <c r="AV162" s="11">
        <v>143628</v>
      </c>
      <c r="AW162" s="11">
        <v>0</v>
      </c>
      <c r="AX162" s="11">
        <v>165372</v>
      </c>
      <c r="AY162" s="11">
        <v>0</v>
      </c>
      <c r="AZ162" s="11">
        <v>0</v>
      </c>
      <c r="BA162" s="11">
        <v>0</v>
      </c>
      <c r="BB162" s="11">
        <v>3676</v>
      </c>
      <c r="BC162" s="11">
        <v>2392</v>
      </c>
      <c r="BD162" s="11">
        <v>0</v>
      </c>
      <c r="BE162" s="11">
        <v>52</v>
      </c>
      <c r="BF162" s="11">
        <v>-295</v>
      </c>
      <c r="BG162" s="11">
        <v>-978</v>
      </c>
      <c r="BH162" s="11">
        <v>-320</v>
      </c>
      <c r="BI162" s="11">
        <v>-3</v>
      </c>
      <c r="BJ162" s="11">
        <f t="shared" si="10"/>
        <v>4524</v>
      </c>
      <c r="BK162" s="1">
        <v>4</v>
      </c>
      <c r="BL162" s="1">
        <v>75</v>
      </c>
      <c r="BM162" s="1">
        <v>21</v>
      </c>
      <c r="BN162" s="1">
        <v>172</v>
      </c>
      <c r="BO162" s="1">
        <v>36</v>
      </c>
      <c r="BP162" s="1">
        <v>5</v>
      </c>
      <c r="BQ162" s="1">
        <v>1</v>
      </c>
      <c r="BR162" s="1">
        <v>8</v>
      </c>
      <c r="BS162" s="1">
        <v>48</v>
      </c>
      <c r="BT162" s="1">
        <v>104</v>
      </c>
      <c r="BU162" s="1">
        <v>1</v>
      </c>
      <c r="BV162" s="1">
        <v>7</v>
      </c>
      <c r="BW162" s="1">
        <v>14</v>
      </c>
      <c r="BX162" s="1">
        <v>169</v>
      </c>
      <c r="BY162" s="1">
        <v>432</v>
      </c>
      <c r="BZ162" s="1">
        <v>7</v>
      </c>
    </row>
    <row r="163" spans="1:78">
      <c r="A163" s="16">
        <v>18</v>
      </c>
      <c r="B163" s="59" t="s">
        <v>148</v>
      </c>
      <c r="C163" s="60" t="s">
        <v>376</v>
      </c>
      <c r="D163" s="59" t="s">
        <v>37</v>
      </c>
      <c r="E163" s="59" t="s">
        <v>25</v>
      </c>
      <c r="F163" s="59"/>
      <c r="G163" s="59" t="s">
        <v>27</v>
      </c>
      <c r="H163" s="11">
        <v>1704781</v>
      </c>
      <c r="I163" s="11">
        <v>1710811</v>
      </c>
      <c r="J163" s="11">
        <v>231247</v>
      </c>
      <c r="K163" s="52">
        <v>0</v>
      </c>
      <c r="L163" s="52">
        <v>0</v>
      </c>
      <c r="M163" s="52">
        <v>0</v>
      </c>
      <c r="N163" s="52">
        <v>494147</v>
      </c>
      <c r="O163" s="52">
        <v>0</v>
      </c>
      <c r="P163" s="52">
        <v>0</v>
      </c>
      <c r="Q163" s="52">
        <v>290238</v>
      </c>
      <c r="R163" s="11">
        <v>489700</v>
      </c>
      <c r="S163" s="11">
        <v>76061</v>
      </c>
      <c r="T163" s="11">
        <v>11421</v>
      </c>
      <c r="U163" s="11">
        <v>0</v>
      </c>
      <c r="V163" s="11">
        <v>1512275</v>
      </c>
      <c r="W163" s="13">
        <v>0.12</v>
      </c>
      <c r="X163" s="11">
        <v>0</v>
      </c>
      <c r="Y163" s="26">
        <f>150028/1500279</f>
        <v>0.10000006665426897</v>
      </c>
      <c r="Z163" s="11">
        <v>150026</v>
      </c>
      <c r="AA163" s="11">
        <v>0</v>
      </c>
      <c r="AB163" s="11">
        <f>5714+483+137</f>
        <v>6334</v>
      </c>
      <c r="AC163" s="11">
        <v>73482</v>
      </c>
      <c r="AD163" s="11">
        <v>7316</v>
      </c>
      <c r="AE163" s="11">
        <v>5029</v>
      </c>
      <c r="AF163" s="11">
        <v>13490</v>
      </c>
      <c r="AG163" s="11">
        <v>0</v>
      </c>
      <c r="AH163" s="11">
        <v>9025</v>
      </c>
      <c r="AI163" s="11">
        <v>0</v>
      </c>
      <c r="AJ163" s="11">
        <v>0</v>
      </c>
      <c r="AK163" s="11">
        <f>4821+3269+2817</f>
        <v>10907</v>
      </c>
      <c r="AL163" s="11">
        <v>250</v>
      </c>
      <c r="AM163" s="11">
        <v>0</v>
      </c>
      <c r="AN163" s="11">
        <v>0</v>
      </c>
      <c r="AO163" s="11">
        <v>207</v>
      </c>
      <c r="AP163" s="11">
        <v>5468</v>
      </c>
      <c r="AQ163" s="11">
        <v>32758</v>
      </c>
      <c r="AR163" s="11">
        <v>134452</v>
      </c>
      <c r="AS163" s="11">
        <v>137579</v>
      </c>
      <c r="AT163" s="11">
        <v>0</v>
      </c>
      <c r="AU163" s="11">
        <v>0</v>
      </c>
      <c r="AV163" s="11">
        <v>43584</v>
      </c>
      <c r="AW163" s="11">
        <v>0</v>
      </c>
      <c r="AX163" s="11">
        <v>395</v>
      </c>
      <c r="AY163" s="11">
        <v>0</v>
      </c>
      <c r="AZ163" s="11">
        <v>0</v>
      </c>
      <c r="BA163" s="11">
        <v>0</v>
      </c>
      <c r="BB163" s="11">
        <v>263</v>
      </c>
      <c r="BC163" s="11">
        <v>156</v>
      </c>
      <c r="BD163" s="11">
        <v>0</v>
      </c>
      <c r="BE163" s="11">
        <v>3</v>
      </c>
      <c r="BF163" s="11">
        <v>-28</v>
      </c>
      <c r="BG163" s="11">
        <v>-68</v>
      </c>
      <c r="BH163" s="11">
        <v>-39</v>
      </c>
      <c r="BI163" s="11">
        <v>0</v>
      </c>
      <c r="BJ163" s="11">
        <f t="shared" si="10"/>
        <v>287</v>
      </c>
      <c r="BK163" s="1">
        <v>1</v>
      </c>
      <c r="BL163" s="1">
        <v>2</v>
      </c>
      <c r="BM163" s="1">
        <v>5</v>
      </c>
      <c r="BN163" s="1">
        <v>30</v>
      </c>
      <c r="BO163" s="1">
        <v>20</v>
      </c>
      <c r="BP163" s="1">
        <v>0</v>
      </c>
      <c r="BQ163" s="1">
        <v>0</v>
      </c>
      <c r="BR163" s="1">
        <v>0</v>
      </c>
      <c r="BS163" s="1">
        <v>1</v>
      </c>
      <c r="BT163" s="1">
        <v>2</v>
      </c>
      <c r="BU163" s="1">
        <v>1</v>
      </c>
      <c r="BV163" s="1">
        <v>0</v>
      </c>
      <c r="BW163" s="1">
        <v>0</v>
      </c>
      <c r="BX163" s="1">
        <v>20</v>
      </c>
      <c r="BY163" s="1">
        <v>0</v>
      </c>
      <c r="BZ163" s="1">
        <v>0</v>
      </c>
    </row>
    <row r="164" spans="1:78">
      <c r="A164" s="16">
        <v>18</v>
      </c>
      <c r="B164" s="59" t="s">
        <v>205</v>
      </c>
      <c r="C164" s="60" t="s">
        <v>569</v>
      </c>
      <c r="D164" s="59" t="s">
        <v>272</v>
      </c>
      <c r="E164" s="59" t="s">
        <v>452</v>
      </c>
      <c r="F164" s="59"/>
      <c r="G164" s="59" t="s">
        <v>447</v>
      </c>
      <c r="H164" s="11">
        <v>4183888</v>
      </c>
      <c r="I164" s="11">
        <v>4189399</v>
      </c>
      <c r="J164" s="11">
        <v>145547</v>
      </c>
      <c r="K164" s="52">
        <v>0</v>
      </c>
      <c r="L164" s="52">
        <v>0</v>
      </c>
      <c r="M164" s="52">
        <v>1854048</v>
      </c>
      <c r="N164" s="52">
        <v>0</v>
      </c>
      <c r="O164" s="52">
        <v>0</v>
      </c>
      <c r="P164" s="52">
        <v>452014</v>
      </c>
      <c r="Q164" s="52">
        <v>0</v>
      </c>
      <c r="R164" s="11">
        <v>1080911</v>
      </c>
      <c r="S164" s="11">
        <v>159034</v>
      </c>
      <c r="T164" s="11">
        <v>0</v>
      </c>
      <c r="U164" s="11">
        <v>0</v>
      </c>
      <c r="V164" s="11">
        <v>3925197</v>
      </c>
      <c r="W164" s="13">
        <v>0.08</v>
      </c>
      <c r="X164" s="11">
        <v>0</v>
      </c>
      <c r="Y164" s="26">
        <f>380747/3980774</f>
        <v>9.5646474781035051E-2</v>
      </c>
      <c r="Z164" s="11">
        <v>375760</v>
      </c>
      <c r="AA164" s="11">
        <v>0</v>
      </c>
      <c r="AB164" s="8">
        <f>5353+735+322</f>
        <v>6410</v>
      </c>
      <c r="AC164" s="11">
        <v>70107</v>
      </c>
      <c r="AD164" s="11">
        <v>6961</v>
      </c>
      <c r="AE164" s="11">
        <v>14225</v>
      </c>
      <c r="AF164" s="11">
        <v>11940</v>
      </c>
      <c r="AG164" s="11">
        <v>5285</v>
      </c>
      <c r="AH164" s="11">
        <v>11439</v>
      </c>
      <c r="AI164" s="11">
        <v>47602</v>
      </c>
      <c r="AJ164" s="11">
        <v>0</v>
      </c>
      <c r="AK164" s="11">
        <f>7267+7309+6096</f>
        <v>20672</v>
      </c>
      <c r="AL164" s="11">
        <v>5330</v>
      </c>
      <c r="AM164" s="11">
        <v>817</v>
      </c>
      <c r="AN164" s="11">
        <v>14500</v>
      </c>
      <c r="AO164" s="11">
        <v>4514</v>
      </c>
      <c r="AP164" s="11">
        <v>1373</v>
      </c>
      <c r="AQ164" s="11">
        <v>0</v>
      </c>
      <c r="AR164" s="11">
        <v>242678</v>
      </c>
      <c r="AS164" s="11">
        <v>260943</v>
      </c>
      <c r="AT164" s="11">
        <v>0</v>
      </c>
      <c r="AU164" s="11">
        <v>0</v>
      </c>
      <c r="AV164" s="11">
        <v>143628</v>
      </c>
      <c r="AW164" s="11">
        <v>0</v>
      </c>
      <c r="AX164" s="11">
        <v>28371</v>
      </c>
      <c r="AY164" s="11">
        <v>0</v>
      </c>
      <c r="AZ164" s="11">
        <v>0</v>
      </c>
      <c r="BA164" s="11">
        <v>0</v>
      </c>
      <c r="BB164" s="11">
        <v>1175</v>
      </c>
      <c r="BC164" s="11">
        <v>425</v>
      </c>
      <c r="BD164" s="11">
        <v>0</v>
      </c>
      <c r="BE164" s="11">
        <v>20</v>
      </c>
      <c r="BF164" s="11">
        <v>-83</v>
      </c>
      <c r="BG164" s="11">
        <v>-147</v>
      </c>
      <c r="BH164" s="11">
        <v>-199</v>
      </c>
      <c r="BI164" s="11">
        <v>0</v>
      </c>
      <c r="BJ164" s="11">
        <f t="shared" si="10"/>
        <v>1191</v>
      </c>
      <c r="BK164" s="1">
        <v>0</v>
      </c>
      <c r="BL164" s="1">
        <v>12</v>
      </c>
      <c r="BM164" s="1">
        <v>11</v>
      </c>
      <c r="BN164" s="1">
        <v>160</v>
      </c>
      <c r="BO164" s="1">
        <v>13</v>
      </c>
      <c r="BP164" s="1">
        <v>3</v>
      </c>
      <c r="BQ164" s="1">
        <v>0</v>
      </c>
      <c r="BR164" s="1">
        <v>1</v>
      </c>
      <c r="BS164" s="1">
        <v>12</v>
      </c>
      <c r="BT164" s="1">
        <v>41</v>
      </c>
      <c r="BU164" s="1">
        <v>0</v>
      </c>
      <c r="BV164" s="1">
        <v>0</v>
      </c>
      <c r="BW164" s="1">
        <v>1</v>
      </c>
      <c r="BX164" s="1">
        <v>7</v>
      </c>
      <c r="BY164" s="1">
        <v>30</v>
      </c>
      <c r="BZ164" s="1">
        <v>0</v>
      </c>
    </row>
    <row r="165" spans="1:78">
      <c r="A165" s="16">
        <v>18</v>
      </c>
      <c r="B165" s="59" t="s">
        <v>240</v>
      </c>
      <c r="C165" s="60" t="s">
        <v>347</v>
      </c>
      <c r="D165" s="59" t="s">
        <v>602</v>
      </c>
      <c r="E165" s="59" t="s">
        <v>682</v>
      </c>
      <c r="F165" s="59" t="s">
        <v>694</v>
      </c>
      <c r="G165" s="59" t="s">
        <v>685</v>
      </c>
      <c r="H165" s="11">
        <v>46735872</v>
      </c>
      <c r="I165" s="11">
        <v>46877258</v>
      </c>
      <c r="J165" s="11">
        <v>3217058</v>
      </c>
      <c r="K165" s="52">
        <v>15617242</v>
      </c>
      <c r="L165" s="52">
        <v>3255774</v>
      </c>
      <c r="M165" s="52">
        <v>7699569</v>
      </c>
      <c r="N165" s="52">
        <v>0</v>
      </c>
      <c r="O165" s="52">
        <v>584199</v>
      </c>
      <c r="P165" s="52">
        <v>3390107</v>
      </c>
      <c r="Q165">
        <v>0</v>
      </c>
      <c r="R165" s="52">
        <v>9727139</v>
      </c>
      <c r="S165" s="11">
        <v>1574977</v>
      </c>
      <c r="T165" s="11">
        <v>46722</v>
      </c>
      <c r="U165" s="11">
        <v>0</v>
      </c>
      <c r="V165" s="11">
        <v>44544029</v>
      </c>
      <c r="W165" s="13">
        <v>8.8800000000000004E-2</v>
      </c>
      <c r="X165" s="11">
        <v>2569055</v>
      </c>
      <c r="Y165" s="26">
        <f>2579816/41928202</f>
        <v>6.152937347516118E-2</v>
      </c>
      <c r="Z165" s="11">
        <v>2569055</v>
      </c>
      <c r="AA165" s="11">
        <v>0</v>
      </c>
      <c r="AB165" s="3">
        <f>141386+4549</f>
        <v>145935</v>
      </c>
      <c r="AC165" s="11">
        <v>1483703</v>
      </c>
      <c r="AD165" s="11">
        <v>133118</v>
      </c>
      <c r="AE165" s="11">
        <v>311308</v>
      </c>
      <c r="AF165" s="11">
        <f>210268+3960</f>
        <v>214228</v>
      </c>
      <c r="AG165" s="11">
        <v>50</v>
      </c>
      <c r="AH165" s="11">
        <v>37502</v>
      </c>
      <c r="AI165" s="11">
        <v>40817</v>
      </c>
      <c r="AJ165" s="11">
        <v>0</v>
      </c>
      <c r="AK165" s="11">
        <f>22554+56899+49059</f>
        <v>128512</v>
      </c>
      <c r="AL165" s="11">
        <v>22640</v>
      </c>
      <c r="AM165" s="11">
        <v>591</v>
      </c>
      <c r="AN165" s="11">
        <v>608</v>
      </c>
      <c r="AO165" s="11">
        <v>223</v>
      </c>
      <c r="AP165" s="11">
        <v>45701</v>
      </c>
      <c r="AQ165" s="11">
        <v>0</v>
      </c>
      <c r="AR165" s="11">
        <v>2603929</v>
      </c>
      <c r="AS165" s="11">
        <v>2675458</v>
      </c>
      <c r="AT165" s="11">
        <v>0</v>
      </c>
      <c r="AU165" s="11">
        <v>0</v>
      </c>
      <c r="AV165" s="11">
        <v>146628</v>
      </c>
      <c r="AW165" s="11">
        <v>0</v>
      </c>
      <c r="AX165" s="11">
        <v>434385</v>
      </c>
      <c r="AY165" s="11">
        <v>0</v>
      </c>
      <c r="AZ165" s="11">
        <v>0</v>
      </c>
      <c r="BA165" s="11">
        <v>0</v>
      </c>
      <c r="BB165" s="11">
        <v>6195</v>
      </c>
      <c r="BC165" s="11">
        <v>2712</v>
      </c>
      <c r="BD165" s="11">
        <v>16</v>
      </c>
      <c r="BE165" s="11">
        <f>57-3</f>
        <v>54</v>
      </c>
      <c r="BF165" s="11">
        <v>-229</v>
      </c>
      <c r="BG165" s="11">
        <v>-1549</v>
      </c>
      <c r="BH165" s="11">
        <v>-1091</v>
      </c>
      <c r="BI165" s="11">
        <v>-13</v>
      </c>
      <c r="BJ165" s="11">
        <f t="shared" si="10"/>
        <v>6095</v>
      </c>
      <c r="BK165" s="1">
        <v>63</v>
      </c>
      <c r="BL165" s="1">
        <v>386</v>
      </c>
      <c r="BM165" s="1">
        <v>137</v>
      </c>
      <c r="BN165" s="1">
        <v>505</v>
      </c>
      <c r="BO165" s="1">
        <v>63</v>
      </c>
      <c r="BP165" s="1">
        <v>13</v>
      </c>
      <c r="BQ165" s="1">
        <v>0</v>
      </c>
      <c r="BR165" s="1">
        <v>3</v>
      </c>
      <c r="BS165" s="1">
        <v>56</v>
      </c>
      <c r="BT165" s="1">
        <v>69</v>
      </c>
      <c r="BU165" s="1">
        <v>0</v>
      </c>
      <c r="BV165" s="1">
        <v>16</v>
      </c>
      <c r="BW165" s="1">
        <v>43</v>
      </c>
      <c r="BX165" s="1">
        <v>296</v>
      </c>
      <c r="BY165" s="1">
        <v>293</v>
      </c>
      <c r="BZ165" s="1">
        <v>15</v>
      </c>
    </row>
    <row r="166" spans="1:78">
      <c r="A166" s="16">
        <v>18</v>
      </c>
      <c r="B166" s="59" t="s">
        <v>241</v>
      </c>
      <c r="C166" s="60" t="s">
        <v>369</v>
      </c>
      <c r="D166" s="59" t="s">
        <v>528</v>
      </c>
      <c r="E166" s="59" t="s">
        <v>312</v>
      </c>
      <c r="F166" s="59"/>
      <c r="G166" s="59" t="s">
        <v>313</v>
      </c>
      <c r="H166" s="11">
        <v>3205002</v>
      </c>
      <c r="I166" s="11">
        <v>3206933</v>
      </c>
      <c r="J166" s="11">
        <v>91862</v>
      </c>
      <c r="K166" s="52">
        <v>7292</v>
      </c>
      <c r="L166" s="37">
        <v>0</v>
      </c>
      <c r="M166" s="52">
        <v>36037</v>
      </c>
      <c r="N166" s="52">
        <v>1388700</v>
      </c>
      <c r="O166" s="52">
        <v>0</v>
      </c>
      <c r="P166" s="52">
        <v>0</v>
      </c>
      <c r="Q166" s="52">
        <v>423223</v>
      </c>
      <c r="R166" s="11">
        <v>980752</v>
      </c>
      <c r="S166" s="11">
        <v>65371</v>
      </c>
      <c r="T166" s="11">
        <v>958</v>
      </c>
      <c r="U166" s="11">
        <v>0</v>
      </c>
      <c r="V166" s="11">
        <v>3214591</v>
      </c>
      <c r="W166" s="13">
        <v>0.1</v>
      </c>
      <c r="X166" s="11">
        <v>0</v>
      </c>
      <c r="Y166" s="26">
        <f>307982/3208149</f>
        <v>9.5999905241308928E-2</v>
      </c>
      <c r="Z166" s="11">
        <v>307918</v>
      </c>
      <c r="AA166" s="11">
        <v>0</v>
      </c>
      <c r="AB166" s="11">
        <f>1931+166</f>
        <v>2097</v>
      </c>
      <c r="AC166" s="11">
        <v>77331</v>
      </c>
      <c r="AD166" s="11">
        <v>6319</v>
      </c>
      <c r="AE166" s="11">
        <v>13236</v>
      </c>
      <c r="AF166" s="11">
        <v>13920</v>
      </c>
      <c r="AG166" s="11">
        <v>757</v>
      </c>
      <c r="AH166" s="11">
        <v>5919</v>
      </c>
      <c r="AI166" s="11">
        <v>0</v>
      </c>
      <c r="AJ166" s="11">
        <v>0</v>
      </c>
      <c r="AK166" s="11">
        <f>4053+6880+3446</f>
        <v>14379</v>
      </c>
      <c r="AL166" s="11">
        <v>288</v>
      </c>
      <c r="AM166" s="11">
        <v>146</v>
      </c>
      <c r="AN166" s="11">
        <v>0</v>
      </c>
      <c r="AO166" s="11">
        <v>3187</v>
      </c>
      <c r="AP166" s="11">
        <v>4484</v>
      </c>
      <c r="AQ166" s="11">
        <v>0</v>
      </c>
      <c r="AR166" s="11">
        <v>154384</v>
      </c>
      <c r="AS166" s="11">
        <v>159577</v>
      </c>
      <c r="AT166" s="11">
        <v>0</v>
      </c>
      <c r="AU166" s="11">
        <v>0</v>
      </c>
      <c r="AV166" s="11">
        <v>143628</v>
      </c>
      <c r="AW166" s="11">
        <v>0</v>
      </c>
      <c r="AX166" s="11">
        <v>26891</v>
      </c>
      <c r="AY166" s="11">
        <v>646</v>
      </c>
      <c r="AZ166" s="11">
        <v>646</v>
      </c>
      <c r="BA166" s="11">
        <v>0</v>
      </c>
      <c r="BB166" s="11">
        <v>655</v>
      </c>
      <c r="BC166" s="11">
        <v>242</v>
      </c>
      <c r="BD166" s="11">
        <v>7</v>
      </c>
      <c r="BE166" s="11">
        <v>8</v>
      </c>
      <c r="BF166" s="11">
        <v>-62</v>
      </c>
      <c r="BG166" s="11">
        <v>-85</v>
      </c>
      <c r="BH166" s="11">
        <v>-139</v>
      </c>
      <c r="BI166" s="11">
        <v>0</v>
      </c>
      <c r="BJ166" s="11">
        <f t="shared" si="10"/>
        <v>626</v>
      </c>
      <c r="BK166" s="1">
        <v>0</v>
      </c>
      <c r="BL166" s="1">
        <v>14</v>
      </c>
      <c r="BM166" s="1">
        <v>12</v>
      </c>
      <c r="BN166" s="1">
        <v>109</v>
      </c>
      <c r="BO166" s="1">
        <v>2</v>
      </c>
      <c r="BP166" s="1">
        <v>2</v>
      </c>
      <c r="BQ166" s="1">
        <v>0</v>
      </c>
      <c r="BR166" s="1">
        <v>0</v>
      </c>
      <c r="BS166" s="1">
        <v>20</v>
      </c>
      <c r="BT166" s="1">
        <v>12</v>
      </c>
      <c r="BU166" s="1">
        <v>29</v>
      </c>
      <c r="BV166" s="1">
        <v>1</v>
      </c>
      <c r="BW166" s="1">
        <v>3</v>
      </c>
      <c r="BX166" s="1">
        <v>19</v>
      </c>
      <c r="BY166" s="1">
        <v>17</v>
      </c>
      <c r="BZ166" s="1">
        <v>3</v>
      </c>
    </row>
    <row r="167" spans="1:78">
      <c r="A167" s="16">
        <v>18</v>
      </c>
      <c r="B167" s="59" t="s">
        <v>245</v>
      </c>
      <c r="C167" s="60" t="s">
        <v>351</v>
      </c>
      <c r="D167" s="59" t="s">
        <v>676</v>
      </c>
      <c r="E167" s="59" t="s">
        <v>682</v>
      </c>
      <c r="F167" s="59" t="s">
        <v>694</v>
      </c>
      <c r="G167" s="59" t="s">
        <v>685</v>
      </c>
      <c r="H167" s="11">
        <v>7544096</v>
      </c>
      <c r="I167" s="11">
        <v>7567670</v>
      </c>
      <c r="J167" s="11">
        <v>335125</v>
      </c>
      <c r="K167" s="52">
        <v>665774</v>
      </c>
      <c r="L167" s="52">
        <v>523008</v>
      </c>
      <c r="M167" s="52">
        <v>81451</v>
      </c>
      <c r="N167" s="52">
        <v>2278131</v>
      </c>
      <c r="O167" s="52">
        <v>42475</v>
      </c>
      <c r="P167" s="52">
        <v>11384</v>
      </c>
      <c r="Q167" s="52">
        <v>764262</v>
      </c>
      <c r="R167" s="11">
        <v>1674247</v>
      </c>
      <c r="S167" s="11">
        <v>602577</v>
      </c>
      <c r="T167" s="11">
        <v>10141</v>
      </c>
      <c r="U167" s="11">
        <v>0</v>
      </c>
      <c r="V167" s="11">
        <v>7417033</v>
      </c>
      <c r="W167" s="13">
        <v>0.08</v>
      </c>
      <c r="X167" s="11">
        <v>0</v>
      </c>
      <c r="Y167" s="26">
        <f>740019/7400191</f>
        <v>9.9999986486835266E-2</v>
      </c>
      <c r="Z167" s="11">
        <v>740229</v>
      </c>
      <c r="AA167" s="11">
        <v>0</v>
      </c>
      <c r="AB167" s="11">
        <f>23574+269+1472</f>
        <v>25315</v>
      </c>
      <c r="AC167" s="11">
        <v>310285</v>
      </c>
      <c r="AD167" s="11">
        <v>34437</v>
      </c>
      <c r="AE167" s="11">
        <v>37025</v>
      </c>
      <c r="AF167" s="11">
        <v>51939</v>
      </c>
      <c r="AG167" s="11">
        <v>1606</v>
      </c>
      <c r="AH167" s="11">
        <v>23387</v>
      </c>
      <c r="AI167" s="11">
        <v>9465</v>
      </c>
      <c r="AJ167" s="11">
        <v>0</v>
      </c>
      <c r="AK167" s="11">
        <f>9389+20942+12809</f>
        <v>43140</v>
      </c>
      <c r="AL167" s="11">
        <v>4917</v>
      </c>
      <c r="AM167" s="11">
        <v>523</v>
      </c>
      <c r="AN167" s="11">
        <v>0</v>
      </c>
      <c r="AO167" s="11">
        <v>1579</v>
      </c>
      <c r="AP167" s="11">
        <v>20402</v>
      </c>
      <c r="AQ167" s="11">
        <v>0</v>
      </c>
      <c r="AR167" s="11">
        <v>599985</v>
      </c>
      <c r="AS167" s="11">
        <v>618680</v>
      </c>
      <c r="AT167" s="11">
        <v>0</v>
      </c>
      <c r="AU167" s="11">
        <v>0</v>
      </c>
      <c r="AV167" s="11">
        <v>143628</v>
      </c>
      <c r="AW167" s="30">
        <v>0</v>
      </c>
      <c r="AX167" s="11">
        <v>97961</v>
      </c>
      <c r="AY167" s="11">
        <v>0</v>
      </c>
      <c r="AZ167" s="11">
        <v>0</v>
      </c>
      <c r="BA167" s="11">
        <v>0</v>
      </c>
      <c r="BB167" s="11">
        <v>1408</v>
      </c>
      <c r="BC167" s="11">
        <v>680</v>
      </c>
      <c r="BD167" s="11">
        <v>4</v>
      </c>
      <c r="BE167" s="11">
        <v>9</v>
      </c>
      <c r="BF167" s="11">
        <v>-124</v>
      </c>
      <c r="BG167" s="11">
        <v>-343</v>
      </c>
      <c r="BH167" s="11">
        <v>-285</v>
      </c>
      <c r="BI167" s="11">
        <v>-1</v>
      </c>
      <c r="BJ167" s="11">
        <f t="shared" si="10"/>
        <v>1348</v>
      </c>
      <c r="BK167" s="1">
        <v>10</v>
      </c>
      <c r="BL167" s="1">
        <v>55</v>
      </c>
      <c r="BM167" s="1">
        <v>33</v>
      </c>
      <c r="BN167" s="1">
        <v>133</v>
      </c>
      <c r="BO167" s="1">
        <v>64</v>
      </c>
      <c r="BP167" s="1">
        <v>0</v>
      </c>
      <c r="BQ167" s="1">
        <v>1</v>
      </c>
      <c r="BR167" s="1">
        <v>2</v>
      </c>
      <c r="BS167" s="1">
        <v>19</v>
      </c>
      <c r="BT167" s="1">
        <v>93</v>
      </c>
      <c r="BU167" s="1">
        <v>0</v>
      </c>
      <c r="BV167" s="1">
        <v>1</v>
      </c>
      <c r="BW167" s="1">
        <v>5</v>
      </c>
      <c r="BX167" s="1">
        <v>39</v>
      </c>
      <c r="BY167" s="1">
        <v>249</v>
      </c>
      <c r="BZ167" s="1">
        <v>0</v>
      </c>
    </row>
    <row r="168" spans="1:78">
      <c r="A168" s="16">
        <v>18</v>
      </c>
      <c r="B168" s="59" t="s">
        <v>306</v>
      </c>
      <c r="C168" s="60" t="s">
        <v>169</v>
      </c>
      <c r="D168" s="59" t="s">
        <v>639</v>
      </c>
      <c r="E168" s="59" t="s">
        <v>682</v>
      </c>
      <c r="F168" s="59" t="s">
        <v>694</v>
      </c>
      <c r="G168" s="59" t="s">
        <v>685</v>
      </c>
      <c r="H168" s="11">
        <v>23015144</v>
      </c>
      <c r="I168" s="11">
        <v>23083039</v>
      </c>
      <c r="J168" s="11">
        <v>808764</v>
      </c>
      <c r="K168" s="52">
        <v>8915248</v>
      </c>
      <c r="L168" s="52">
        <v>1759604</v>
      </c>
      <c r="M168" s="52">
        <v>3474287</v>
      </c>
      <c r="N168" s="52">
        <v>0</v>
      </c>
      <c r="O168" s="52">
        <v>371204</v>
      </c>
      <c r="P168" s="52">
        <v>1790010</v>
      </c>
      <c r="Q168" s="52">
        <v>0</v>
      </c>
      <c r="R168" s="11">
        <v>3012333</v>
      </c>
      <c r="S168" s="11">
        <v>1155626</v>
      </c>
      <c r="T168" s="11">
        <v>15763</v>
      </c>
      <c r="U168" s="11">
        <v>0</v>
      </c>
      <c r="V168" s="11">
        <v>21638229</v>
      </c>
      <c r="W168" s="13">
        <v>8.2900000000000001E-2</v>
      </c>
      <c r="X168" s="11">
        <v>0</v>
      </c>
      <c r="Y168" s="26">
        <f>1081090/21622466</f>
        <v>4.9998459935143381E-2</v>
      </c>
      <c r="Z168" s="11">
        <v>1081124</v>
      </c>
      <c r="AA168" s="11">
        <v>0</v>
      </c>
      <c r="AB168" s="11">
        <f>66924+2715+2633</f>
        <v>72272</v>
      </c>
      <c r="AC168" s="11">
        <v>489128</v>
      </c>
      <c r="AD168" s="11">
        <v>40343</v>
      </c>
      <c r="AE168" s="11">
        <v>92462</v>
      </c>
      <c r="AF168" s="11">
        <v>69193</v>
      </c>
      <c r="AG168" s="11">
        <v>3556</v>
      </c>
      <c r="AH168" s="11">
        <v>47132</v>
      </c>
      <c r="AI168" s="11">
        <v>10013</v>
      </c>
      <c r="AJ168" s="11">
        <v>0</v>
      </c>
      <c r="AK168" s="11">
        <f>18202+31969+19772</f>
        <v>69943</v>
      </c>
      <c r="AL168" s="11">
        <v>14422</v>
      </c>
      <c r="AM168" s="11">
        <v>544</v>
      </c>
      <c r="AN168" s="11">
        <v>0</v>
      </c>
      <c r="AO168" s="11">
        <v>1362</v>
      </c>
      <c r="AP168" s="11">
        <v>71093</v>
      </c>
      <c r="AQ168" s="11">
        <v>0</v>
      </c>
      <c r="AR168" s="11">
        <v>995969</v>
      </c>
      <c r="AS168" s="11">
        <v>997277</v>
      </c>
      <c r="AT168" s="11">
        <v>325</v>
      </c>
      <c r="AU168" s="11">
        <v>0</v>
      </c>
      <c r="AV168" s="11">
        <v>143628</v>
      </c>
      <c r="AW168" s="11">
        <v>0</v>
      </c>
      <c r="AX168" s="11">
        <v>164112</v>
      </c>
      <c r="AY168" s="11">
        <v>0</v>
      </c>
      <c r="AZ168" s="11">
        <v>0</v>
      </c>
      <c r="BA168" s="11">
        <v>0</v>
      </c>
      <c r="BB168" s="11">
        <v>2623</v>
      </c>
      <c r="BC168" s="11">
        <v>1491</v>
      </c>
      <c r="BD168" s="11">
        <v>15</v>
      </c>
      <c r="BE168" s="11">
        <f>1+14-2</f>
        <v>13</v>
      </c>
      <c r="BF168" s="11">
        <v>-128</v>
      </c>
      <c r="BG168" s="11">
        <v>-793</v>
      </c>
      <c r="BH168" s="11">
        <v>-402</v>
      </c>
      <c r="BI168" s="11">
        <v>-4</v>
      </c>
      <c r="BJ168" s="11">
        <f t="shared" si="10"/>
        <v>2815</v>
      </c>
      <c r="BK168" s="1">
        <v>7</v>
      </c>
      <c r="BL168" s="1">
        <v>176</v>
      </c>
      <c r="BM168" s="1">
        <v>20</v>
      </c>
      <c r="BN168" s="1">
        <v>122</v>
      </c>
      <c r="BO168" s="1">
        <v>88</v>
      </c>
      <c r="BP168" s="1">
        <v>0</v>
      </c>
      <c r="BQ168" s="1">
        <v>34</v>
      </c>
      <c r="BR168" s="1">
        <v>8</v>
      </c>
      <c r="BS168" s="1">
        <v>24</v>
      </c>
      <c r="BT168" s="1">
        <v>23</v>
      </c>
      <c r="BU168" s="1">
        <v>0</v>
      </c>
      <c r="BV168" s="1">
        <v>235</v>
      </c>
      <c r="BW168" s="1">
        <v>27</v>
      </c>
      <c r="BX168" s="1">
        <v>42</v>
      </c>
      <c r="BY168" s="1">
        <v>90</v>
      </c>
      <c r="BZ168" s="1">
        <v>0</v>
      </c>
    </row>
    <row r="169" spans="1:78">
      <c r="A169" s="16">
        <v>18</v>
      </c>
      <c r="B169" s="59" t="s">
        <v>366</v>
      </c>
      <c r="C169" s="60" t="s">
        <v>339</v>
      </c>
      <c r="D169" s="59" t="s">
        <v>80</v>
      </c>
      <c r="E169" s="59" t="s">
        <v>312</v>
      </c>
      <c r="F169" s="59"/>
      <c r="G169" s="59" t="s">
        <v>313</v>
      </c>
      <c r="H169" s="11">
        <v>4461834</v>
      </c>
      <c r="I169" s="11">
        <v>4472389</v>
      </c>
      <c r="J169" s="11">
        <v>212497</v>
      </c>
      <c r="K169" s="52">
        <v>0</v>
      </c>
      <c r="L169" s="52">
        <v>162703</v>
      </c>
      <c r="M169" s="52">
        <v>1685992</v>
      </c>
      <c r="N169" s="52">
        <v>0</v>
      </c>
      <c r="O169" s="52">
        <v>0</v>
      </c>
      <c r="P169" s="52">
        <v>0</v>
      </c>
      <c r="Q169" s="52">
        <v>568290</v>
      </c>
      <c r="R169" s="11">
        <v>1294146</v>
      </c>
      <c r="S169" s="11">
        <v>304633</v>
      </c>
      <c r="T169" s="11">
        <v>2929</v>
      </c>
      <c r="U169" s="11">
        <v>0</v>
      </c>
      <c r="V169" s="11">
        <v>4419107</v>
      </c>
      <c r="W169" s="13">
        <v>0.09</v>
      </c>
      <c r="X169" s="11">
        <v>0</v>
      </c>
      <c r="Y169" s="26">
        <f>400399/4416178</f>
        <v>9.0666408826818118E-2</v>
      </c>
      <c r="Z169" s="11">
        <v>400399</v>
      </c>
      <c r="AA169" s="11">
        <v>0</v>
      </c>
      <c r="AB169" s="11">
        <f>10555+276</f>
        <v>10831</v>
      </c>
      <c r="AC169" s="11">
        <v>143357</v>
      </c>
      <c r="AD169" s="11">
        <v>12660</v>
      </c>
      <c r="AE169" s="11">
        <v>23185</v>
      </c>
      <c r="AF169" s="11">
        <f>15851+2447</f>
        <v>18298</v>
      </c>
      <c r="AG169" s="11">
        <v>1250</v>
      </c>
      <c r="AH169" s="11">
        <v>23299</v>
      </c>
      <c r="AI169" s="11">
        <v>1634</v>
      </c>
      <c r="AJ169" s="11">
        <v>0</v>
      </c>
      <c r="AK169" s="11">
        <f>3594+5252+2530</f>
        <v>11376</v>
      </c>
      <c r="AL169" s="11">
        <v>1956</v>
      </c>
      <c r="AM169" s="11">
        <v>10</v>
      </c>
      <c r="AN169" s="11">
        <v>0</v>
      </c>
      <c r="AO169" s="11">
        <v>6368</v>
      </c>
      <c r="AP169" s="11">
        <v>2958</v>
      </c>
      <c r="AQ169" s="11">
        <v>116052</v>
      </c>
      <c r="AR169" s="11">
        <v>267101</v>
      </c>
      <c r="AS169" s="11">
        <v>279784</v>
      </c>
      <c r="AT169" s="11">
        <v>0</v>
      </c>
      <c r="AU169" s="11">
        <v>0</v>
      </c>
      <c r="AV169" s="11">
        <v>143628</v>
      </c>
      <c r="AW169" s="11">
        <v>0</v>
      </c>
      <c r="AX169" s="11">
        <v>42191</v>
      </c>
      <c r="AY169" s="11">
        <v>0</v>
      </c>
      <c r="AZ169" s="11">
        <v>0</v>
      </c>
      <c r="BA169" s="11"/>
      <c r="BB169" s="11">
        <v>1228</v>
      </c>
      <c r="BC169" s="11">
        <v>384</v>
      </c>
      <c r="BD169" s="11">
        <v>0</v>
      </c>
      <c r="BE169" s="11">
        <f>7-86</f>
        <v>-79</v>
      </c>
      <c r="BF169" s="11">
        <v>-133</v>
      </c>
      <c r="BG169" s="11">
        <v>-207</v>
      </c>
      <c r="BH169" s="11">
        <v>-237</v>
      </c>
      <c r="BI169" s="11">
        <v>0</v>
      </c>
      <c r="BJ169" s="11">
        <f t="shared" si="10"/>
        <v>956</v>
      </c>
      <c r="BK169" s="1">
        <v>5</v>
      </c>
      <c r="BL169" s="1">
        <v>37</v>
      </c>
      <c r="BM169" s="1">
        <v>21</v>
      </c>
      <c r="BN169" s="1">
        <v>177</v>
      </c>
      <c r="BO169" s="1">
        <v>1</v>
      </c>
      <c r="BP169" s="1">
        <v>1</v>
      </c>
      <c r="BQ169" s="1">
        <v>1</v>
      </c>
      <c r="BR169" s="1">
        <v>5</v>
      </c>
      <c r="BS169" s="1">
        <v>73</v>
      </c>
      <c r="BT169" s="1">
        <v>54</v>
      </c>
      <c r="BU169" s="1">
        <v>0</v>
      </c>
      <c r="BV169" s="1">
        <v>5</v>
      </c>
      <c r="BW169" s="1">
        <v>3</v>
      </c>
      <c r="BX169" s="1">
        <v>59</v>
      </c>
      <c r="BY169" s="1">
        <v>80</v>
      </c>
      <c r="BZ169" s="1">
        <v>1</v>
      </c>
    </row>
    <row r="170" spans="1:78">
      <c r="A170" s="16">
        <v>18</v>
      </c>
      <c r="B170" s="59" t="s">
        <v>390</v>
      </c>
      <c r="C170" s="60" t="s">
        <v>250</v>
      </c>
      <c r="D170" s="59" t="s">
        <v>225</v>
      </c>
      <c r="E170" s="59" t="s">
        <v>499</v>
      </c>
      <c r="F170" s="59"/>
      <c r="G170" s="59" t="s">
        <v>501</v>
      </c>
      <c r="H170" s="11">
        <v>12044708</v>
      </c>
      <c r="I170" s="11">
        <v>12074704</v>
      </c>
      <c r="J170" s="11">
        <v>418407</v>
      </c>
      <c r="K170" s="52">
        <v>0</v>
      </c>
      <c r="L170" s="52">
        <v>569367</v>
      </c>
      <c r="M170" s="52">
        <v>1982366</v>
      </c>
      <c r="N170" s="52">
        <v>1560003</v>
      </c>
      <c r="O170" s="52">
        <v>0</v>
      </c>
      <c r="P170" s="52">
        <v>542250</v>
      </c>
      <c r="Q170" s="52">
        <v>1386833</v>
      </c>
      <c r="R170" s="11">
        <v>3355760</v>
      </c>
      <c r="S170" s="11">
        <v>1446743</v>
      </c>
      <c r="T170" s="11">
        <v>0</v>
      </c>
      <c r="U170" s="11">
        <v>0</v>
      </c>
      <c r="V170" s="11">
        <v>11790110</v>
      </c>
      <c r="W170" s="13">
        <v>0.09</v>
      </c>
      <c r="X170" s="11">
        <v>0</v>
      </c>
      <c r="Y170" s="26">
        <f>897944/11758418</f>
        <v>7.6366055365611252E-2</v>
      </c>
      <c r="Z170" s="11">
        <v>898746</v>
      </c>
      <c r="AA170" s="11">
        <v>0</v>
      </c>
      <c r="AB170" s="11">
        <f>28555+2723+1417</f>
        <v>32695</v>
      </c>
      <c r="AC170" s="11">
        <v>448599</v>
      </c>
      <c r="AD170" s="11">
        <v>41033</v>
      </c>
      <c r="AE170" s="11">
        <v>104656</v>
      </c>
      <c r="AF170" s="11">
        <v>50505</v>
      </c>
      <c r="AG170" s="11">
        <v>0</v>
      </c>
      <c r="AH170" s="11">
        <v>34077</v>
      </c>
      <c r="AI170" s="11">
        <v>3175</v>
      </c>
      <c r="AJ170" s="11">
        <v>0</v>
      </c>
      <c r="AK170" s="11">
        <f>8432+14281+18324</f>
        <v>41037</v>
      </c>
      <c r="AL170" s="11">
        <v>8925</v>
      </c>
      <c r="AM170" s="11">
        <v>0</v>
      </c>
      <c r="AN170" s="11">
        <v>0</v>
      </c>
      <c r="AO170" s="11">
        <v>849</v>
      </c>
      <c r="AP170" s="11">
        <v>7511</v>
      </c>
      <c r="AQ170" s="11">
        <v>0</v>
      </c>
      <c r="AR170" s="11">
        <v>785189</v>
      </c>
      <c r="AS170" s="11">
        <v>807089</v>
      </c>
      <c r="AT170" s="11">
        <v>0</v>
      </c>
      <c r="AU170" s="11">
        <v>0</v>
      </c>
      <c r="AV170" s="11">
        <v>143628</v>
      </c>
      <c r="AW170" s="11">
        <v>0</v>
      </c>
      <c r="AX170" s="11">
        <v>128821</v>
      </c>
      <c r="AY170" s="11">
        <v>0</v>
      </c>
      <c r="AZ170" s="11">
        <v>0</v>
      </c>
      <c r="BA170" s="11">
        <v>0</v>
      </c>
      <c r="BB170" s="11">
        <v>2588</v>
      </c>
      <c r="BC170" s="11">
        <v>1193</v>
      </c>
      <c r="BD170" s="11">
        <v>28</v>
      </c>
      <c r="BE170" s="11">
        <f>37-4</f>
        <v>33</v>
      </c>
      <c r="BF170" s="11">
        <v>-205</v>
      </c>
      <c r="BG170" s="11">
        <v>-605</v>
      </c>
      <c r="BH170" s="11">
        <v>-549</v>
      </c>
      <c r="BI170" s="11">
        <v>-3</v>
      </c>
      <c r="BJ170" s="11">
        <f t="shared" si="10"/>
        <v>2480</v>
      </c>
      <c r="BK170" s="1">
        <v>1</v>
      </c>
      <c r="BL170" s="1">
        <v>78</v>
      </c>
      <c r="BM170" s="1">
        <v>51</v>
      </c>
      <c r="BN170" s="1">
        <v>252</v>
      </c>
      <c r="BO170" s="1">
        <v>160</v>
      </c>
      <c r="BP170" s="1">
        <v>8</v>
      </c>
      <c r="BQ170" s="1">
        <v>2</v>
      </c>
      <c r="BR170" s="1">
        <v>0</v>
      </c>
      <c r="BS170" s="1">
        <v>29</v>
      </c>
      <c r="BT170" s="1">
        <v>104</v>
      </c>
      <c r="BU170" s="1">
        <v>1</v>
      </c>
      <c r="BV170" s="1">
        <v>5</v>
      </c>
      <c r="BW170" s="1">
        <v>4</v>
      </c>
      <c r="BX170" s="1">
        <v>53</v>
      </c>
      <c r="BY170" s="1">
        <v>308</v>
      </c>
      <c r="BZ170" s="1">
        <v>10</v>
      </c>
    </row>
    <row r="171" spans="1:78">
      <c r="A171" s="16">
        <v>18</v>
      </c>
      <c r="B171" s="59" t="s">
        <v>541</v>
      </c>
      <c r="C171" s="60" t="s">
        <v>76</v>
      </c>
      <c r="D171" s="59" t="s">
        <v>80</v>
      </c>
      <c r="E171" s="59" t="s">
        <v>312</v>
      </c>
      <c r="F171" s="59"/>
      <c r="G171" s="59" t="s">
        <v>313</v>
      </c>
      <c r="H171" s="11">
        <v>3191961</v>
      </c>
      <c r="I171" s="11">
        <v>3207693</v>
      </c>
      <c r="J171" s="11">
        <v>113633</v>
      </c>
      <c r="K171" s="52">
        <v>69891</v>
      </c>
      <c r="L171" s="52">
        <v>0</v>
      </c>
      <c r="M171" s="52">
        <v>0</v>
      </c>
      <c r="N171" s="52">
        <v>1148912</v>
      </c>
      <c r="O171" s="52">
        <v>5623</v>
      </c>
      <c r="P171" s="52">
        <v>0</v>
      </c>
      <c r="Q171" s="52">
        <v>444896</v>
      </c>
      <c r="R171" s="11">
        <v>912998</v>
      </c>
      <c r="S171" s="11">
        <v>213256</v>
      </c>
      <c r="T171" s="11">
        <v>736</v>
      </c>
      <c r="U171" s="11">
        <v>0</v>
      </c>
      <c r="V171" s="11">
        <v>3111126</v>
      </c>
      <c r="W171" s="13">
        <v>0.13500000000000001</v>
      </c>
      <c r="X171" s="11">
        <v>0</v>
      </c>
      <c r="Y171" s="26">
        <f>310971/3109707</f>
        <v>0.10000009647211136</v>
      </c>
      <c r="Z171" s="11">
        <v>309091</v>
      </c>
      <c r="AA171" s="11">
        <v>0</v>
      </c>
      <c r="AB171" s="11">
        <f>15690+1150+1919</f>
        <v>18759</v>
      </c>
      <c r="AC171" s="11">
        <v>96721</v>
      </c>
      <c r="AD171" s="11">
        <v>7968</v>
      </c>
      <c r="AE171" s="11">
        <v>11159</v>
      </c>
      <c r="AF171" s="11">
        <v>12000</v>
      </c>
      <c r="AG171" s="11">
        <v>10850</v>
      </c>
      <c r="AH171" s="11">
        <v>6345</v>
      </c>
      <c r="AI171" s="11">
        <v>7000</v>
      </c>
      <c r="AJ171" s="11">
        <v>0</v>
      </c>
      <c r="AK171" s="11">
        <f>1328+6735+5874</f>
        <v>13937</v>
      </c>
      <c r="AL171" s="11">
        <v>2489</v>
      </c>
      <c r="AM171" s="11">
        <v>0</v>
      </c>
      <c r="AN171" s="11">
        <v>0</v>
      </c>
      <c r="AO171" s="11">
        <v>1005</v>
      </c>
      <c r="AP171" s="11">
        <v>3229</v>
      </c>
      <c r="AQ171" s="11">
        <v>12000</v>
      </c>
      <c r="AR171" s="11">
        <v>182695</v>
      </c>
      <c r="AS171" s="11">
        <v>200044</v>
      </c>
      <c r="AT171" s="11">
        <v>0</v>
      </c>
      <c r="AU171" s="11">
        <v>0</v>
      </c>
      <c r="AV171" s="11">
        <v>143628</v>
      </c>
      <c r="AW171" s="11">
        <v>0</v>
      </c>
      <c r="AX171" s="11">
        <v>26139</v>
      </c>
      <c r="AY171" s="11">
        <v>0</v>
      </c>
      <c r="AZ171" s="11">
        <v>0</v>
      </c>
      <c r="BA171" s="11">
        <v>0</v>
      </c>
      <c r="BB171" s="11">
        <v>1038</v>
      </c>
      <c r="BC171" s="11">
        <v>386</v>
      </c>
      <c r="BD171" s="11">
        <v>0</v>
      </c>
      <c r="BE171" s="11">
        <v>0</v>
      </c>
      <c r="BF171" s="11">
        <v>-108</v>
      </c>
      <c r="BG171" s="11">
        <v>-222</v>
      </c>
      <c r="BH171" s="11">
        <v>-234</v>
      </c>
      <c r="BI171" s="11">
        <v>0</v>
      </c>
      <c r="BJ171" s="11">
        <f t="shared" si="10"/>
        <v>860</v>
      </c>
      <c r="BK171" s="1">
        <v>3</v>
      </c>
      <c r="BL171" s="1">
        <v>24</v>
      </c>
      <c r="BM171" s="1">
        <v>18</v>
      </c>
      <c r="BN171" s="1">
        <v>188</v>
      </c>
      <c r="BO171" s="1">
        <v>1</v>
      </c>
      <c r="BP171" s="1">
        <v>2</v>
      </c>
      <c r="BQ171" s="1">
        <v>2</v>
      </c>
      <c r="BR171" s="1">
        <v>0</v>
      </c>
      <c r="BS171" s="1">
        <v>12</v>
      </c>
      <c r="BT171" s="1">
        <v>3</v>
      </c>
      <c r="BU171" s="1">
        <v>58</v>
      </c>
      <c r="BV171" s="1">
        <v>6</v>
      </c>
      <c r="BW171" s="1">
        <v>3</v>
      </c>
      <c r="BX171" s="1">
        <v>32</v>
      </c>
      <c r="BY171" s="1">
        <v>8</v>
      </c>
      <c r="BZ171" s="1">
        <v>93</v>
      </c>
    </row>
    <row r="172" spans="1:78">
      <c r="A172" s="16">
        <v>18</v>
      </c>
      <c r="B172" s="59" t="s">
        <v>566</v>
      </c>
      <c r="C172" s="60" t="s">
        <v>569</v>
      </c>
      <c r="D172" s="59" t="s">
        <v>517</v>
      </c>
      <c r="E172" s="59" t="s">
        <v>499</v>
      </c>
      <c r="F172" s="59"/>
      <c r="G172" s="59" t="s">
        <v>501</v>
      </c>
      <c r="H172" s="11">
        <v>415028</v>
      </c>
      <c r="I172" s="11">
        <v>415663</v>
      </c>
      <c r="J172" s="11">
        <v>6977</v>
      </c>
      <c r="K172" s="52">
        <v>0</v>
      </c>
      <c r="L172" s="52">
        <v>49755</v>
      </c>
      <c r="M172" s="52">
        <v>96428</v>
      </c>
      <c r="N172" s="52">
        <v>0</v>
      </c>
      <c r="O172" s="52">
        <v>231</v>
      </c>
      <c r="P172" s="52">
        <v>59792</v>
      </c>
      <c r="Q172" s="52">
        <v>0</v>
      </c>
      <c r="R172" s="11">
        <v>125881</v>
      </c>
      <c r="S172" s="11">
        <v>29598</v>
      </c>
      <c r="T172" s="11">
        <v>0</v>
      </c>
      <c r="U172" s="11">
        <v>0</v>
      </c>
      <c r="V172" s="11">
        <v>401885</v>
      </c>
      <c r="W172" s="13">
        <v>0.12</v>
      </c>
      <c r="X172" s="11">
        <v>0</v>
      </c>
      <c r="Y172" s="26">
        <f>40189/401885</f>
        <v>0.10000124413700437</v>
      </c>
      <c r="Z172" s="11">
        <v>40200</v>
      </c>
      <c r="AA172" s="11">
        <v>0</v>
      </c>
      <c r="AB172" s="11">
        <f>140+23+17</f>
        <v>180</v>
      </c>
      <c r="AC172" s="11">
        <v>11519</v>
      </c>
      <c r="AD172" s="11">
        <v>0</v>
      </c>
      <c r="AE172" s="11">
        <v>0</v>
      </c>
      <c r="AF172" s="11">
        <f>1750+78</f>
        <v>1828</v>
      </c>
      <c r="AG172" s="11">
        <v>0</v>
      </c>
      <c r="AH172" s="11">
        <v>0</v>
      </c>
      <c r="AI172" s="11">
        <v>0</v>
      </c>
      <c r="AJ172" s="11">
        <v>0</v>
      </c>
      <c r="AK172" s="11">
        <f>576+700+489</f>
        <v>1765</v>
      </c>
      <c r="AL172" s="11">
        <v>172</v>
      </c>
      <c r="AM172" s="11">
        <v>0</v>
      </c>
      <c r="AN172" s="11">
        <v>0</v>
      </c>
      <c r="AO172" s="11">
        <v>770</v>
      </c>
      <c r="AP172" s="11">
        <v>1125</v>
      </c>
      <c r="AQ172" s="11">
        <v>17286</v>
      </c>
      <c r="AR172" s="11">
        <v>19714</v>
      </c>
      <c r="AS172" s="11">
        <v>22697</v>
      </c>
      <c r="AT172" s="11">
        <v>0</v>
      </c>
      <c r="AU172" s="11">
        <v>0</v>
      </c>
      <c r="AV172" s="11">
        <v>20403</v>
      </c>
      <c r="AW172" s="11">
        <v>0</v>
      </c>
      <c r="AX172" s="11">
        <v>1898</v>
      </c>
      <c r="AY172" s="11">
        <v>0</v>
      </c>
      <c r="AZ172" s="11">
        <v>0</v>
      </c>
      <c r="BA172" s="11">
        <v>0</v>
      </c>
      <c r="BB172" s="11">
        <v>65</v>
      </c>
      <c r="BC172" s="11">
        <v>44</v>
      </c>
      <c r="BD172" s="11">
        <v>2</v>
      </c>
      <c r="BE172" s="11">
        <v>0</v>
      </c>
      <c r="BF172" s="11">
        <v>-5</v>
      </c>
      <c r="BG172" s="11">
        <v>-16</v>
      </c>
      <c r="BH172" s="11">
        <v>-14</v>
      </c>
      <c r="BI172" s="11">
        <v>-1</v>
      </c>
      <c r="BJ172" s="11">
        <f t="shared" ref="BJ172:BJ203" si="11">SUM(BB172:BI172)</f>
        <v>75</v>
      </c>
      <c r="BK172" s="1">
        <v>0</v>
      </c>
      <c r="BL172" s="1">
        <v>6</v>
      </c>
      <c r="BM172" s="1">
        <v>2</v>
      </c>
      <c r="BN172" s="1">
        <v>4</v>
      </c>
      <c r="BO172" s="1">
        <v>3</v>
      </c>
      <c r="BP172" s="1">
        <v>0</v>
      </c>
      <c r="BQ172" s="1">
        <v>0</v>
      </c>
      <c r="BR172" s="1">
        <v>0</v>
      </c>
      <c r="BS172" s="1">
        <v>0</v>
      </c>
      <c r="BT172" s="1">
        <v>5</v>
      </c>
      <c r="BU172" s="1">
        <v>0</v>
      </c>
      <c r="BV172" s="1">
        <v>1</v>
      </c>
      <c r="BW172" s="1">
        <v>0</v>
      </c>
      <c r="BX172" s="1">
        <v>1</v>
      </c>
      <c r="BY172" s="1">
        <v>14</v>
      </c>
      <c r="BZ172" s="1">
        <v>0</v>
      </c>
    </row>
    <row r="173" spans="1:78">
      <c r="A173" s="16">
        <v>18</v>
      </c>
      <c r="B173" s="59" t="s">
        <v>715</v>
      </c>
      <c r="C173" s="60" t="s">
        <v>565</v>
      </c>
      <c r="D173" s="59" t="s">
        <v>529</v>
      </c>
      <c r="E173" s="59" t="s">
        <v>499</v>
      </c>
      <c r="F173" s="59"/>
      <c r="G173" s="59" t="s">
        <v>501</v>
      </c>
      <c r="H173" s="11">
        <v>18592837</v>
      </c>
      <c r="I173" s="11">
        <v>18645793</v>
      </c>
      <c r="J173" s="11">
        <v>598090</v>
      </c>
      <c r="K173" s="52">
        <v>0</v>
      </c>
      <c r="L173" s="52">
        <v>315450</v>
      </c>
      <c r="M173" s="52">
        <v>5572150</v>
      </c>
      <c r="N173" s="52">
        <v>0</v>
      </c>
      <c r="O173" s="52">
        <v>0</v>
      </c>
      <c r="P173" s="52">
        <v>3314053</v>
      </c>
      <c r="Q173" s="52">
        <v>0</v>
      </c>
      <c r="R173" s="11">
        <v>4290385</v>
      </c>
      <c r="S173" s="11">
        <v>2937757</v>
      </c>
      <c r="T173" s="11">
        <v>10189</v>
      </c>
      <c r="U173" s="11">
        <v>0</v>
      </c>
      <c r="V173" s="11">
        <v>18099717</v>
      </c>
      <c r="W173" s="13">
        <v>0.05</v>
      </c>
      <c r="X173" s="11">
        <v>0</v>
      </c>
      <c r="Y173" s="26">
        <f>1587494/17977829</f>
        <v>8.8302875725428248E-2</v>
      </c>
      <c r="Z173" s="11">
        <v>1586513</v>
      </c>
      <c r="AA173" s="35">
        <v>0</v>
      </c>
      <c r="AB173" s="11">
        <f>48990+5200+5556</f>
        <v>59746</v>
      </c>
      <c r="AC173" s="11">
        <v>765219</v>
      </c>
      <c r="AD173" s="3">
        <v>72758</v>
      </c>
      <c r="AE173" s="11">
        <v>147309</v>
      </c>
      <c r="AF173" s="11">
        <v>216000</v>
      </c>
      <c r="AG173" s="11">
        <v>2204</v>
      </c>
      <c r="AH173" s="11">
        <v>41769</v>
      </c>
      <c r="AI173" s="11">
        <v>8646</v>
      </c>
      <c r="AJ173" s="11">
        <v>0</v>
      </c>
      <c r="AK173" s="11">
        <f>20243+23700+23084</f>
        <v>67027</v>
      </c>
      <c r="AL173" s="11">
        <v>15563</v>
      </c>
      <c r="AM173" s="11">
        <v>4203</v>
      </c>
      <c r="AN173" s="11">
        <v>3610</v>
      </c>
      <c r="AO173" s="11">
        <v>1447</v>
      </c>
      <c r="AP173" s="11">
        <v>35610</v>
      </c>
      <c r="AQ173" s="11">
        <v>0</v>
      </c>
      <c r="AR173" s="11">
        <v>1468029</v>
      </c>
      <c r="AS173" s="11">
        <v>1510407</v>
      </c>
      <c r="AT173" s="11">
        <v>88</v>
      </c>
      <c r="AU173" s="11">
        <v>0</v>
      </c>
      <c r="AV173" s="11">
        <v>143628</v>
      </c>
      <c r="AW173" s="11">
        <v>0</v>
      </c>
      <c r="AX173" s="11">
        <v>236464</v>
      </c>
      <c r="AY173" s="11">
        <v>0</v>
      </c>
      <c r="AZ173" s="11">
        <v>0</v>
      </c>
      <c r="BA173" s="11">
        <v>0</v>
      </c>
      <c r="BB173" s="11">
        <v>4149</v>
      </c>
      <c r="BC173" s="11">
        <v>1895</v>
      </c>
      <c r="BD173" s="11">
        <v>0</v>
      </c>
      <c r="BE173" s="11">
        <v>-1</v>
      </c>
      <c r="BF173" s="11">
        <v>-223</v>
      </c>
      <c r="BG173" s="11">
        <v>-1059</v>
      </c>
      <c r="BH173" s="11">
        <v>-686</v>
      </c>
      <c r="BI173" s="11">
        <v>-19</v>
      </c>
      <c r="BJ173" s="11">
        <f t="shared" si="11"/>
        <v>4056</v>
      </c>
      <c r="BK173" s="1">
        <v>43</v>
      </c>
      <c r="BL173" s="1">
        <v>150</v>
      </c>
      <c r="BM173" s="1">
        <v>61</v>
      </c>
      <c r="BN173" s="1">
        <v>248</v>
      </c>
      <c r="BO173" s="1">
        <v>209</v>
      </c>
      <c r="BP173" s="1">
        <v>18</v>
      </c>
      <c r="BQ173" s="1">
        <v>0</v>
      </c>
      <c r="BR173" s="1">
        <v>3</v>
      </c>
      <c r="BS173" s="1">
        <v>30</v>
      </c>
      <c r="BT173" s="1">
        <v>119</v>
      </c>
      <c r="BU173" s="1">
        <v>10</v>
      </c>
      <c r="BV173" s="1">
        <v>4</v>
      </c>
      <c r="BW173" s="1">
        <v>12</v>
      </c>
      <c r="BX173" s="1">
        <v>94</v>
      </c>
      <c r="BY173" s="1">
        <v>590</v>
      </c>
      <c r="BZ173" s="1">
        <v>31</v>
      </c>
    </row>
    <row r="174" spans="1:78">
      <c r="A174" s="16">
        <v>18</v>
      </c>
      <c r="B174" s="59" t="s">
        <v>718</v>
      </c>
      <c r="C174" s="60" t="s">
        <v>106</v>
      </c>
      <c r="D174" s="59" t="s">
        <v>141</v>
      </c>
      <c r="E174" s="59" t="s">
        <v>312</v>
      </c>
      <c r="F174" s="59"/>
      <c r="G174" s="59" t="s">
        <v>313</v>
      </c>
      <c r="H174" s="3">
        <v>2903678</v>
      </c>
      <c r="I174" s="11">
        <v>2910448</v>
      </c>
      <c r="J174" s="11">
        <v>111392</v>
      </c>
      <c r="K174" s="52">
        <v>0</v>
      </c>
      <c r="L174" s="52">
        <v>969439</v>
      </c>
      <c r="M174" s="52">
        <v>88318</v>
      </c>
      <c r="N174" s="52">
        <v>0</v>
      </c>
      <c r="O174" s="52">
        <v>0</v>
      </c>
      <c r="P174" s="52">
        <v>307964</v>
      </c>
      <c r="Q174" s="52">
        <v>0</v>
      </c>
      <c r="R174" s="11">
        <v>954526</v>
      </c>
      <c r="S174" s="11">
        <v>181913</v>
      </c>
      <c r="T174" s="11">
        <v>0</v>
      </c>
      <c r="U174" s="11">
        <v>0</v>
      </c>
      <c r="V174" s="11">
        <v>2808829</v>
      </c>
      <c r="W174" s="13">
        <v>0.05</v>
      </c>
      <c r="X174" s="11">
        <v>0</v>
      </c>
      <c r="Y174" s="26">
        <f>278019/2780187</f>
        <v>0.10000010790641062</v>
      </c>
      <c r="Z174" s="11">
        <v>278027</v>
      </c>
      <c r="AA174" s="3">
        <v>0</v>
      </c>
      <c r="AB174" s="11">
        <f>6770+486</f>
        <v>7256</v>
      </c>
      <c r="AC174" s="11">
        <v>81769</v>
      </c>
      <c r="AD174" s="11">
        <v>6868</v>
      </c>
      <c r="AE174" s="11">
        <v>11146</v>
      </c>
      <c r="AF174" s="11">
        <v>14229</v>
      </c>
      <c r="AG174" s="11">
        <v>380</v>
      </c>
      <c r="AH174" s="11">
        <v>12719</v>
      </c>
      <c r="AI174" s="11">
        <v>341</v>
      </c>
      <c r="AJ174" s="11">
        <v>0</v>
      </c>
      <c r="AK174" s="11">
        <f>4310+4702+5959</f>
        <v>14971</v>
      </c>
      <c r="AL174" s="11">
        <v>285</v>
      </c>
      <c r="AM174" s="11">
        <v>0</v>
      </c>
      <c r="AN174" s="11">
        <v>0</v>
      </c>
      <c r="AO174" s="11">
        <v>4263</v>
      </c>
      <c r="AP174" s="11">
        <v>0</v>
      </c>
      <c r="AQ174" s="11">
        <v>33727</v>
      </c>
      <c r="AR174" s="11">
        <v>161172</v>
      </c>
      <c r="AS174" s="11">
        <v>166341</v>
      </c>
      <c r="AT174" s="11">
        <v>0</v>
      </c>
      <c r="AU174" s="11">
        <v>0</v>
      </c>
      <c r="AV174" s="11">
        <v>138238</v>
      </c>
      <c r="AW174" s="11">
        <v>0</v>
      </c>
      <c r="AX174" s="11">
        <v>13659</v>
      </c>
      <c r="AY174" s="11">
        <v>0</v>
      </c>
      <c r="AZ174" s="11">
        <v>0</v>
      </c>
      <c r="BA174" s="11">
        <v>0</v>
      </c>
      <c r="BB174" s="11">
        <v>641</v>
      </c>
      <c r="BC174" s="11">
        <v>207</v>
      </c>
      <c r="BD174" s="11">
        <v>0</v>
      </c>
      <c r="BE174" s="11">
        <v>0</v>
      </c>
      <c r="BF174" s="11">
        <v>-67</v>
      </c>
      <c r="BG174" s="11">
        <v>-64</v>
      </c>
      <c r="BH174" s="11">
        <v>-137</v>
      </c>
      <c r="BI174" s="11">
        <v>0</v>
      </c>
      <c r="BJ174" s="11">
        <f t="shared" si="11"/>
        <v>580</v>
      </c>
      <c r="BK174" s="1">
        <v>2</v>
      </c>
      <c r="BL174" s="1">
        <v>24</v>
      </c>
      <c r="BM174" s="1">
        <v>10</v>
      </c>
      <c r="BN174" s="1">
        <v>89</v>
      </c>
      <c r="BO174" s="1">
        <v>12</v>
      </c>
      <c r="BP174" s="1">
        <v>0</v>
      </c>
      <c r="BQ174" s="1">
        <v>0</v>
      </c>
      <c r="BR174" s="1">
        <v>0</v>
      </c>
      <c r="BS174" s="1">
        <v>12</v>
      </c>
      <c r="BT174" s="1">
        <v>33</v>
      </c>
      <c r="BU174" s="1">
        <v>0</v>
      </c>
      <c r="BV174" s="1">
        <v>1</v>
      </c>
      <c r="BW174" s="1">
        <v>0</v>
      </c>
      <c r="BX174" s="1">
        <v>7</v>
      </c>
      <c r="BY174" s="1">
        <v>24</v>
      </c>
      <c r="BZ174" s="1">
        <v>0</v>
      </c>
    </row>
    <row r="175" spans="1:78">
      <c r="A175" s="16">
        <v>19</v>
      </c>
      <c r="B175" s="59" t="s">
        <v>38</v>
      </c>
      <c r="C175" s="60" t="s">
        <v>361</v>
      </c>
      <c r="D175" s="59" t="s">
        <v>588</v>
      </c>
      <c r="E175" s="59" t="s">
        <v>671</v>
      </c>
      <c r="F175" s="59"/>
      <c r="G175" s="59" t="s">
        <v>672</v>
      </c>
      <c r="H175" s="11">
        <v>18260758</v>
      </c>
      <c r="I175" s="11">
        <v>18361351</v>
      </c>
      <c r="J175" s="11">
        <v>1985241</v>
      </c>
      <c r="K175" s="52">
        <v>0</v>
      </c>
      <c r="L175" s="52">
        <v>1407513</v>
      </c>
      <c r="M175" s="52">
        <v>6525463</v>
      </c>
      <c r="N175" s="52">
        <v>0</v>
      </c>
      <c r="O175" s="52">
        <v>0</v>
      </c>
      <c r="P175" s="52">
        <v>1114325</v>
      </c>
      <c r="Q175" s="52">
        <v>0</v>
      </c>
      <c r="R175" s="11">
        <v>3720929</v>
      </c>
      <c r="S175" s="11">
        <v>2162449</v>
      </c>
      <c r="T175" s="11">
        <v>136632</v>
      </c>
      <c r="U175" s="11">
        <v>0</v>
      </c>
      <c r="V175" s="11">
        <v>16241296</v>
      </c>
      <c r="W175" s="13">
        <v>0.19359999999999999</v>
      </c>
      <c r="X175" s="11">
        <v>0</v>
      </c>
      <c r="Y175" s="26">
        <f>1161113/16104664</f>
        <v>7.2097933865618066E-2</v>
      </c>
      <c r="Z175" s="11">
        <v>1159740</v>
      </c>
      <c r="AA175" s="11">
        <v>197692</v>
      </c>
      <c r="AB175" s="11">
        <f>69518+8217</f>
        <v>77735</v>
      </c>
      <c r="AC175" s="11">
        <v>655321</v>
      </c>
      <c r="AD175" s="11">
        <v>51293</v>
      </c>
      <c r="AE175" s="11">
        <v>180576</v>
      </c>
      <c r="AF175" s="11">
        <v>89195</v>
      </c>
      <c r="AG175" s="11">
        <v>2283</v>
      </c>
      <c r="AH175" s="11">
        <v>51941</v>
      </c>
      <c r="AI175" s="11">
        <v>5651</v>
      </c>
      <c r="AJ175" s="11">
        <v>0</v>
      </c>
      <c r="AK175" s="11">
        <f>11697+24317+35251</f>
        <v>71265</v>
      </c>
      <c r="AL175" s="11">
        <v>15119</v>
      </c>
      <c r="AM175" s="11">
        <v>163</v>
      </c>
      <c r="AN175" s="11">
        <v>0</v>
      </c>
      <c r="AO175" s="11">
        <v>1455</v>
      </c>
      <c r="AP175" s="11">
        <v>71499</v>
      </c>
      <c r="AQ175" s="11">
        <v>0</v>
      </c>
      <c r="AR175" s="11">
        <v>1277432</v>
      </c>
      <c r="AS175" s="11">
        <v>1290874</v>
      </c>
      <c r="AT175" s="11">
        <v>0</v>
      </c>
      <c r="AU175" s="11">
        <v>0</v>
      </c>
      <c r="AV175" s="11">
        <v>143628</v>
      </c>
      <c r="AW175" s="11">
        <v>0</v>
      </c>
      <c r="AX175" s="11">
        <v>119515</v>
      </c>
      <c r="AY175" s="11">
        <v>0</v>
      </c>
      <c r="AZ175" s="11">
        <v>0</v>
      </c>
      <c r="BA175" s="11">
        <v>0</v>
      </c>
      <c r="BB175" s="11">
        <v>5127</v>
      </c>
      <c r="BC175" s="11">
        <v>3409</v>
      </c>
      <c r="BD175" s="11">
        <v>0</v>
      </c>
      <c r="BE175" s="11">
        <v>-1</v>
      </c>
      <c r="BF175" s="11">
        <v>-495</v>
      </c>
      <c r="BG175" s="11">
        <v>-2060</v>
      </c>
      <c r="BH175" s="11">
        <v>-319</v>
      </c>
      <c r="BI175" s="11">
        <v>0</v>
      </c>
      <c r="BJ175" s="11">
        <f t="shared" si="11"/>
        <v>5661</v>
      </c>
      <c r="BK175" s="1">
        <v>0</v>
      </c>
      <c r="BL175" s="1">
        <v>68</v>
      </c>
      <c r="BM175" s="1">
        <v>34</v>
      </c>
      <c r="BN175" s="1">
        <v>218</v>
      </c>
      <c r="BO175" s="1">
        <v>0</v>
      </c>
      <c r="BP175" s="1">
        <v>3</v>
      </c>
      <c r="BQ175" s="1">
        <v>0</v>
      </c>
      <c r="BR175" s="1">
        <v>1</v>
      </c>
      <c r="BS175" s="1">
        <v>30</v>
      </c>
      <c r="BT175" s="1">
        <v>139</v>
      </c>
      <c r="BU175" s="1">
        <v>0</v>
      </c>
      <c r="BV175" s="1">
        <v>5</v>
      </c>
      <c r="BW175" s="1">
        <v>7</v>
      </c>
      <c r="BX175" s="1">
        <v>84</v>
      </c>
      <c r="BY175" s="1">
        <v>489</v>
      </c>
      <c r="BZ175" s="1">
        <v>2</v>
      </c>
    </row>
    <row r="176" spans="1:78">
      <c r="A176" s="16">
        <v>19</v>
      </c>
      <c r="B176" s="59" t="s">
        <v>192</v>
      </c>
      <c r="C176" s="60" t="s">
        <v>40</v>
      </c>
      <c r="D176" s="59" t="s">
        <v>588</v>
      </c>
      <c r="E176" s="59" t="s">
        <v>671</v>
      </c>
      <c r="F176" s="59"/>
      <c r="G176" s="59" t="s">
        <v>672</v>
      </c>
      <c r="H176" s="11">
        <v>19032811</v>
      </c>
      <c r="I176" s="11">
        <v>19138185</v>
      </c>
      <c r="J176" s="11">
        <v>1338110</v>
      </c>
      <c r="K176" s="52">
        <v>0</v>
      </c>
      <c r="L176" s="52">
        <v>109311</v>
      </c>
      <c r="M176" s="52">
        <v>353984</v>
      </c>
      <c r="N176" s="52">
        <v>8165524</v>
      </c>
      <c r="O176" s="52">
        <v>1236581</v>
      </c>
      <c r="P176" s="52">
        <v>0</v>
      </c>
      <c r="Q176" s="52">
        <v>0</v>
      </c>
      <c r="R176" s="11">
        <v>3417958</v>
      </c>
      <c r="S176" s="11">
        <v>2199057</v>
      </c>
      <c r="T176" s="11">
        <v>95754</v>
      </c>
      <c r="U176" s="11">
        <v>0</v>
      </c>
      <c r="V176" s="11">
        <v>16835835</v>
      </c>
      <c r="W176" s="13">
        <v>0.1641</v>
      </c>
      <c r="X176" s="11">
        <v>0</v>
      </c>
      <c r="Y176" s="26">
        <f>1234534/16716403</f>
        <v>7.3851653373037243E-2</v>
      </c>
      <c r="Z176" s="11">
        <v>1233988</v>
      </c>
      <c r="AA176" s="11">
        <v>273568</v>
      </c>
      <c r="AB176" s="11">
        <f>76993+6524+2509</f>
        <v>86026</v>
      </c>
      <c r="AC176" s="11">
        <v>659635</v>
      </c>
      <c r="AD176" s="11">
        <v>51207</v>
      </c>
      <c r="AE176" s="11">
        <v>151615</v>
      </c>
      <c r="AF176" s="11">
        <v>82951</v>
      </c>
      <c r="AG176" s="11">
        <v>2590</v>
      </c>
      <c r="AH176" s="11">
        <v>21840</v>
      </c>
      <c r="AI176" s="11">
        <v>2706</v>
      </c>
      <c r="AJ176" s="11">
        <v>0</v>
      </c>
      <c r="AK176" s="11">
        <f>9461+27434+32809</f>
        <v>69704</v>
      </c>
      <c r="AL176" s="11">
        <v>17441</v>
      </c>
      <c r="AM176" s="11">
        <v>389</v>
      </c>
      <c r="AN176" s="11">
        <v>0</v>
      </c>
      <c r="AO176" s="11">
        <v>11868</v>
      </c>
      <c r="AP176" s="11">
        <v>45291</v>
      </c>
      <c r="AQ176" s="11">
        <v>0</v>
      </c>
      <c r="AR176" s="11">
        <v>1255792</v>
      </c>
      <c r="AS176" s="11">
        <v>1299638</v>
      </c>
      <c r="AT176" s="11">
        <v>0</v>
      </c>
      <c r="AU176" s="11">
        <v>0</v>
      </c>
      <c r="AV176" s="11">
        <v>143628</v>
      </c>
      <c r="AW176" s="11">
        <v>0</v>
      </c>
      <c r="AX176" s="11">
        <v>168702</v>
      </c>
      <c r="AY176" s="11">
        <v>0</v>
      </c>
      <c r="AZ176" s="11">
        <v>0</v>
      </c>
      <c r="BA176" s="11">
        <v>0</v>
      </c>
      <c r="BB176" s="11">
        <v>5415</v>
      </c>
      <c r="BC176" s="11">
        <v>3215</v>
      </c>
      <c r="BD176" s="11">
        <v>72</v>
      </c>
      <c r="BE176" s="11">
        <f>41-63</f>
        <v>-22</v>
      </c>
      <c r="BF176" s="11">
        <v>-441</v>
      </c>
      <c r="BG176" s="11">
        <v>-2292</v>
      </c>
      <c r="BH176" s="11">
        <v>-123</v>
      </c>
      <c r="BI176" s="11">
        <v>0</v>
      </c>
      <c r="BJ176" s="11">
        <f t="shared" si="11"/>
        <v>5824</v>
      </c>
      <c r="BK176" s="1">
        <v>0</v>
      </c>
      <c r="BL176" s="1">
        <v>61</v>
      </c>
      <c r="BM176" s="1">
        <v>16</v>
      </c>
      <c r="BN176" s="1">
        <v>48</v>
      </c>
      <c r="BO176" s="1">
        <v>0</v>
      </c>
      <c r="BP176" s="1">
        <v>0</v>
      </c>
      <c r="BQ176" s="1">
        <v>0</v>
      </c>
      <c r="BR176" s="1">
        <v>0</v>
      </c>
      <c r="BS176" s="1">
        <v>17</v>
      </c>
      <c r="BT176" s="1">
        <v>215</v>
      </c>
      <c r="BU176" s="1">
        <v>1</v>
      </c>
      <c r="BV176" s="1">
        <v>2</v>
      </c>
      <c r="BW176" s="1">
        <v>6</v>
      </c>
      <c r="BX176" s="1">
        <v>112</v>
      </c>
      <c r="BY176" s="1">
        <v>1043</v>
      </c>
      <c r="BZ176" s="1">
        <v>9</v>
      </c>
    </row>
    <row r="177" spans="1:78">
      <c r="A177" s="16">
        <v>19</v>
      </c>
      <c r="B177" s="59" t="s">
        <v>207</v>
      </c>
      <c r="C177" s="60" t="s">
        <v>607</v>
      </c>
      <c r="D177" s="59" t="s">
        <v>129</v>
      </c>
      <c r="E177" s="59" t="s">
        <v>712</v>
      </c>
      <c r="F177" s="59"/>
      <c r="G177" s="59" t="s">
        <v>714</v>
      </c>
      <c r="H177" s="11">
        <v>839007</v>
      </c>
      <c r="I177" s="11">
        <v>844143</v>
      </c>
      <c r="J177" s="11">
        <v>14945</v>
      </c>
      <c r="K177" s="52">
        <v>0</v>
      </c>
      <c r="L177" s="52">
        <v>0</v>
      </c>
      <c r="M177" s="52">
        <v>0</v>
      </c>
      <c r="N177" s="52">
        <v>538812</v>
      </c>
      <c r="O177" s="52">
        <v>0</v>
      </c>
      <c r="P177" s="52">
        <v>0</v>
      </c>
      <c r="Q177">
        <v>151678</v>
      </c>
      <c r="R177" s="52">
        <v>233217</v>
      </c>
      <c r="S177" s="11">
        <v>7925</v>
      </c>
      <c r="T177" s="11">
        <v>0</v>
      </c>
      <c r="U177" s="11">
        <v>0</v>
      </c>
      <c r="V177" s="11">
        <v>1036842</v>
      </c>
      <c r="W177" s="13">
        <v>0.02</v>
      </c>
      <c r="X177" s="11">
        <v>0</v>
      </c>
      <c r="Y177" s="26">
        <f>103353/1033528</f>
        <v>0.10000019351193194</v>
      </c>
      <c r="Z177" s="11">
        <v>101896</v>
      </c>
      <c r="AA177" s="11">
        <v>33137</v>
      </c>
      <c r="AB177" s="11">
        <f>1728+555+184</f>
        <v>2467</v>
      </c>
      <c r="AC177" s="11">
        <v>40797</v>
      </c>
      <c r="AD177" s="11">
        <v>3388</v>
      </c>
      <c r="AE177" s="11">
        <v>0</v>
      </c>
      <c r="AF177" s="11">
        <v>9075</v>
      </c>
      <c r="AG177" s="11">
        <v>6319</v>
      </c>
      <c r="AH177" s="11">
        <v>58</v>
      </c>
      <c r="AI177" s="11">
        <v>10115</v>
      </c>
      <c r="AJ177" s="11">
        <v>0</v>
      </c>
      <c r="AK177" s="11">
        <f>2058+35+93</f>
        <v>2186</v>
      </c>
      <c r="AL177" s="11">
        <v>0</v>
      </c>
      <c r="AM177" s="11">
        <v>0</v>
      </c>
      <c r="AN177" s="11">
        <v>0</v>
      </c>
      <c r="AO177" s="11">
        <v>0</v>
      </c>
      <c r="AP177" s="11">
        <v>0</v>
      </c>
      <c r="AQ177" s="11">
        <v>13589</v>
      </c>
      <c r="AR177" s="11">
        <v>80368</v>
      </c>
      <c r="AS177" s="11">
        <v>100258</v>
      </c>
      <c r="AT177" s="11">
        <v>0</v>
      </c>
      <c r="AU177" s="11">
        <v>0</v>
      </c>
      <c r="AV177" s="11">
        <v>42702</v>
      </c>
      <c r="AW177" s="11">
        <v>0</v>
      </c>
      <c r="AX177" s="11">
        <v>1162</v>
      </c>
      <c r="AY177" s="11">
        <v>0</v>
      </c>
      <c r="AZ177" s="11">
        <v>0</v>
      </c>
      <c r="BA177" s="11">
        <v>0</v>
      </c>
      <c r="BB177" s="11">
        <v>229</v>
      </c>
      <c r="BC177" s="11">
        <v>0</v>
      </c>
      <c r="BD177" s="11">
        <v>0</v>
      </c>
      <c r="BE177" s="11">
        <v>0</v>
      </c>
      <c r="BF177" s="11">
        <v>-7</v>
      </c>
      <c r="BG177" s="11">
        <v>-4</v>
      </c>
      <c r="BH177" s="11">
        <v>-104</v>
      </c>
      <c r="BI177" s="11">
        <v>-1</v>
      </c>
      <c r="BJ177" s="11">
        <f t="shared" si="11"/>
        <v>113</v>
      </c>
      <c r="BK177" s="1">
        <v>0</v>
      </c>
      <c r="BL177" s="1">
        <v>9</v>
      </c>
      <c r="BM177" s="1">
        <v>10</v>
      </c>
      <c r="BN177" s="1">
        <v>85</v>
      </c>
      <c r="BO177" s="1">
        <v>0</v>
      </c>
      <c r="BP177" s="1">
        <v>0</v>
      </c>
      <c r="BQ177" s="1">
        <v>0</v>
      </c>
      <c r="BR177" s="1">
        <v>0</v>
      </c>
      <c r="BS177" s="1">
        <v>7</v>
      </c>
      <c r="BT177" s="1">
        <v>0</v>
      </c>
      <c r="BU177" s="1">
        <v>0</v>
      </c>
      <c r="BV177" s="1">
        <v>0</v>
      </c>
      <c r="BW177" s="1">
        <v>0</v>
      </c>
      <c r="BX177" s="1">
        <v>4</v>
      </c>
      <c r="BY177" s="1">
        <v>0</v>
      </c>
      <c r="BZ177" s="1">
        <v>0</v>
      </c>
    </row>
    <row r="178" spans="1:78">
      <c r="A178" s="16">
        <v>19</v>
      </c>
      <c r="B178" s="59" t="s">
        <v>630</v>
      </c>
      <c r="C178" s="60" t="s">
        <v>411</v>
      </c>
      <c r="D178" s="59" t="s">
        <v>129</v>
      </c>
      <c r="E178" s="59" t="s">
        <v>712</v>
      </c>
      <c r="F178" s="59"/>
      <c r="G178" s="59" t="s">
        <v>713</v>
      </c>
      <c r="H178" s="11">
        <v>1153868</v>
      </c>
      <c r="I178" s="11">
        <v>1180794</v>
      </c>
      <c r="J178" s="11">
        <v>42867</v>
      </c>
      <c r="K178" s="52">
        <v>0</v>
      </c>
      <c r="L178" s="52">
        <v>275068</v>
      </c>
      <c r="M178" s="52">
        <v>60790</v>
      </c>
      <c r="N178" s="52">
        <v>0</v>
      </c>
      <c r="O178" s="52">
        <v>0</v>
      </c>
      <c r="P178" s="52">
        <v>0</v>
      </c>
      <c r="Q178" s="52">
        <v>85521</v>
      </c>
      <c r="R178" s="11">
        <v>254041</v>
      </c>
      <c r="S178" s="11">
        <v>115984</v>
      </c>
      <c r="T178" s="11">
        <v>2019</v>
      </c>
      <c r="U178" s="11">
        <v>0</v>
      </c>
      <c r="V178" s="11">
        <v>884233</v>
      </c>
      <c r="W178" s="13">
        <v>0.3579</v>
      </c>
      <c r="X178" s="11">
        <v>0</v>
      </c>
      <c r="Y178" s="26">
        <f>87910/879103</f>
        <v>9.9999658743059688E-2</v>
      </c>
      <c r="Z178" s="11">
        <v>87696</v>
      </c>
      <c r="AA178" s="11">
        <v>29115</v>
      </c>
      <c r="AB178" s="11">
        <f>4237+2189+152</f>
        <v>6578</v>
      </c>
      <c r="AC178" s="11">
        <v>16168</v>
      </c>
      <c r="AD178" s="11">
        <v>2028</v>
      </c>
      <c r="AE178" s="11">
        <v>0</v>
      </c>
      <c r="AF178" s="11">
        <v>7900</v>
      </c>
      <c r="AG178" s="11">
        <v>6000</v>
      </c>
      <c r="AH178" s="11">
        <v>0</v>
      </c>
      <c r="AI178" s="11">
        <v>0</v>
      </c>
      <c r="AJ178" s="11">
        <v>0</v>
      </c>
      <c r="AK178" s="11">
        <f>3446+1154+2058</f>
        <v>6658</v>
      </c>
      <c r="AL178" s="11">
        <v>950</v>
      </c>
      <c r="AM178" s="11">
        <v>0</v>
      </c>
      <c r="AN178" s="11">
        <v>0</v>
      </c>
      <c r="AO178" s="11">
        <v>2540</v>
      </c>
      <c r="AP178" s="11">
        <v>1613</v>
      </c>
      <c r="AQ178" s="11">
        <v>0</v>
      </c>
      <c r="AR178" s="11">
        <v>46387</v>
      </c>
      <c r="AS178" s="11">
        <v>53750</v>
      </c>
      <c r="AT178" s="11">
        <v>0</v>
      </c>
      <c r="AU178" s="11">
        <v>0</v>
      </c>
      <c r="AV178" s="11">
        <v>54176</v>
      </c>
      <c r="AW178" s="11">
        <v>0</v>
      </c>
      <c r="AX178" s="11">
        <v>3467</v>
      </c>
      <c r="AY178" s="11">
        <v>0</v>
      </c>
      <c r="AZ178" s="11">
        <v>0</v>
      </c>
      <c r="BA178" s="11">
        <v>0</v>
      </c>
      <c r="BB178" s="11">
        <v>196</v>
      </c>
      <c r="BC178" s="11">
        <v>152</v>
      </c>
      <c r="BD178" s="11">
        <v>0</v>
      </c>
      <c r="BE178" s="11">
        <v>113</v>
      </c>
      <c r="BF178" s="11">
        <v>-23</v>
      </c>
      <c r="BG178" s="11">
        <v>-44</v>
      </c>
      <c r="BH178" s="11">
        <v>-12</v>
      </c>
      <c r="BI178" s="11">
        <v>0</v>
      </c>
      <c r="BJ178" s="11">
        <f t="shared" si="11"/>
        <v>382</v>
      </c>
      <c r="BK178" s="1">
        <v>0</v>
      </c>
      <c r="BL178" s="1">
        <v>7</v>
      </c>
      <c r="BM178" s="1">
        <v>0</v>
      </c>
      <c r="BN178" s="1">
        <v>5</v>
      </c>
      <c r="BO178" s="1">
        <v>0</v>
      </c>
      <c r="BP178" s="1">
        <v>0</v>
      </c>
      <c r="BQ178" s="1">
        <v>1</v>
      </c>
      <c r="BR178" s="1">
        <v>0</v>
      </c>
      <c r="BS178" s="1">
        <v>7</v>
      </c>
      <c r="BT178" s="1">
        <v>4</v>
      </c>
      <c r="BU178" s="1">
        <v>0</v>
      </c>
      <c r="BV178" s="1">
        <v>0</v>
      </c>
      <c r="BW178" s="1">
        <v>2</v>
      </c>
      <c r="BX178" s="1">
        <v>15</v>
      </c>
      <c r="BY178" s="1">
        <v>2</v>
      </c>
      <c r="BZ178" s="1">
        <v>0</v>
      </c>
    </row>
    <row r="179" spans="1:78">
      <c r="A179" s="16">
        <v>19</v>
      </c>
      <c r="B179" s="59" t="s">
        <v>658</v>
      </c>
      <c r="C179" s="60" t="s">
        <v>509</v>
      </c>
      <c r="D179" s="59" t="s">
        <v>588</v>
      </c>
      <c r="E179" s="59" t="s">
        <v>671</v>
      </c>
      <c r="F179" s="59"/>
      <c r="G179" s="59" t="s">
        <v>672</v>
      </c>
      <c r="H179" s="11">
        <v>1529609</v>
      </c>
      <c r="I179" s="11">
        <v>1530661</v>
      </c>
      <c r="J179" s="11">
        <v>82037</v>
      </c>
      <c r="K179" s="52">
        <v>0</v>
      </c>
      <c r="L179" s="37">
        <v>0</v>
      </c>
      <c r="M179" s="52">
        <v>0</v>
      </c>
      <c r="N179" s="52">
        <v>226881</v>
      </c>
      <c r="O179" s="52">
        <v>0</v>
      </c>
      <c r="P179" s="52">
        <v>0</v>
      </c>
      <c r="Q179" s="52">
        <v>145522</v>
      </c>
      <c r="R179" s="11">
        <v>1103355</v>
      </c>
      <c r="S179" s="11">
        <v>8333</v>
      </c>
      <c r="T179" s="11">
        <v>0</v>
      </c>
      <c r="U179" s="11">
        <v>0</v>
      </c>
      <c r="V179" s="11">
        <v>1643900</v>
      </c>
      <c r="W179" s="13">
        <v>5.7299999999999997E-2</v>
      </c>
      <c r="X179" s="11">
        <v>0</v>
      </c>
      <c r="Y179" s="26">
        <f>159792/1643900</f>
        <v>9.7202992882778755E-2</v>
      </c>
      <c r="Z179" s="11">
        <v>159809</v>
      </c>
      <c r="AA179" s="11">
        <v>0</v>
      </c>
      <c r="AB179" s="11">
        <f>1052+645</f>
        <v>1697</v>
      </c>
      <c r="AC179" s="11">
        <v>35978</v>
      </c>
      <c r="AD179" s="11">
        <v>5074</v>
      </c>
      <c r="AE179" s="11">
        <v>1950</v>
      </c>
      <c r="AF179" s="11">
        <v>16596</v>
      </c>
      <c r="AG179" s="11">
        <v>2168</v>
      </c>
      <c r="AH179" s="11">
        <v>7586</v>
      </c>
      <c r="AI179" s="11">
        <v>0</v>
      </c>
      <c r="AJ179" s="11">
        <v>0</v>
      </c>
      <c r="AK179" s="11">
        <f>4098+4203+2173</f>
        <v>10474</v>
      </c>
      <c r="AL179" s="11">
        <v>0</v>
      </c>
      <c r="AM179" s="11">
        <v>0</v>
      </c>
      <c r="AN179" s="11">
        <v>0</v>
      </c>
      <c r="AO179" s="11">
        <v>258</v>
      </c>
      <c r="AP179" s="11">
        <v>0</v>
      </c>
      <c r="AQ179" s="11">
        <v>0</v>
      </c>
      <c r="AR179" s="11">
        <v>103191</v>
      </c>
      <c r="AS179" s="11">
        <v>117724</v>
      </c>
      <c r="AT179" s="11">
        <v>782</v>
      </c>
      <c r="AU179" s="11">
        <v>0</v>
      </c>
      <c r="AV179" s="11">
        <v>72353</v>
      </c>
      <c r="AW179" s="11">
        <v>0</v>
      </c>
      <c r="AX179" s="11">
        <v>17846</v>
      </c>
      <c r="AY179" s="11">
        <v>304</v>
      </c>
      <c r="AZ179" s="11">
        <v>304</v>
      </c>
      <c r="BA179" s="11">
        <v>0</v>
      </c>
      <c r="BB179" s="11">
        <v>646</v>
      </c>
      <c r="BC179" s="11">
        <v>0</v>
      </c>
      <c r="BD179" s="11">
        <v>0</v>
      </c>
      <c r="BE179" s="11">
        <v>0</v>
      </c>
      <c r="BF179" s="11">
        <v>-6</v>
      </c>
      <c r="BG179" s="11">
        <v>-46</v>
      </c>
      <c r="BH179" s="11">
        <v>-414</v>
      </c>
      <c r="BI179" s="11">
        <v>0</v>
      </c>
      <c r="BJ179" s="11">
        <f t="shared" si="11"/>
        <v>180</v>
      </c>
      <c r="BK179" s="1">
        <v>0</v>
      </c>
      <c r="BL179" s="1">
        <v>46</v>
      </c>
      <c r="BM179" s="1">
        <v>27</v>
      </c>
      <c r="BN179" s="1">
        <v>349</v>
      </c>
      <c r="BO179" s="1">
        <v>0</v>
      </c>
      <c r="BP179" s="1">
        <v>0</v>
      </c>
      <c r="BQ179" s="1" t="s">
        <v>456</v>
      </c>
      <c r="BR179" s="1" t="s">
        <v>456</v>
      </c>
      <c r="BS179" s="1" t="s">
        <v>456</v>
      </c>
      <c r="BT179" s="1" t="s">
        <v>456</v>
      </c>
      <c r="BU179" s="1" t="s">
        <v>456</v>
      </c>
      <c r="BV179" s="1" t="s">
        <v>456</v>
      </c>
      <c r="BW179" s="1" t="s">
        <v>456</v>
      </c>
      <c r="BX179" s="1" t="s">
        <v>456</v>
      </c>
      <c r="BY179" s="1" t="s">
        <v>456</v>
      </c>
      <c r="BZ179" s="1" t="s">
        <v>456</v>
      </c>
    </row>
    <row r="180" spans="1:78">
      <c r="A180" s="16">
        <v>19</v>
      </c>
      <c r="B180" s="59" t="s">
        <v>717</v>
      </c>
      <c r="C180" s="60" t="s">
        <v>587</v>
      </c>
      <c r="D180" s="59" t="s">
        <v>185</v>
      </c>
      <c r="E180" s="59" t="s">
        <v>140</v>
      </c>
      <c r="F180" s="59"/>
      <c r="G180" s="59" t="s">
        <v>143</v>
      </c>
      <c r="H180" s="11">
        <v>20606351</v>
      </c>
      <c r="I180" s="11">
        <v>20777600</v>
      </c>
      <c r="J180" s="11">
        <v>839661</v>
      </c>
      <c r="K180" s="52">
        <v>22197</v>
      </c>
      <c r="L180" s="52">
        <v>2381919</v>
      </c>
      <c r="M180" s="52">
        <v>5200697</v>
      </c>
      <c r="N180" s="52">
        <v>0</v>
      </c>
      <c r="O180" s="52">
        <v>0</v>
      </c>
      <c r="P180" s="52">
        <v>2859963</v>
      </c>
      <c r="Q180" s="52">
        <v>0</v>
      </c>
      <c r="R180" s="11">
        <v>6294874</v>
      </c>
      <c r="S180" s="11">
        <v>1654471</v>
      </c>
      <c r="T180" s="11">
        <v>0</v>
      </c>
      <c r="U180" s="11">
        <v>0</v>
      </c>
      <c r="V180" s="11">
        <v>19382427</v>
      </c>
      <c r="W180" s="13">
        <v>0.31119999999999998</v>
      </c>
      <c r="X180" s="11">
        <v>0</v>
      </c>
      <c r="Y180" s="26">
        <f>905581/18481237</f>
        <v>4.9000020940156763E-2</v>
      </c>
      <c r="Z180" s="11">
        <v>901190</v>
      </c>
      <c r="AA180" s="11">
        <v>0</v>
      </c>
      <c r="AB180" s="11">
        <f>171047+6181+1532</f>
        <v>178760</v>
      </c>
      <c r="AC180" s="11">
        <v>563203</v>
      </c>
      <c r="AD180" s="11">
        <v>45066</v>
      </c>
      <c r="AE180" s="3">
        <v>132377</v>
      </c>
      <c r="AF180" s="11">
        <v>76966</v>
      </c>
      <c r="AG180" s="11">
        <v>5168</v>
      </c>
      <c r="AH180" s="11">
        <v>6578</v>
      </c>
      <c r="AI180" s="11">
        <v>7822</v>
      </c>
      <c r="AJ180" s="11">
        <v>0</v>
      </c>
      <c r="AK180" s="11">
        <f>8145+27285+16741</f>
        <v>52171</v>
      </c>
      <c r="AL180" s="11">
        <v>3243</v>
      </c>
      <c r="AM180" s="11">
        <v>0</v>
      </c>
      <c r="AN180" s="11">
        <v>0</v>
      </c>
      <c r="AO180" s="11">
        <v>0</v>
      </c>
      <c r="AP180" s="11">
        <v>23599</v>
      </c>
      <c r="AQ180" s="11">
        <v>0</v>
      </c>
      <c r="AR180" s="11">
        <v>982650</v>
      </c>
      <c r="AS180" s="11">
        <v>997777</v>
      </c>
      <c r="AT180" s="11">
        <v>0</v>
      </c>
      <c r="AU180" s="11">
        <v>0</v>
      </c>
      <c r="AV180" s="11">
        <v>143628</v>
      </c>
      <c r="AW180" s="11">
        <v>0</v>
      </c>
      <c r="AX180" s="11">
        <v>112195</v>
      </c>
      <c r="AY180" s="11">
        <v>0</v>
      </c>
      <c r="AZ180" s="11">
        <v>0</v>
      </c>
      <c r="BA180" s="11">
        <v>0</v>
      </c>
      <c r="BB180" s="11">
        <v>5177</v>
      </c>
      <c r="BC180" s="11">
        <v>2352</v>
      </c>
      <c r="BD180" s="11">
        <v>0</v>
      </c>
      <c r="BE180" s="11">
        <v>41</v>
      </c>
      <c r="BF180" s="11">
        <v>-307</v>
      </c>
      <c r="BG180" s="11">
        <v>-1122</v>
      </c>
      <c r="BH180" s="11">
        <v>-1363</v>
      </c>
      <c r="BI180" s="11">
        <v>0</v>
      </c>
      <c r="BJ180" s="11">
        <f t="shared" si="11"/>
        <v>4778</v>
      </c>
      <c r="BK180" s="1">
        <v>1</v>
      </c>
      <c r="BL180" s="1">
        <v>219</v>
      </c>
      <c r="BM180" s="1">
        <v>110</v>
      </c>
      <c r="BN180" s="1">
        <v>1006</v>
      </c>
      <c r="BO180" s="1">
        <v>0</v>
      </c>
      <c r="BP180" s="1">
        <v>28</v>
      </c>
      <c r="BQ180" s="1">
        <v>0</v>
      </c>
      <c r="BR180" s="1">
        <v>0</v>
      </c>
      <c r="BS180" s="1">
        <v>0</v>
      </c>
      <c r="BT180" s="1">
        <v>141</v>
      </c>
      <c r="BU180" s="1">
        <v>0</v>
      </c>
      <c r="BV180" s="1">
        <v>30</v>
      </c>
      <c r="BW180" s="1">
        <v>10</v>
      </c>
      <c r="BX180" s="1">
        <v>59</v>
      </c>
      <c r="BY180" s="1">
        <v>511</v>
      </c>
      <c r="BZ180" s="1">
        <v>0</v>
      </c>
    </row>
    <row r="181" spans="1:78">
      <c r="A181" s="16">
        <v>20</v>
      </c>
      <c r="B181" s="59" t="s">
        <v>83</v>
      </c>
      <c r="C181" s="60" t="s">
        <v>701</v>
      </c>
      <c r="D181" s="59" t="s">
        <v>454</v>
      </c>
      <c r="E181" s="59" t="s">
        <v>492</v>
      </c>
      <c r="F181" s="59" t="s">
        <v>208</v>
      </c>
      <c r="G181" s="59" t="s">
        <v>493</v>
      </c>
      <c r="H181" s="11">
        <v>4475602</v>
      </c>
      <c r="I181" s="11">
        <v>4479855</v>
      </c>
      <c r="J181" s="11">
        <v>69341</v>
      </c>
      <c r="K181" s="52">
        <v>612725</v>
      </c>
      <c r="L181" s="52">
        <v>244817</v>
      </c>
      <c r="M181" s="52">
        <v>1723919</v>
      </c>
      <c r="N181" s="52">
        <v>0</v>
      </c>
      <c r="O181" s="52">
        <v>1375</v>
      </c>
      <c r="P181" s="52">
        <v>315085</v>
      </c>
      <c r="Q181" s="52">
        <v>0</v>
      </c>
      <c r="R181" s="11">
        <v>795981</v>
      </c>
      <c r="S181" s="11">
        <v>246821</v>
      </c>
      <c r="T181" s="11">
        <v>0</v>
      </c>
      <c r="U181" s="11">
        <v>0</v>
      </c>
      <c r="V181" s="11">
        <v>4338807</v>
      </c>
      <c r="W181" s="13">
        <v>0.1177</v>
      </c>
      <c r="X181" s="11">
        <v>0</v>
      </c>
      <c r="Y181" s="26">
        <f>390839/4307365</f>
        <v>9.0737376563165648E-2</v>
      </c>
      <c r="Z181" s="11">
        <v>391414</v>
      </c>
      <c r="AA181" s="11">
        <v>0</v>
      </c>
      <c r="AB181" s="11">
        <f>4030+435+228</f>
        <v>4693</v>
      </c>
      <c r="AC181" s="11">
        <v>112935</v>
      </c>
      <c r="AD181" s="11">
        <v>8967</v>
      </c>
      <c r="AE181" s="11">
        <v>16085</v>
      </c>
      <c r="AF181" s="11">
        <v>24434</v>
      </c>
      <c r="AG181" s="11">
        <v>6180</v>
      </c>
      <c r="AH181" s="11">
        <v>9064</v>
      </c>
      <c r="AI181" s="11">
        <v>12397</v>
      </c>
      <c r="AJ181" s="11">
        <v>0</v>
      </c>
      <c r="AK181" s="11">
        <f>4953+18672+7796</f>
        <v>31421</v>
      </c>
      <c r="AL181" s="11">
        <v>6510</v>
      </c>
      <c r="AM181" s="11">
        <v>121</v>
      </c>
      <c r="AN181" s="11">
        <v>439</v>
      </c>
      <c r="AO181" s="11">
        <v>120</v>
      </c>
      <c r="AP181" s="11">
        <v>10016</v>
      </c>
      <c r="AQ181" s="11">
        <v>0</v>
      </c>
      <c r="AR181" s="11">
        <v>254811</v>
      </c>
      <c r="AS181" s="11">
        <v>255717</v>
      </c>
      <c r="AT181" s="11">
        <v>0</v>
      </c>
      <c r="AU181" s="11">
        <v>0</v>
      </c>
      <c r="AV181" s="11">
        <v>143628</v>
      </c>
      <c r="AW181" s="11">
        <v>0</v>
      </c>
      <c r="AX181" s="11">
        <v>23734</v>
      </c>
      <c r="AY181" s="11">
        <v>0</v>
      </c>
      <c r="AZ181" s="11">
        <v>0</v>
      </c>
      <c r="BA181" s="11">
        <v>0</v>
      </c>
      <c r="BB181" s="11">
        <v>601</v>
      </c>
      <c r="BC181" s="11">
        <v>269</v>
      </c>
      <c r="BD181" s="11">
        <v>0</v>
      </c>
      <c r="BE181" s="11">
        <v>0</v>
      </c>
      <c r="BF181" s="11">
        <v>-57</v>
      </c>
      <c r="BG181" s="11">
        <v>-97</v>
      </c>
      <c r="BH181" s="11">
        <v>-107</v>
      </c>
      <c r="BI181" s="11">
        <v>-1</v>
      </c>
      <c r="BJ181" s="11">
        <f t="shared" si="11"/>
        <v>608</v>
      </c>
      <c r="BK181" s="1">
        <v>6</v>
      </c>
      <c r="BL181" s="1">
        <v>31</v>
      </c>
      <c r="BM181" s="1">
        <v>9</v>
      </c>
      <c r="BN181" s="1">
        <v>66</v>
      </c>
      <c r="BO181" s="1">
        <v>0</v>
      </c>
      <c r="BP181" s="1">
        <v>1</v>
      </c>
      <c r="BQ181" s="1">
        <v>2</v>
      </c>
      <c r="BR181" s="1">
        <v>2</v>
      </c>
      <c r="BS181" s="1">
        <v>20</v>
      </c>
      <c r="BT181" s="1">
        <v>13</v>
      </c>
      <c r="BU181" s="1">
        <v>0</v>
      </c>
      <c r="BV181" s="1">
        <v>3</v>
      </c>
      <c r="BW181" s="1">
        <v>1</v>
      </c>
      <c r="BX181" s="1">
        <v>24</v>
      </c>
      <c r="BY181" s="1">
        <v>29</v>
      </c>
      <c r="BZ181" s="1">
        <v>1</v>
      </c>
    </row>
    <row r="182" spans="1:78">
      <c r="A182" s="16">
        <v>20</v>
      </c>
      <c r="B182" s="59" t="s">
        <v>210</v>
      </c>
      <c r="C182" s="60" t="s">
        <v>391</v>
      </c>
      <c r="D182" s="59" t="s">
        <v>667</v>
      </c>
      <c r="E182" s="59" t="s">
        <v>492</v>
      </c>
      <c r="F182" s="59" t="s">
        <v>479</v>
      </c>
      <c r="G182" s="59" t="s">
        <v>493</v>
      </c>
      <c r="H182" s="11">
        <v>10262856</v>
      </c>
      <c r="I182" s="11">
        <v>10300375</v>
      </c>
      <c r="J182" s="11">
        <v>349009</v>
      </c>
      <c r="K182" s="52">
        <v>181865</v>
      </c>
      <c r="L182" s="37">
        <v>374257</v>
      </c>
      <c r="M182" s="52">
        <v>5132376</v>
      </c>
      <c r="N182" s="52">
        <v>0</v>
      </c>
      <c r="O182" s="52">
        <v>0</v>
      </c>
      <c r="P182" s="52">
        <v>972550</v>
      </c>
      <c r="Q182" s="52">
        <v>0</v>
      </c>
      <c r="R182" s="11">
        <v>2492967</v>
      </c>
      <c r="S182" s="11">
        <v>454649</v>
      </c>
      <c r="T182" s="11">
        <v>1395</v>
      </c>
      <c r="U182" s="11">
        <v>0</v>
      </c>
      <c r="V182" s="11">
        <v>10166522</v>
      </c>
      <c r="W182" s="13">
        <v>5.62E-2</v>
      </c>
      <c r="X182" s="11">
        <v>0</v>
      </c>
      <c r="Y182" s="26">
        <f>556089/10139841</f>
        <v>5.4841984208628125E-2</v>
      </c>
      <c r="Z182" s="11">
        <v>556147</v>
      </c>
      <c r="AA182" s="11">
        <v>0</v>
      </c>
      <c r="AB182" s="11">
        <f>37519+704</f>
        <v>38223</v>
      </c>
      <c r="AC182" s="11">
        <v>240117</v>
      </c>
      <c r="AD182" s="11">
        <v>17385</v>
      </c>
      <c r="AE182" s="11">
        <v>44902</v>
      </c>
      <c r="AF182" s="11">
        <v>46030</v>
      </c>
      <c r="AG182" s="11">
        <v>9600</v>
      </c>
      <c r="AH182" s="11">
        <v>12072</v>
      </c>
      <c r="AI182" s="11">
        <v>350</v>
      </c>
      <c r="AJ182" s="11">
        <v>0</v>
      </c>
      <c r="AK182" s="11">
        <f>4971+12478+22715</f>
        <v>40164</v>
      </c>
      <c r="AL182" s="11">
        <v>6494</v>
      </c>
      <c r="AM182" s="11">
        <v>507</v>
      </c>
      <c r="AN182" s="11">
        <v>0</v>
      </c>
      <c r="AO182" s="11">
        <v>1123</v>
      </c>
      <c r="AP182" s="11">
        <v>21628</v>
      </c>
      <c r="AQ182" s="11">
        <v>47068</v>
      </c>
      <c r="AR182" s="11">
        <v>471987</v>
      </c>
      <c r="AS182" s="11">
        <v>488931</v>
      </c>
      <c r="AT182" s="11">
        <v>0</v>
      </c>
      <c r="AU182" s="11">
        <v>0</v>
      </c>
      <c r="AV182" s="11">
        <v>143628</v>
      </c>
      <c r="AW182" s="11">
        <v>0</v>
      </c>
      <c r="AX182" s="11">
        <v>35654</v>
      </c>
      <c r="AY182" s="11">
        <v>0</v>
      </c>
      <c r="AZ182" s="11">
        <v>0</v>
      </c>
      <c r="BA182" s="11">
        <v>0</v>
      </c>
      <c r="BB182" s="11">
        <v>1622</v>
      </c>
      <c r="BC182" s="11">
        <v>499</v>
      </c>
      <c r="BD182" s="11">
        <v>0</v>
      </c>
      <c r="BE182" s="11">
        <v>5</v>
      </c>
      <c r="BF182" s="11">
        <v>-158</v>
      </c>
      <c r="BG182" s="11">
        <v>-260</v>
      </c>
      <c r="BH182" s="11">
        <v>-392</v>
      </c>
      <c r="BI182" s="11">
        <v>0</v>
      </c>
      <c r="BJ182" s="11">
        <f t="shared" si="11"/>
        <v>1316</v>
      </c>
      <c r="BK182" s="1">
        <v>0</v>
      </c>
      <c r="BL182" s="1">
        <v>125</v>
      </c>
      <c r="BM182" s="1">
        <v>68</v>
      </c>
      <c r="BN182" s="1">
        <v>195</v>
      </c>
      <c r="BO182" s="1">
        <v>0</v>
      </c>
      <c r="BP182" s="1">
        <v>4</v>
      </c>
      <c r="BQ182" s="1">
        <v>7</v>
      </c>
      <c r="BR182" s="1">
        <v>6</v>
      </c>
      <c r="BS182" s="1">
        <v>90</v>
      </c>
      <c r="BT182" s="1">
        <v>1</v>
      </c>
      <c r="BU182" s="1">
        <v>0</v>
      </c>
      <c r="BV182" s="1">
        <v>15</v>
      </c>
      <c r="BW182" s="1">
        <v>12</v>
      </c>
      <c r="BX182" s="1">
        <v>105</v>
      </c>
      <c r="BY182" s="1">
        <v>0</v>
      </c>
      <c r="BZ182" s="1">
        <v>3</v>
      </c>
    </row>
    <row r="183" spans="1:78">
      <c r="A183" s="16">
        <v>20</v>
      </c>
      <c r="B183" s="59" t="s">
        <v>275</v>
      </c>
      <c r="C183" s="60" t="s">
        <v>701</v>
      </c>
      <c r="D183" s="59" t="s">
        <v>233</v>
      </c>
      <c r="E183" s="59" t="s">
        <v>367</v>
      </c>
      <c r="F183" s="59"/>
      <c r="G183" s="59" t="s">
        <v>349</v>
      </c>
      <c r="H183" s="11">
        <v>9209136</v>
      </c>
      <c r="I183" s="11">
        <v>9241953</v>
      </c>
      <c r="J183" s="11">
        <v>334851</v>
      </c>
      <c r="K183" s="52">
        <v>46248</v>
      </c>
      <c r="L183" s="52">
        <v>638674</v>
      </c>
      <c r="M183" s="52">
        <v>4319077</v>
      </c>
      <c r="N183" s="52">
        <v>0</v>
      </c>
      <c r="O183" s="52">
        <v>0</v>
      </c>
      <c r="P183" s="52">
        <v>1193736</v>
      </c>
      <c r="Q183" s="52">
        <v>0</v>
      </c>
      <c r="R183" s="11">
        <v>1225920</v>
      </c>
      <c r="S183" s="11">
        <v>574605</v>
      </c>
      <c r="T183" s="11">
        <v>4308</v>
      </c>
      <c r="U183" s="11">
        <v>0</v>
      </c>
      <c r="V183" s="11">
        <v>8745160</v>
      </c>
      <c r="W183" s="13">
        <v>9.4600000000000004E-2</v>
      </c>
      <c r="X183" s="11">
        <v>0</v>
      </c>
      <c r="Y183" s="26">
        <f>697447/8718086</f>
        <v>8.0000013764489133E-2</v>
      </c>
      <c r="Z183" s="11">
        <v>697713</v>
      </c>
      <c r="AA183" s="11">
        <v>0</v>
      </c>
      <c r="AB183" s="11">
        <f>29914+2785+1631</f>
        <v>34330</v>
      </c>
      <c r="AC183" s="11">
        <v>323218</v>
      </c>
      <c r="AD183" s="11">
        <v>26894</v>
      </c>
      <c r="AE183" s="11">
        <v>53356</v>
      </c>
      <c r="AF183" s="11">
        <v>55294</v>
      </c>
      <c r="AG183" s="11">
        <v>14555</v>
      </c>
      <c r="AH183" s="11">
        <v>28129</v>
      </c>
      <c r="AI183" s="11">
        <v>2583</v>
      </c>
      <c r="AJ183" s="11">
        <v>0</v>
      </c>
      <c r="AK183" s="11">
        <f>13424+15557+12534</f>
        <v>41515</v>
      </c>
      <c r="AL183" s="11">
        <v>10034</v>
      </c>
      <c r="AM183" s="11">
        <v>438</v>
      </c>
      <c r="AN183" s="11">
        <v>0</v>
      </c>
      <c r="AO183" s="11">
        <v>984</v>
      </c>
      <c r="AP183" s="11">
        <v>5170</v>
      </c>
      <c r="AQ183" s="11">
        <v>0</v>
      </c>
      <c r="AR183" s="11">
        <v>587545</v>
      </c>
      <c r="AS183" s="11">
        <v>597063</v>
      </c>
      <c r="AT183" s="11">
        <v>0</v>
      </c>
      <c r="AU183" s="11">
        <v>0</v>
      </c>
      <c r="AV183" s="11">
        <v>143628</v>
      </c>
      <c r="AW183" s="11">
        <v>0</v>
      </c>
      <c r="AX183" s="11">
        <v>75327</v>
      </c>
      <c r="AY183" s="11">
        <v>0</v>
      </c>
      <c r="AZ183" s="11">
        <v>0</v>
      </c>
      <c r="BA183" s="11">
        <v>0</v>
      </c>
      <c r="BB183" s="11">
        <v>1862</v>
      </c>
      <c r="BC183" s="11">
        <v>800</v>
      </c>
      <c r="BD183" s="11">
        <v>0</v>
      </c>
      <c r="BE183" s="11">
        <v>-1</v>
      </c>
      <c r="BF183" s="11">
        <v>-96</v>
      </c>
      <c r="BG183" s="11">
        <v>-284</v>
      </c>
      <c r="BH183" s="11">
        <v>-346</v>
      </c>
      <c r="BI183" s="11">
        <v>0</v>
      </c>
      <c r="BJ183" s="11">
        <f t="shared" si="11"/>
        <v>1935</v>
      </c>
      <c r="BK183" s="1">
        <v>2</v>
      </c>
      <c r="BL183" s="1">
        <v>34</v>
      </c>
      <c r="BM183" s="1">
        <v>19</v>
      </c>
      <c r="BN183" s="1">
        <v>147</v>
      </c>
      <c r="BO183" s="1">
        <v>141</v>
      </c>
      <c r="BP183" s="1">
        <v>5</v>
      </c>
      <c r="BQ183" s="1">
        <v>0</v>
      </c>
      <c r="BR183" s="1">
        <v>1</v>
      </c>
      <c r="BS183" s="1">
        <v>17</v>
      </c>
      <c r="BT183" s="1">
        <v>63</v>
      </c>
      <c r="BU183" s="1">
        <v>0</v>
      </c>
      <c r="BV183" s="1">
        <v>0</v>
      </c>
      <c r="BW183" s="1">
        <v>2</v>
      </c>
      <c r="BX183" s="1">
        <v>33</v>
      </c>
      <c r="BY183" s="1">
        <v>153</v>
      </c>
      <c r="BZ183" s="1">
        <v>6</v>
      </c>
    </row>
    <row r="184" spans="1:78">
      <c r="A184" s="16">
        <v>20</v>
      </c>
      <c r="B184" s="59" t="s">
        <v>281</v>
      </c>
      <c r="C184" s="60" t="s">
        <v>329</v>
      </c>
      <c r="D184" s="59" t="s">
        <v>657</v>
      </c>
      <c r="E184" s="59" t="s">
        <v>367</v>
      </c>
      <c r="F184" s="59"/>
      <c r="G184" s="59" t="s">
        <v>349</v>
      </c>
      <c r="H184" s="11">
        <v>11681322</v>
      </c>
      <c r="I184" s="11">
        <v>11738099</v>
      </c>
      <c r="J184" s="11">
        <v>306283</v>
      </c>
      <c r="K184" s="52">
        <v>0</v>
      </c>
      <c r="L184" s="52">
        <v>27345</v>
      </c>
      <c r="M184" s="52">
        <v>2287363</v>
      </c>
      <c r="N184" s="52">
        <v>3561027</v>
      </c>
      <c r="O184" s="52">
        <v>0</v>
      </c>
      <c r="P184" s="52">
        <v>238792</v>
      </c>
      <c r="Q184" s="52">
        <v>1107402</v>
      </c>
      <c r="R184" s="11">
        <v>2091865</v>
      </c>
      <c r="S184" s="11">
        <v>940440</v>
      </c>
      <c r="T184" s="11">
        <v>2281</v>
      </c>
      <c r="U184" s="11">
        <v>0</v>
      </c>
      <c r="V184" s="11">
        <v>11291565</v>
      </c>
      <c r="W184" s="13">
        <v>6.7299999999999999E-2</v>
      </c>
      <c r="X184" s="11">
        <v>0</v>
      </c>
      <c r="Y184" s="26">
        <f>934612/11243339</f>
        <v>8.3125840108530039E-2</v>
      </c>
      <c r="Z184" s="11">
        <v>933672</v>
      </c>
      <c r="AA184" s="11">
        <v>0</v>
      </c>
      <c r="AB184" s="11">
        <f>53776+6181+5478</f>
        <v>65435</v>
      </c>
      <c r="AC184" s="11">
        <v>416734</v>
      </c>
      <c r="AD184" s="11">
        <v>35204</v>
      </c>
      <c r="AE184" s="11">
        <v>145092</v>
      </c>
      <c r="AF184" s="11">
        <f>44900+9315</f>
        <v>54215</v>
      </c>
      <c r="AG184" s="11">
        <v>2288</v>
      </c>
      <c r="AH184" s="11">
        <v>30920</v>
      </c>
      <c r="AI184" s="11">
        <v>0</v>
      </c>
      <c r="AJ184" s="11">
        <v>0</v>
      </c>
      <c r="AK184" s="11">
        <f>20475+24736+15482</f>
        <v>60693</v>
      </c>
      <c r="AL184" s="11">
        <v>13516</v>
      </c>
      <c r="AM184" s="11">
        <v>2088</v>
      </c>
      <c r="AN184" s="11">
        <v>0</v>
      </c>
      <c r="AO184" s="11">
        <v>1813</v>
      </c>
      <c r="AP184" s="11">
        <v>17934</v>
      </c>
      <c r="AQ184" s="11">
        <v>0</v>
      </c>
      <c r="AR184" s="11">
        <v>850408</v>
      </c>
      <c r="AS184" s="11">
        <v>853292</v>
      </c>
      <c r="AT184" s="11">
        <v>180</v>
      </c>
      <c r="AU184" s="11">
        <v>0</v>
      </c>
      <c r="AV184" s="11">
        <v>143628</v>
      </c>
      <c r="AW184" s="11">
        <v>0</v>
      </c>
      <c r="AX184" s="11">
        <v>129268</v>
      </c>
      <c r="AY184" s="11">
        <v>0</v>
      </c>
      <c r="AZ184" s="11">
        <v>0</v>
      </c>
      <c r="BA184" s="11">
        <v>0</v>
      </c>
      <c r="BB184" s="11">
        <v>3260</v>
      </c>
      <c r="BC184" s="11">
        <v>1042</v>
      </c>
      <c r="BD184" s="11">
        <v>0</v>
      </c>
      <c r="BE184" s="11">
        <v>-1</v>
      </c>
      <c r="BF184" s="11">
        <v>-242</v>
      </c>
      <c r="BG184" s="11">
        <v>-460</v>
      </c>
      <c r="BH184" s="11">
        <v>-709</v>
      </c>
      <c r="BI184" s="11">
        <v>-3</v>
      </c>
      <c r="BJ184" s="11">
        <f t="shared" si="11"/>
        <v>2887</v>
      </c>
      <c r="BK184" s="1">
        <v>3</v>
      </c>
      <c r="BL184" s="1">
        <v>40</v>
      </c>
      <c r="BM184" s="1">
        <v>24</v>
      </c>
      <c r="BN184" s="1">
        <v>241</v>
      </c>
      <c r="BO184" s="1">
        <v>381</v>
      </c>
      <c r="BP184" s="1">
        <v>23</v>
      </c>
      <c r="BQ184" s="1">
        <v>1</v>
      </c>
      <c r="BR184" s="1">
        <v>3</v>
      </c>
      <c r="BS184" s="1">
        <v>21</v>
      </c>
      <c r="BT184" s="1">
        <v>162</v>
      </c>
      <c r="BU184" s="1">
        <v>10</v>
      </c>
      <c r="BV184" s="1">
        <v>3</v>
      </c>
      <c r="BW184" s="1">
        <v>6</v>
      </c>
      <c r="BX184" s="1">
        <v>42</v>
      </c>
      <c r="BY184" s="1">
        <v>294</v>
      </c>
      <c r="BZ184" s="1">
        <v>3</v>
      </c>
    </row>
    <row r="185" spans="1:78">
      <c r="A185" s="16">
        <v>20</v>
      </c>
      <c r="B185" s="59" t="s">
        <v>283</v>
      </c>
      <c r="C185" s="60" t="s">
        <v>339</v>
      </c>
      <c r="D185" s="59" t="s">
        <v>494</v>
      </c>
      <c r="E185" s="59" t="s">
        <v>492</v>
      </c>
      <c r="F185" s="59" t="s">
        <v>694</v>
      </c>
      <c r="G185" s="59" t="s">
        <v>493</v>
      </c>
      <c r="H185" s="11">
        <v>33937636</v>
      </c>
      <c r="I185" s="11">
        <v>34037027</v>
      </c>
      <c r="J185" s="11">
        <v>1132235</v>
      </c>
      <c r="K185" s="52">
        <v>8567840</v>
      </c>
      <c r="L185" s="52">
        <v>1903600</v>
      </c>
      <c r="M185" s="52">
        <v>11259930</v>
      </c>
      <c r="N185" s="52">
        <v>0</v>
      </c>
      <c r="O185" s="52">
        <v>13763</v>
      </c>
      <c r="P185" s="52">
        <v>2437326</v>
      </c>
      <c r="Q185" s="52">
        <v>0</v>
      </c>
      <c r="R185" s="11">
        <v>5436870</v>
      </c>
      <c r="S185" s="11">
        <v>1605329</v>
      </c>
      <c r="T185" s="11">
        <v>0</v>
      </c>
      <c r="U185" s="11">
        <v>0</v>
      </c>
      <c r="V185" s="11">
        <v>32299472</v>
      </c>
      <c r="W185" s="13">
        <v>0.1193</v>
      </c>
      <c r="X185" s="11">
        <v>0</v>
      </c>
      <c r="Y185" s="26">
        <f>1062533/32197976</f>
        <v>3.2999993539966611E-2</v>
      </c>
      <c r="Z185" s="11">
        <v>1061753</v>
      </c>
      <c r="AA185" s="11">
        <v>0</v>
      </c>
      <c r="AB185" s="11">
        <f>99391+1981</f>
        <v>101372</v>
      </c>
      <c r="AC185" s="11">
        <v>593107</v>
      </c>
      <c r="AD185" s="11">
        <v>46530</v>
      </c>
      <c r="AE185" s="11">
        <v>100187</v>
      </c>
      <c r="AF185" s="11">
        <v>39878</v>
      </c>
      <c r="AG185" s="11">
        <v>8539</v>
      </c>
      <c r="AH185" s="11">
        <v>35633</v>
      </c>
      <c r="AI185" s="11">
        <v>1140</v>
      </c>
      <c r="AJ185" s="11">
        <v>0</v>
      </c>
      <c r="AK185" s="11">
        <f>13281+27731+28592</f>
        <v>69604</v>
      </c>
      <c r="AL185" s="11">
        <v>12300</v>
      </c>
      <c r="AM185" s="11">
        <v>330</v>
      </c>
      <c r="AN185" s="11">
        <v>0</v>
      </c>
      <c r="AO185" s="11">
        <v>724</v>
      </c>
      <c r="AP185" s="11">
        <v>74506</v>
      </c>
      <c r="AQ185" s="11">
        <v>0</v>
      </c>
      <c r="AR185" s="11">
        <v>1035033</v>
      </c>
      <c r="AS185" s="11">
        <v>1086415</v>
      </c>
      <c r="AT185" s="11">
        <v>0</v>
      </c>
      <c r="AU185" s="11">
        <v>0</v>
      </c>
      <c r="AV185" s="11">
        <v>143628</v>
      </c>
      <c r="AW185" s="11">
        <v>0</v>
      </c>
      <c r="AX185" s="11">
        <v>111971</v>
      </c>
      <c r="AY185" s="11">
        <v>0</v>
      </c>
      <c r="AZ185" s="11">
        <v>0</v>
      </c>
      <c r="BA185" s="11">
        <v>0</v>
      </c>
      <c r="BB185" s="11">
        <v>4482</v>
      </c>
      <c r="BC185" s="11">
        <v>2173</v>
      </c>
      <c r="BD185" s="11">
        <v>40</v>
      </c>
      <c r="BE185" s="11">
        <v>0</v>
      </c>
      <c r="BF185" s="11">
        <v>-369</v>
      </c>
      <c r="BG185" s="11">
        <v>-1118</v>
      </c>
      <c r="BH185" s="11">
        <v>-921</v>
      </c>
      <c r="BI185" s="11">
        <v>0</v>
      </c>
      <c r="BJ185" s="11">
        <f t="shared" si="11"/>
        <v>4287</v>
      </c>
      <c r="BK185" s="1">
        <v>0</v>
      </c>
      <c r="BL185" s="1">
        <v>210</v>
      </c>
      <c r="BM185" s="1">
        <v>122</v>
      </c>
      <c r="BN185" s="1">
        <v>555</v>
      </c>
      <c r="BO185" s="1">
        <v>22</v>
      </c>
      <c r="BP185" s="1">
        <v>8</v>
      </c>
      <c r="BQ185" s="1">
        <v>1</v>
      </c>
      <c r="BR185" s="1">
        <v>4</v>
      </c>
      <c r="BS185" s="1">
        <v>58</v>
      </c>
      <c r="BT185" s="1">
        <v>182</v>
      </c>
      <c r="BU185" s="1">
        <v>1</v>
      </c>
      <c r="BV185" s="1">
        <v>3</v>
      </c>
      <c r="BW185" s="1">
        <v>11</v>
      </c>
      <c r="BX185" s="1">
        <v>130</v>
      </c>
      <c r="BY185" s="1">
        <v>400</v>
      </c>
      <c r="BZ185" s="1">
        <v>8</v>
      </c>
    </row>
    <row r="186" spans="1:78">
      <c r="A186" s="16">
        <v>20</v>
      </c>
      <c r="B186" s="59" t="s">
        <v>610</v>
      </c>
      <c r="C186" s="60" t="s">
        <v>356</v>
      </c>
      <c r="D186" s="59" t="s">
        <v>30</v>
      </c>
      <c r="E186" s="59" t="s">
        <v>474</v>
      </c>
      <c r="F186" s="59"/>
      <c r="G186" s="59" t="s">
        <v>469</v>
      </c>
      <c r="H186" s="11">
        <v>11175889</v>
      </c>
      <c r="I186" s="11">
        <v>11264989</v>
      </c>
      <c r="J186" s="11">
        <v>900223</v>
      </c>
      <c r="K186" s="52">
        <v>0</v>
      </c>
      <c r="L186" s="52">
        <v>11367</v>
      </c>
      <c r="M186" s="52">
        <v>4448621</v>
      </c>
      <c r="N186" s="52">
        <v>0</v>
      </c>
      <c r="O186" s="52">
        <v>2877</v>
      </c>
      <c r="P186" s="52">
        <v>1548267</v>
      </c>
      <c r="Q186" s="52">
        <v>0</v>
      </c>
      <c r="R186" s="11">
        <v>2240435</v>
      </c>
      <c r="S186" s="11">
        <v>1180963</v>
      </c>
      <c r="T186" s="11">
        <v>0</v>
      </c>
      <c r="U186" s="11">
        <v>0</v>
      </c>
      <c r="V186" s="11">
        <v>10539850</v>
      </c>
      <c r="W186" s="13">
        <v>0.19</v>
      </c>
      <c r="X186" s="11">
        <v>0</v>
      </c>
      <c r="Y186" s="26">
        <f>1047282/10472822</f>
        <v>9.9999980902950508E-2</v>
      </c>
      <c r="Z186" s="11">
        <v>1069538</v>
      </c>
      <c r="AA186" s="11">
        <v>0</v>
      </c>
      <c r="AB186" s="11">
        <f>76141+2396</f>
        <v>78537</v>
      </c>
      <c r="AC186" s="11">
        <v>498435</v>
      </c>
      <c r="AD186" s="11">
        <v>44762</v>
      </c>
      <c r="AE186" s="11">
        <v>89803</v>
      </c>
      <c r="AF186" s="11">
        <f>47744+9658</f>
        <v>57402</v>
      </c>
      <c r="AG186" s="11">
        <v>7017</v>
      </c>
      <c r="AH186" s="11">
        <v>36662</v>
      </c>
      <c r="AI186" s="11">
        <v>31007</v>
      </c>
      <c r="AJ186" s="11">
        <v>0</v>
      </c>
      <c r="AK186" s="11">
        <f>18923+11860+19054</f>
        <v>49837</v>
      </c>
      <c r="AL186" s="11">
        <v>13395</v>
      </c>
      <c r="AM186" s="11">
        <v>1869</v>
      </c>
      <c r="AN186" s="11">
        <v>0</v>
      </c>
      <c r="AO186" s="11">
        <v>33415</v>
      </c>
      <c r="AP186" s="11">
        <v>23715</v>
      </c>
      <c r="AQ186" s="11">
        <v>0</v>
      </c>
      <c r="AR186" s="11">
        <v>1016863</v>
      </c>
      <c r="AS186" s="11">
        <v>1064919</v>
      </c>
      <c r="AT186" s="11">
        <v>2134</v>
      </c>
      <c r="AU186" s="11">
        <v>0</v>
      </c>
      <c r="AV186" s="11">
        <v>143628</v>
      </c>
      <c r="AW186" s="11">
        <v>0</v>
      </c>
      <c r="AX186" s="11">
        <v>148205</v>
      </c>
      <c r="AY186" s="11">
        <v>0</v>
      </c>
      <c r="AZ186" s="11">
        <v>0</v>
      </c>
      <c r="BA186" s="11">
        <v>0</v>
      </c>
      <c r="BB186" s="11">
        <v>4151</v>
      </c>
      <c r="BC186" s="11">
        <v>1093</v>
      </c>
      <c r="BD186" s="11">
        <v>0</v>
      </c>
      <c r="BE186" s="11">
        <v>0</v>
      </c>
      <c r="BF186" s="11">
        <v>-492</v>
      </c>
      <c r="BG186" s="11">
        <v>-844</v>
      </c>
      <c r="BH186" s="11">
        <v>-594</v>
      </c>
      <c r="BI186" s="11">
        <v>0</v>
      </c>
      <c r="BJ186" s="11">
        <f t="shared" si="11"/>
        <v>3314</v>
      </c>
      <c r="BK186" s="1">
        <v>135</v>
      </c>
      <c r="BL186" s="1">
        <v>26</v>
      </c>
      <c r="BM186" s="1">
        <v>27</v>
      </c>
      <c r="BN186" s="1">
        <v>470</v>
      </c>
      <c r="BO186" s="1">
        <v>64</v>
      </c>
      <c r="BP186" s="1">
        <v>7</v>
      </c>
      <c r="BQ186" s="1">
        <v>1</v>
      </c>
      <c r="BR186" s="1">
        <v>1</v>
      </c>
      <c r="BS186" s="1">
        <v>63</v>
      </c>
      <c r="BT186" s="1">
        <v>215</v>
      </c>
      <c r="BU186" s="1">
        <v>1</v>
      </c>
      <c r="BV186" s="1">
        <v>3</v>
      </c>
      <c r="BW186" s="1">
        <v>9</v>
      </c>
      <c r="BX186" s="1">
        <v>82</v>
      </c>
      <c r="BY186" s="1">
        <v>373</v>
      </c>
      <c r="BZ186" s="1">
        <v>7</v>
      </c>
    </row>
    <row r="187" spans="1:78">
      <c r="A187" s="16">
        <v>20</v>
      </c>
      <c r="B187" s="59" t="s">
        <v>702</v>
      </c>
      <c r="C187" s="60" t="s">
        <v>381</v>
      </c>
      <c r="D187" s="59" t="s">
        <v>699</v>
      </c>
      <c r="E187" s="59" t="s">
        <v>367</v>
      </c>
      <c r="F187" s="59"/>
      <c r="G187" s="59" t="s">
        <v>349</v>
      </c>
      <c r="H187" s="11">
        <v>6459507</v>
      </c>
      <c r="I187" s="11">
        <v>6500442</v>
      </c>
      <c r="J187" s="11">
        <v>135886</v>
      </c>
      <c r="K187" s="52">
        <v>5286</v>
      </c>
      <c r="L187" s="52">
        <v>94893</v>
      </c>
      <c r="M187" s="52">
        <v>1732552</v>
      </c>
      <c r="N187" s="52">
        <v>1488820</v>
      </c>
      <c r="O187" s="52">
        <v>0</v>
      </c>
      <c r="P187" s="52">
        <v>353811</v>
      </c>
      <c r="Q187" s="52">
        <v>493693</v>
      </c>
      <c r="R187" s="11">
        <v>1396370</v>
      </c>
      <c r="S187" s="11">
        <v>435257</v>
      </c>
      <c r="T187" s="11">
        <v>0</v>
      </c>
      <c r="U187" s="11">
        <v>0</v>
      </c>
      <c r="V187" s="11">
        <v>6490456</v>
      </c>
      <c r="W187" s="13">
        <v>9.74E-2</v>
      </c>
      <c r="X187" s="11">
        <v>0</v>
      </c>
      <c r="Y187" s="26">
        <f>485667/6475556</f>
        <v>7.5000046328068198E-2</v>
      </c>
      <c r="Z187" s="11">
        <v>485273</v>
      </c>
      <c r="AA187" s="11">
        <v>0</v>
      </c>
      <c r="AB187" s="11">
        <f>40935+1235</f>
        <v>42170</v>
      </c>
      <c r="AC187" s="11">
        <f>171386+1381</f>
        <v>172767</v>
      </c>
      <c r="AD187" s="11">
        <v>13620</v>
      </c>
      <c r="AE187" s="11">
        <v>25383</v>
      </c>
      <c r="AF187" s="11">
        <v>20092</v>
      </c>
      <c r="AG187" s="11">
        <v>13578</v>
      </c>
      <c r="AH187" s="11">
        <v>29757</v>
      </c>
      <c r="AI187" s="11">
        <v>4881</v>
      </c>
      <c r="AJ187" s="11">
        <v>0</v>
      </c>
      <c r="AK187" s="11">
        <f>7525+15292+11790</f>
        <v>34607</v>
      </c>
      <c r="AL187" s="11">
        <v>6397</v>
      </c>
      <c r="AM187" s="11">
        <v>486</v>
      </c>
      <c r="AN187" s="11">
        <v>0</v>
      </c>
      <c r="AO187" s="11">
        <v>14744</v>
      </c>
      <c r="AP187" s="11">
        <v>11707</v>
      </c>
      <c r="AQ187" s="11">
        <v>0</v>
      </c>
      <c r="AR187" s="11">
        <v>384791</v>
      </c>
      <c r="AS187" s="11">
        <v>399868</v>
      </c>
      <c r="AT187" s="11">
        <v>0</v>
      </c>
      <c r="AU187" s="11">
        <v>0</v>
      </c>
      <c r="AV187" s="11">
        <v>143628</v>
      </c>
      <c r="AW187" s="11">
        <v>0</v>
      </c>
      <c r="AX187" s="11">
        <v>58739</v>
      </c>
      <c r="AY187" s="11">
        <v>0</v>
      </c>
      <c r="AZ187" s="11">
        <v>0</v>
      </c>
      <c r="BA187" s="11">
        <v>0</v>
      </c>
      <c r="BB187" s="11">
        <v>1368</v>
      </c>
      <c r="BC187" s="11">
        <v>505</v>
      </c>
      <c r="BD187" s="11">
        <v>76</v>
      </c>
      <c r="BE187" s="11">
        <f>1+28</f>
        <v>29</v>
      </c>
      <c r="BF187" s="11">
        <v>-134</v>
      </c>
      <c r="BG187" s="11">
        <v>-226</v>
      </c>
      <c r="BH187" s="11">
        <v>-264</v>
      </c>
      <c r="BI187" s="11">
        <v>-2</v>
      </c>
      <c r="BJ187" s="11">
        <f t="shared" si="11"/>
        <v>1352</v>
      </c>
      <c r="BK187" s="1">
        <v>8</v>
      </c>
      <c r="BL187" s="1">
        <v>78</v>
      </c>
      <c r="BM187" s="1">
        <v>23</v>
      </c>
      <c r="BN187" s="1">
        <v>122</v>
      </c>
      <c r="BO187" s="1">
        <v>37</v>
      </c>
      <c r="BP187" s="1">
        <v>6</v>
      </c>
      <c r="BQ187" s="1">
        <v>9</v>
      </c>
      <c r="BR187" s="1">
        <v>3</v>
      </c>
      <c r="BS187" s="1">
        <v>20</v>
      </c>
      <c r="BT187" s="1">
        <v>73</v>
      </c>
      <c r="BU187" s="1">
        <v>28</v>
      </c>
      <c r="BV187" s="1">
        <v>14</v>
      </c>
      <c r="BW187" s="1">
        <v>0</v>
      </c>
      <c r="BX187" s="1">
        <v>24</v>
      </c>
      <c r="BY187" s="1">
        <v>107</v>
      </c>
      <c r="BZ187" s="1">
        <v>1</v>
      </c>
    </row>
    <row r="188" spans="1:78">
      <c r="A188" s="16">
        <v>21</v>
      </c>
      <c r="B188" s="59" t="s">
        <v>68</v>
      </c>
      <c r="C188" s="60" t="s">
        <v>65</v>
      </c>
      <c r="D188" s="59" t="s">
        <v>53</v>
      </c>
      <c r="E188" s="59" t="s">
        <v>256</v>
      </c>
      <c r="F188" s="59" t="s">
        <v>618</v>
      </c>
      <c r="G188" s="59" t="s">
        <v>263</v>
      </c>
      <c r="H188" s="11">
        <v>33257610</v>
      </c>
      <c r="I188" s="11">
        <v>33354178</v>
      </c>
      <c r="J188" s="11">
        <v>671587</v>
      </c>
      <c r="K188" s="52">
        <v>0</v>
      </c>
      <c r="L188" s="52">
        <v>1256481</v>
      </c>
      <c r="M188" s="52">
        <v>18867886</v>
      </c>
      <c r="N188" s="52">
        <v>0</v>
      </c>
      <c r="O188" s="52">
        <v>66059</v>
      </c>
      <c r="P188" s="52">
        <v>1036541</v>
      </c>
      <c r="Q188" s="52">
        <v>0</v>
      </c>
      <c r="R188" s="11">
        <v>5558532</v>
      </c>
      <c r="S188" s="11">
        <v>3123089</v>
      </c>
      <c r="T188" s="11">
        <v>0</v>
      </c>
      <c r="U188" s="11">
        <v>0</v>
      </c>
      <c r="V188" s="11">
        <v>31965416</v>
      </c>
      <c r="W188" s="13">
        <v>0.1181</v>
      </c>
      <c r="X188" s="11">
        <v>0</v>
      </c>
      <c r="Y188" s="26">
        <f>1598271/31965416</f>
        <v>5.0000006256761993E-2</v>
      </c>
      <c r="Z188" s="11">
        <v>1593647</v>
      </c>
      <c r="AA188" s="11">
        <v>0</v>
      </c>
      <c r="AB188" s="11">
        <f>90583+12643+9912</f>
        <v>113138</v>
      </c>
      <c r="AC188" s="11">
        <v>853029</v>
      </c>
      <c r="AD188" s="11">
        <v>64922</v>
      </c>
      <c r="AE188" s="11">
        <v>332452</v>
      </c>
      <c r="AF188" s="11">
        <f>73202+16800</f>
        <v>90002</v>
      </c>
      <c r="AG188" s="11">
        <v>9822</v>
      </c>
      <c r="AH188" s="11">
        <v>58795</v>
      </c>
      <c r="AI188" s="11">
        <v>15793</v>
      </c>
      <c r="AJ188" s="11">
        <v>0</v>
      </c>
      <c r="AK188" s="11">
        <f>26916+46264+47012</f>
        <v>120192</v>
      </c>
      <c r="AL188" s="11">
        <v>18155</v>
      </c>
      <c r="AM188" s="11">
        <v>2305</v>
      </c>
      <c r="AN188" s="11">
        <v>0</v>
      </c>
      <c r="AO188" s="11">
        <v>8519</v>
      </c>
      <c r="AP188" s="11">
        <v>76556</v>
      </c>
      <c r="AQ188" s="11">
        <v>0</v>
      </c>
      <c r="AR188" s="11">
        <v>1737464</v>
      </c>
      <c r="AS188" s="11">
        <v>1814520</v>
      </c>
      <c r="AT188" s="11">
        <v>0</v>
      </c>
      <c r="AU188" s="11">
        <v>0</v>
      </c>
      <c r="AV188" s="11">
        <v>143628</v>
      </c>
      <c r="AW188" s="11">
        <v>0</v>
      </c>
      <c r="AX188" s="11">
        <v>43344</v>
      </c>
      <c r="AY188" s="11">
        <v>0</v>
      </c>
      <c r="AZ188" s="11">
        <v>0</v>
      </c>
      <c r="BA188" s="11">
        <v>0</v>
      </c>
      <c r="BB188" s="11">
        <v>10632</v>
      </c>
      <c r="BC188" s="11">
        <v>4171</v>
      </c>
      <c r="BD188" s="11">
        <v>30</v>
      </c>
      <c r="BE188" s="11">
        <f>8+9-2</f>
        <v>15</v>
      </c>
      <c r="BF188" s="11">
        <v>-473</v>
      </c>
      <c r="BG188" s="11">
        <v>-1909</v>
      </c>
      <c r="BH188" s="11">
        <v>-1280</v>
      </c>
      <c r="BI188" s="11">
        <v>-4</v>
      </c>
      <c r="BJ188" s="11">
        <f t="shared" si="11"/>
        <v>11182</v>
      </c>
      <c r="BK188" s="1">
        <v>49</v>
      </c>
      <c r="BL188" s="1">
        <v>385</v>
      </c>
      <c r="BM188" s="1">
        <v>134</v>
      </c>
      <c r="BN188" s="1">
        <v>717</v>
      </c>
      <c r="BO188" s="1">
        <v>0</v>
      </c>
      <c r="BP188" s="1">
        <v>36</v>
      </c>
      <c r="BQ188" s="1">
        <v>2</v>
      </c>
      <c r="BR188" s="1">
        <v>2</v>
      </c>
      <c r="BS188" s="1">
        <v>52</v>
      </c>
      <c r="BT188" s="1">
        <v>295</v>
      </c>
      <c r="BU188" s="1">
        <v>6</v>
      </c>
      <c r="BV188" s="1">
        <v>15</v>
      </c>
      <c r="BW188" s="1">
        <v>19</v>
      </c>
      <c r="BX188" s="1">
        <v>130</v>
      </c>
      <c r="BY188" s="1">
        <v>1178</v>
      </c>
      <c r="BZ188" s="1">
        <v>57</v>
      </c>
    </row>
    <row r="189" spans="1:78">
      <c r="A189" s="16">
        <v>21</v>
      </c>
      <c r="B189" s="59" t="s">
        <v>82</v>
      </c>
      <c r="C189" s="60" t="s">
        <v>328</v>
      </c>
      <c r="D189" s="59" t="s">
        <v>51</v>
      </c>
      <c r="E189" s="59" t="s">
        <v>256</v>
      </c>
      <c r="F189" s="59" t="s">
        <v>479</v>
      </c>
      <c r="G189" s="59" t="s">
        <v>263</v>
      </c>
      <c r="H189" s="11">
        <v>73975655</v>
      </c>
      <c r="I189" s="11">
        <v>74228596</v>
      </c>
      <c r="J189" s="11">
        <v>2570327</v>
      </c>
      <c r="K189" s="52">
        <v>51193</v>
      </c>
      <c r="L189" s="52">
        <v>4736896</v>
      </c>
      <c r="M189" s="52">
        <v>622098</v>
      </c>
      <c r="N189" s="52">
        <f>35107329+2503658</f>
        <v>37610987</v>
      </c>
      <c r="O189" s="52">
        <v>0</v>
      </c>
      <c r="P189" s="52">
        <v>3516120</v>
      </c>
      <c r="Q189" s="52">
        <v>0</v>
      </c>
      <c r="R189" s="11">
        <v>13206004</v>
      </c>
      <c r="S189" s="11">
        <v>8054181</v>
      </c>
      <c r="T189" s="11">
        <v>19549</v>
      </c>
      <c r="U189" s="11">
        <v>0</v>
      </c>
      <c r="V189" s="11">
        <v>70861336</v>
      </c>
      <c r="W189" s="13">
        <v>0.15</v>
      </c>
      <c r="X189" s="11">
        <v>0</v>
      </c>
      <c r="Y189" s="26">
        <f>2302358/70841787</f>
        <v>3.2499998906012913E-2</v>
      </c>
      <c r="Z189" s="11">
        <v>2296122</v>
      </c>
      <c r="AA189" s="11">
        <v>0</v>
      </c>
      <c r="AB189" s="11">
        <f>252941+22058</f>
        <v>274999</v>
      </c>
      <c r="AC189" s="11">
        <v>1319324</v>
      </c>
      <c r="AD189" s="11">
        <v>97392</v>
      </c>
      <c r="AE189" s="11">
        <v>298597</v>
      </c>
      <c r="AF189" s="11">
        <v>202794</v>
      </c>
      <c r="AG189" s="11">
        <v>3161</v>
      </c>
      <c r="AH189" s="11">
        <v>89471</v>
      </c>
      <c r="AI189" s="11">
        <v>4950</v>
      </c>
      <c r="AJ189" s="11">
        <v>0</v>
      </c>
      <c r="AK189" s="11">
        <f>37795+64255+44290</f>
        <v>146340</v>
      </c>
      <c r="AL189" s="11">
        <v>23780</v>
      </c>
      <c r="AM189" s="11">
        <v>806</v>
      </c>
      <c r="AN189" s="11">
        <v>0</v>
      </c>
      <c r="AO189" s="11">
        <v>0</v>
      </c>
      <c r="AP189" s="11">
        <v>168586</v>
      </c>
      <c r="AQ189" s="11">
        <v>0</v>
      </c>
      <c r="AR189" s="11">
        <v>2512129</v>
      </c>
      <c r="AS189" s="11">
        <v>2643964</v>
      </c>
      <c r="AT189" s="11">
        <v>672</v>
      </c>
      <c r="AU189" s="11">
        <v>0</v>
      </c>
      <c r="AV189" s="11">
        <v>143628</v>
      </c>
      <c r="AW189" s="11">
        <v>0</v>
      </c>
      <c r="AX189" s="11">
        <v>333341</v>
      </c>
      <c r="AY189" s="11">
        <v>0</v>
      </c>
      <c r="AZ189" s="11">
        <v>0</v>
      </c>
      <c r="BA189" s="11">
        <v>0</v>
      </c>
      <c r="BB189" s="11">
        <v>15546</v>
      </c>
      <c r="BC189" s="11">
        <v>9620</v>
      </c>
      <c r="BD189" s="11">
        <v>0</v>
      </c>
      <c r="BE189" s="11">
        <f>41-15</f>
        <v>26</v>
      </c>
      <c r="BF189" s="11">
        <v>-736</v>
      </c>
      <c r="BG189" s="11">
        <v>-6407</v>
      </c>
      <c r="BH189" s="11">
        <v>-2565</v>
      </c>
      <c r="BI189" s="11">
        <v>0</v>
      </c>
      <c r="BJ189" s="11">
        <f t="shared" si="11"/>
        <v>15484</v>
      </c>
      <c r="BK189" s="1">
        <v>26</v>
      </c>
      <c r="BL189" s="1">
        <v>971</v>
      </c>
      <c r="BM189" s="1">
        <v>158</v>
      </c>
      <c r="BN189" s="1">
        <v>1251</v>
      </c>
      <c r="BO189" s="1">
        <v>2</v>
      </c>
      <c r="BP189" s="1">
        <v>183</v>
      </c>
      <c r="BQ189" s="1">
        <v>1</v>
      </c>
      <c r="BR189" s="1">
        <v>7</v>
      </c>
      <c r="BS189" s="1">
        <v>69</v>
      </c>
      <c r="BT189" s="1">
        <v>390</v>
      </c>
      <c r="BU189" s="1">
        <v>11</v>
      </c>
      <c r="BV189" s="1">
        <v>35</v>
      </c>
      <c r="BW189" s="1">
        <v>71</v>
      </c>
      <c r="BX189" s="1">
        <v>269</v>
      </c>
      <c r="BY189" s="1">
        <v>2693</v>
      </c>
      <c r="BZ189" s="1">
        <v>242</v>
      </c>
    </row>
    <row r="190" spans="1:78">
      <c r="A190" s="16">
        <v>21</v>
      </c>
      <c r="B190" s="59" t="s">
        <v>98</v>
      </c>
      <c r="C190" s="60" t="s">
        <v>637</v>
      </c>
      <c r="D190" s="59" t="s">
        <v>598</v>
      </c>
      <c r="E190" s="59" t="s">
        <v>256</v>
      </c>
      <c r="F190" s="59" t="s">
        <v>618</v>
      </c>
      <c r="G190" s="59" t="s">
        <v>263</v>
      </c>
      <c r="H190" s="11">
        <v>49338495</v>
      </c>
      <c r="I190" s="11">
        <v>49415043</v>
      </c>
      <c r="J190" s="11">
        <v>1372822</v>
      </c>
      <c r="K190" s="52">
        <v>0</v>
      </c>
      <c r="L190" s="52">
        <v>1046966</v>
      </c>
      <c r="M190" s="52">
        <v>26318306</v>
      </c>
      <c r="N190" s="52">
        <v>0</v>
      </c>
      <c r="O190" s="52">
        <v>0</v>
      </c>
      <c r="P190" s="52">
        <v>2277742</v>
      </c>
      <c r="Q190" s="52">
        <v>0</v>
      </c>
      <c r="R190" s="11">
        <v>10215745</v>
      </c>
      <c r="S190" s="11">
        <v>4673930</v>
      </c>
      <c r="T190" s="11">
        <v>0</v>
      </c>
      <c r="U190" s="11">
        <v>0</v>
      </c>
      <c r="V190" s="11">
        <v>47718811</v>
      </c>
      <c r="W190" s="13">
        <v>4.1300000000000003E-2</v>
      </c>
      <c r="X190" s="11">
        <v>0</v>
      </c>
      <c r="Y190" s="26">
        <f>2220731/47718811</f>
        <v>4.6537852755803154E-2</v>
      </c>
      <c r="Z190" s="11">
        <v>2217713</v>
      </c>
      <c r="AA190" s="11">
        <v>0</v>
      </c>
      <c r="AB190" s="11">
        <f>76548+3930</f>
        <v>80478</v>
      </c>
      <c r="AC190" s="11">
        <v>1070852</v>
      </c>
      <c r="AD190" s="11">
        <v>82775</v>
      </c>
      <c r="AE190" s="11">
        <v>300794</v>
      </c>
      <c r="AF190" s="11">
        <f>169498+3752</f>
        <v>173250</v>
      </c>
      <c r="AG190" s="11">
        <v>1748</v>
      </c>
      <c r="AH190" s="11">
        <v>35825</v>
      </c>
      <c r="AI190" s="11">
        <v>25289</v>
      </c>
      <c r="AJ190" s="11">
        <v>0</v>
      </c>
      <c r="AK190" s="11">
        <f>51022+79789+78572</f>
        <v>209383</v>
      </c>
      <c r="AL190" s="11">
        <v>21094</v>
      </c>
      <c r="AM190" s="11">
        <v>1676</v>
      </c>
      <c r="AN190" s="11">
        <v>0</v>
      </c>
      <c r="AO190" s="11">
        <v>1262</v>
      </c>
      <c r="AP190" s="11">
        <v>96901</v>
      </c>
      <c r="AQ190" s="11">
        <v>0</v>
      </c>
      <c r="AR190" s="11">
        <v>2161012</v>
      </c>
      <c r="AS190" s="11">
        <v>2214478</v>
      </c>
      <c r="AT190" s="11">
        <v>51</v>
      </c>
      <c r="AU190" s="11">
        <v>0</v>
      </c>
      <c r="AV190" s="11">
        <v>143628</v>
      </c>
      <c r="AW190" s="11">
        <v>0</v>
      </c>
      <c r="AX190" s="11">
        <v>213982</v>
      </c>
      <c r="AY190" s="11">
        <v>0</v>
      </c>
      <c r="AZ190" s="11">
        <v>0</v>
      </c>
      <c r="BA190" s="11">
        <v>0</v>
      </c>
      <c r="BB190" s="11">
        <v>16424</v>
      </c>
      <c r="BC190" s="11">
        <v>6507</v>
      </c>
      <c r="BD190" s="11">
        <v>0</v>
      </c>
      <c r="BE190" s="11">
        <f>2+19-1</f>
        <v>20</v>
      </c>
      <c r="BF190" s="11">
        <v>-426</v>
      </c>
      <c r="BG190" s="11">
        <v>-2530</v>
      </c>
      <c r="BH190" s="11">
        <v>-1354</v>
      </c>
      <c r="BI190" s="11">
        <v>-20</v>
      </c>
      <c r="BJ190" s="11">
        <f t="shared" si="11"/>
        <v>18621</v>
      </c>
      <c r="BK190" s="1">
        <v>49</v>
      </c>
      <c r="BL190" s="1">
        <v>442</v>
      </c>
      <c r="BM190" s="1">
        <v>192</v>
      </c>
      <c r="BN190" s="1">
        <v>719</v>
      </c>
      <c r="BO190" s="1">
        <v>1</v>
      </c>
      <c r="BP190" s="1">
        <v>0</v>
      </c>
      <c r="BQ190" s="1">
        <v>4</v>
      </c>
      <c r="BR190" s="1">
        <v>10</v>
      </c>
      <c r="BS190" s="1">
        <v>52</v>
      </c>
      <c r="BT190" s="1">
        <v>289</v>
      </c>
      <c r="BU190" s="1">
        <v>1</v>
      </c>
      <c r="BV190" s="1">
        <v>16</v>
      </c>
      <c r="BW190" s="1">
        <v>30</v>
      </c>
      <c r="BX190" s="1">
        <v>189</v>
      </c>
      <c r="BY190" s="1">
        <v>1574</v>
      </c>
      <c r="BZ190" s="1">
        <v>6</v>
      </c>
    </row>
    <row r="191" spans="1:78">
      <c r="A191" s="16">
        <v>21</v>
      </c>
      <c r="B191" s="59" t="s">
        <v>116</v>
      </c>
      <c r="C191" s="60" t="s">
        <v>343</v>
      </c>
      <c r="D191" s="59" t="s">
        <v>592</v>
      </c>
      <c r="E191" s="59" t="s">
        <v>533</v>
      </c>
      <c r="F191" s="59"/>
      <c r="G191" s="59" t="s">
        <v>537</v>
      </c>
      <c r="H191" s="11">
        <v>34661448</v>
      </c>
      <c r="I191" s="11">
        <v>34772370</v>
      </c>
      <c r="J191" s="11">
        <v>1296950</v>
      </c>
      <c r="K191" s="52">
        <v>0</v>
      </c>
      <c r="L191" s="52">
        <v>849398</v>
      </c>
      <c r="M191" s="52">
        <v>0</v>
      </c>
      <c r="N191" s="52">
        <v>10585869</v>
      </c>
      <c r="O191" s="52">
        <v>65640</v>
      </c>
      <c r="P191" s="52">
        <v>0</v>
      </c>
      <c r="Q191" s="52">
        <v>2416047</v>
      </c>
      <c r="R191" s="11">
        <v>11877853</v>
      </c>
      <c r="S191" s="11">
        <v>4673799</v>
      </c>
      <c r="T191" s="11">
        <v>16021</v>
      </c>
      <c r="U191" s="11">
        <v>0</v>
      </c>
      <c r="V191" s="11">
        <v>33134761</v>
      </c>
      <c r="W191" s="13">
        <v>0.1459</v>
      </c>
      <c r="X191" s="11">
        <v>0</v>
      </c>
      <c r="Y191" s="26">
        <f>2224003/32696297</f>
        <v>6.8020026855028878E-2</v>
      </c>
      <c r="Z191" s="11">
        <v>2206733</v>
      </c>
      <c r="AA191" s="11">
        <v>0</v>
      </c>
      <c r="AB191" s="11">
        <f>108568+17860+11754</f>
        <v>138182</v>
      </c>
      <c r="AC191" s="11">
        <v>1159274</v>
      </c>
      <c r="AD191" s="11">
        <v>103421</v>
      </c>
      <c r="AE191" s="11">
        <v>270637</v>
      </c>
      <c r="AF191" s="11">
        <f>132825+30832</f>
        <v>163657</v>
      </c>
      <c r="AG191" s="11">
        <v>5716</v>
      </c>
      <c r="AH191" s="11">
        <v>37507</v>
      </c>
      <c r="AI191" s="11">
        <v>9000</v>
      </c>
      <c r="AJ191" s="11">
        <v>82486</v>
      </c>
      <c r="AK191" s="11">
        <f>41799+25239+85245</f>
        <v>152283</v>
      </c>
      <c r="AL191" s="11">
        <v>23279</v>
      </c>
      <c r="AM191" s="11">
        <v>2458</v>
      </c>
      <c r="AN191" s="11">
        <v>0</v>
      </c>
      <c r="AO191" s="11">
        <v>32815</v>
      </c>
      <c r="AP191" s="11">
        <v>71551</v>
      </c>
      <c r="AQ191" s="11">
        <v>0</v>
      </c>
      <c r="AR191" s="11">
        <v>2271978</v>
      </c>
      <c r="AS191" s="11">
        <v>2294206</v>
      </c>
      <c r="AT191" s="11">
        <v>0</v>
      </c>
      <c r="AU191" s="11">
        <v>5000</v>
      </c>
      <c r="AV191" s="11">
        <v>143628</v>
      </c>
      <c r="AW191" s="11">
        <v>0</v>
      </c>
      <c r="AX191" s="11">
        <v>189659</v>
      </c>
      <c r="AY191" s="11">
        <v>0</v>
      </c>
      <c r="AZ191" s="11">
        <v>0</v>
      </c>
      <c r="BA191" s="11">
        <v>0</v>
      </c>
      <c r="BB191" s="11">
        <v>14448</v>
      </c>
      <c r="BC191" s="11">
        <v>5057</v>
      </c>
      <c r="BD191" s="11">
        <v>170</v>
      </c>
      <c r="BE191" s="11">
        <f>18-20</f>
        <v>-2</v>
      </c>
      <c r="BF191" s="11">
        <v>-533</v>
      </c>
      <c r="BG191" s="11">
        <v>-3235</v>
      </c>
      <c r="BH191" s="11">
        <v>-1378</v>
      </c>
      <c r="BI191" s="11">
        <v>-22</v>
      </c>
      <c r="BJ191" s="11">
        <f t="shared" si="11"/>
        <v>14505</v>
      </c>
      <c r="BK191" s="1">
        <v>188</v>
      </c>
      <c r="BL191" s="1">
        <v>179</v>
      </c>
      <c r="BM191" s="1">
        <v>358</v>
      </c>
      <c r="BN191" s="1">
        <v>646</v>
      </c>
      <c r="BO191" s="1">
        <v>172</v>
      </c>
      <c r="BP191" s="1">
        <v>23</v>
      </c>
      <c r="BQ191" s="1">
        <v>0</v>
      </c>
      <c r="BR191" s="1">
        <v>3</v>
      </c>
      <c r="BS191" s="1">
        <v>85</v>
      </c>
      <c r="BT191" s="1">
        <v>333</v>
      </c>
      <c r="BU191" s="1">
        <v>1</v>
      </c>
      <c r="BV191" s="1">
        <v>3</v>
      </c>
      <c r="BW191" s="1">
        <v>24</v>
      </c>
      <c r="BX191" s="1">
        <v>238</v>
      </c>
      <c r="BY191" s="1">
        <v>2121</v>
      </c>
      <c r="BZ191" s="1">
        <v>66</v>
      </c>
    </row>
    <row r="192" spans="1:78">
      <c r="A192" s="16">
        <v>21</v>
      </c>
      <c r="B192" s="59" t="s">
        <v>171</v>
      </c>
      <c r="C192" s="60" t="s">
        <v>406</v>
      </c>
      <c r="D192" s="59" t="s">
        <v>327</v>
      </c>
      <c r="E192" s="59" t="s">
        <v>242</v>
      </c>
      <c r="F192" s="59" t="s">
        <v>431</v>
      </c>
      <c r="G192" s="59" t="s">
        <v>244</v>
      </c>
      <c r="H192" s="11">
        <v>51672074</v>
      </c>
      <c r="I192" s="11">
        <v>51718816</v>
      </c>
      <c r="J192" s="11">
        <v>2765282</v>
      </c>
      <c r="K192" s="52">
        <v>0</v>
      </c>
      <c r="L192" s="52">
        <v>3489078</v>
      </c>
      <c r="M192" s="52">
        <v>0</v>
      </c>
      <c r="N192" s="52">
        <v>30243661</v>
      </c>
      <c r="O192" s="52">
        <v>0</v>
      </c>
      <c r="P192" s="52">
        <v>0</v>
      </c>
      <c r="Q192" s="52">
        <v>1846391</v>
      </c>
      <c r="R192" s="11">
        <v>4531927</v>
      </c>
      <c r="S192" s="11">
        <v>1502001</v>
      </c>
      <c r="T192" s="11">
        <v>155582</v>
      </c>
      <c r="U192" s="11">
        <v>0</v>
      </c>
      <c r="V192" s="11">
        <v>42675260</v>
      </c>
      <c r="W192" s="13">
        <v>0.17</v>
      </c>
      <c r="X192" s="11">
        <v>0</v>
      </c>
      <c r="Y192" s="26">
        <f>880172/42491958</f>
        <v>2.0713848959372502E-2</v>
      </c>
      <c r="Z192" s="11">
        <v>878900</v>
      </c>
      <c r="AA192" s="11">
        <v>0</v>
      </c>
      <c r="AB192" s="11">
        <f>46742+718+3210</f>
        <v>50670</v>
      </c>
      <c r="AC192" s="11">
        <v>532729</v>
      </c>
      <c r="AD192" s="11">
        <v>40499</v>
      </c>
      <c r="AE192" s="11">
        <v>66660</v>
      </c>
      <c r="AF192" s="11">
        <v>69204</v>
      </c>
      <c r="AG192" s="11">
        <v>0</v>
      </c>
      <c r="AH192" s="11">
        <v>28914</v>
      </c>
      <c r="AI192" s="11">
        <v>15935</v>
      </c>
      <c r="AJ192" s="11">
        <v>16134</v>
      </c>
      <c r="AK192" s="11">
        <f>32052+38587+51785</f>
        <v>122424</v>
      </c>
      <c r="AL192" s="11">
        <v>13975</v>
      </c>
      <c r="AM192" s="11">
        <v>1075</v>
      </c>
      <c r="AN192" s="11">
        <v>5332</v>
      </c>
      <c r="AO192" s="11">
        <v>1398</v>
      </c>
      <c r="AP192" s="11">
        <v>22977</v>
      </c>
      <c r="AQ192" s="11">
        <v>0</v>
      </c>
      <c r="AR192" s="11">
        <v>1009697</v>
      </c>
      <c r="AS192" s="11">
        <v>1025058</v>
      </c>
      <c r="AT192" s="11">
        <v>0</v>
      </c>
      <c r="AU192" s="11">
        <v>0</v>
      </c>
      <c r="AV192" s="11">
        <v>143628</v>
      </c>
      <c r="AW192" s="11">
        <v>0</v>
      </c>
      <c r="AX192" s="11">
        <v>18141</v>
      </c>
      <c r="AY192" s="11">
        <v>0</v>
      </c>
      <c r="AZ192" s="11">
        <v>0</v>
      </c>
      <c r="BA192" s="11">
        <v>0</v>
      </c>
      <c r="BB192" s="11">
        <v>5040</v>
      </c>
      <c r="BC192" s="11">
        <v>3568</v>
      </c>
      <c r="BD192" s="11">
        <v>0</v>
      </c>
      <c r="BE192" s="11">
        <v>-4</v>
      </c>
      <c r="BF192" s="11">
        <v>-254</v>
      </c>
      <c r="BG192" s="11">
        <v>-2431</v>
      </c>
      <c r="BH192" s="11">
        <v>-603</v>
      </c>
      <c r="BI192" s="11">
        <v>-3</v>
      </c>
      <c r="BJ192" s="11">
        <f t="shared" si="11"/>
        <v>5313</v>
      </c>
      <c r="BK192" s="1">
        <v>11</v>
      </c>
      <c r="BL192" s="1">
        <v>77</v>
      </c>
      <c r="BM192" s="1">
        <v>48</v>
      </c>
      <c r="BN192" s="1">
        <v>460</v>
      </c>
      <c r="BO192" s="1">
        <v>0</v>
      </c>
      <c r="BP192" s="1">
        <v>18</v>
      </c>
      <c r="BQ192" s="1">
        <v>1</v>
      </c>
      <c r="BR192" s="1">
        <v>4</v>
      </c>
      <c r="BS192" s="1">
        <v>48</v>
      </c>
      <c r="BT192" s="1">
        <v>47</v>
      </c>
      <c r="BU192" s="1">
        <v>3</v>
      </c>
      <c r="BV192" s="1">
        <v>14</v>
      </c>
      <c r="BW192" s="1">
        <v>23</v>
      </c>
      <c r="BX192" s="1">
        <v>332</v>
      </c>
      <c r="BY192" s="1">
        <v>396</v>
      </c>
      <c r="BZ192" s="1">
        <v>52</v>
      </c>
    </row>
    <row r="193" spans="1:78">
      <c r="A193" s="16">
        <v>21</v>
      </c>
      <c r="B193" s="59" t="s">
        <v>286</v>
      </c>
      <c r="C193" s="60" t="s">
        <v>384</v>
      </c>
      <c r="D193" s="59" t="s">
        <v>640</v>
      </c>
      <c r="E193" s="59" t="s">
        <v>242</v>
      </c>
      <c r="F193" s="59" t="s">
        <v>479</v>
      </c>
      <c r="G193" s="59" t="s">
        <v>244</v>
      </c>
      <c r="H193" s="11">
        <v>12357441</v>
      </c>
      <c r="I193" s="11">
        <v>12391020</v>
      </c>
      <c r="J193" s="11">
        <v>597406</v>
      </c>
      <c r="K193" s="52">
        <v>130057</v>
      </c>
      <c r="L193" s="52">
        <v>607400</v>
      </c>
      <c r="M193" s="52">
        <v>0</v>
      </c>
      <c r="N193" s="52">
        <v>4781193</v>
      </c>
      <c r="O193" s="52">
        <v>0</v>
      </c>
      <c r="P193" s="52">
        <v>418966</v>
      </c>
      <c r="Q193" s="52">
        <v>0</v>
      </c>
      <c r="R193" s="11">
        <v>3521145</v>
      </c>
      <c r="S193" s="11">
        <v>888505</v>
      </c>
      <c r="T193" s="11">
        <v>19662</v>
      </c>
      <c r="U193" s="11">
        <v>0</v>
      </c>
      <c r="V193" s="11">
        <v>11033474</v>
      </c>
      <c r="W193" s="13">
        <v>0.16</v>
      </c>
      <c r="X193" s="11">
        <v>0</v>
      </c>
      <c r="Y193" s="26">
        <f>666394/10716444</f>
        <v>6.2184246938630013E-2</v>
      </c>
      <c r="Z193" s="11">
        <v>666546</v>
      </c>
      <c r="AA193" s="11">
        <v>0</v>
      </c>
      <c r="AB193" s="11">
        <f>33579+1504.88</f>
        <v>35083.879999999997</v>
      </c>
      <c r="AC193" s="11">
        <v>296002</v>
      </c>
      <c r="AD193" s="11">
        <v>21976</v>
      </c>
      <c r="AE193" s="11">
        <v>16124</v>
      </c>
      <c r="AF193" s="11">
        <f>26011+5216</f>
        <v>31227</v>
      </c>
      <c r="AG193" s="11">
        <v>0</v>
      </c>
      <c r="AH193" s="11">
        <v>34838</v>
      </c>
      <c r="AI193" s="11">
        <v>0</v>
      </c>
      <c r="AJ193" s="11">
        <v>0</v>
      </c>
      <c r="AK193" s="11">
        <f>20453+25952+44408</f>
        <v>90813</v>
      </c>
      <c r="AL193" s="11">
        <v>9843</v>
      </c>
      <c r="AM193" s="11">
        <v>1492</v>
      </c>
      <c r="AN193" s="11">
        <v>0</v>
      </c>
      <c r="AO193" s="11">
        <v>0</v>
      </c>
      <c r="AP193" s="11">
        <v>7774</v>
      </c>
      <c r="AQ193" s="11">
        <v>20886</v>
      </c>
      <c r="AR193" s="11">
        <v>565989</v>
      </c>
      <c r="AS193" s="11">
        <v>627870</v>
      </c>
      <c r="AT193" s="11">
        <v>0</v>
      </c>
      <c r="AU193" s="11">
        <v>0</v>
      </c>
      <c r="AV193" s="11">
        <v>143628</v>
      </c>
      <c r="AW193" s="11">
        <v>0</v>
      </c>
      <c r="AX193" s="11">
        <v>79332</v>
      </c>
      <c r="AY193" s="11">
        <v>0</v>
      </c>
      <c r="AZ193" s="11">
        <v>0</v>
      </c>
      <c r="BA193" s="11">
        <v>0</v>
      </c>
      <c r="BB193" s="11">
        <v>2026</v>
      </c>
      <c r="BC193" s="11">
        <v>1201</v>
      </c>
      <c r="BD193" s="11">
        <v>0</v>
      </c>
      <c r="BE193" s="11">
        <v>0</v>
      </c>
      <c r="BF193" s="11">
        <v>-139</v>
      </c>
      <c r="BG193" s="11">
        <v>-479</v>
      </c>
      <c r="BH193" s="11">
        <v>-144</v>
      </c>
      <c r="BI193" s="11">
        <v>-2</v>
      </c>
      <c r="BJ193" s="11">
        <f t="shared" si="11"/>
        <v>2463</v>
      </c>
      <c r="BK193" s="1">
        <v>0</v>
      </c>
      <c r="BL193" s="1">
        <v>71</v>
      </c>
      <c r="BM193" s="1">
        <v>18</v>
      </c>
      <c r="BN193" s="1">
        <v>51</v>
      </c>
      <c r="BO193" s="1">
        <v>0</v>
      </c>
      <c r="BP193" s="1">
        <v>6</v>
      </c>
      <c r="BQ193" s="1">
        <v>0</v>
      </c>
      <c r="BR193" s="1">
        <v>2</v>
      </c>
      <c r="BS193" s="1">
        <v>26</v>
      </c>
      <c r="BT193" s="1">
        <v>42</v>
      </c>
      <c r="BU193" s="1">
        <v>0</v>
      </c>
      <c r="BV193" s="1">
        <v>1</v>
      </c>
      <c r="BW193" s="1">
        <v>6</v>
      </c>
      <c r="BX193" s="1">
        <v>45</v>
      </c>
      <c r="BY193" s="1">
        <v>171</v>
      </c>
      <c r="BZ193" s="1">
        <v>13</v>
      </c>
    </row>
    <row r="194" spans="1:78">
      <c r="A194" s="16">
        <v>21</v>
      </c>
      <c r="B194" s="1" t="s">
        <v>297</v>
      </c>
      <c r="C194" s="62" t="s">
        <v>457</v>
      </c>
      <c r="D194" s="1" t="s">
        <v>299</v>
      </c>
      <c r="E194" s="59" t="s">
        <v>242</v>
      </c>
      <c r="F194" s="59" t="s">
        <v>618</v>
      </c>
      <c r="G194" s="59" t="s">
        <v>244</v>
      </c>
      <c r="H194" s="11">
        <v>52985688</v>
      </c>
      <c r="I194" s="11">
        <v>53321764</v>
      </c>
      <c r="J194" s="11">
        <v>2385197</v>
      </c>
      <c r="K194" s="52">
        <v>12162306</v>
      </c>
      <c r="L194" s="52">
        <v>2331283</v>
      </c>
      <c r="M194" s="52">
        <v>2289799</v>
      </c>
      <c r="N194" s="52">
        <v>16573506</v>
      </c>
      <c r="O194" s="52">
        <v>49276</v>
      </c>
      <c r="P194" s="52">
        <v>328420</v>
      </c>
      <c r="Q194" s="52">
        <v>921017</v>
      </c>
      <c r="R194" s="11">
        <v>5390622</v>
      </c>
      <c r="S194" s="11">
        <v>5215807</v>
      </c>
      <c r="T194" s="11">
        <v>-39</v>
      </c>
      <c r="U194" s="11">
        <v>0</v>
      </c>
      <c r="V194" s="11">
        <v>46564008</v>
      </c>
      <c r="W194" s="13">
        <v>0.29349999999999998</v>
      </c>
      <c r="X194" s="11">
        <v>0</v>
      </c>
      <c r="Y194" s="26">
        <f>1301362/46564047</f>
        <v>2.7947785552230889E-2</v>
      </c>
      <c r="Z194" s="11">
        <v>1301994</v>
      </c>
      <c r="AA194" s="11">
        <v>0</v>
      </c>
      <c r="AB194" s="11">
        <f>315508+29382+3257</f>
        <v>348147</v>
      </c>
      <c r="AC194" s="11">
        <v>872776</v>
      </c>
      <c r="AD194" s="11">
        <v>70809</v>
      </c>
      <c r="AE194" s="11">
        <v>127210</v>
      </c>
      <c r="AF194" s="11">
        <v>128963</v>
      </c>
      <c r="AG194" s="11">
        <v>7094</v>
      </c>
      <c r="AH194" s="11">
        <v>37941</v>
      </c>
      <c r="AI194" s="11">
        <v>11101</v>
      </c>
      <c r="AJ194" s="11">
        <v>0</v>
      </c>
      <c r="AK194" s="11">
        <f>14575+40183+65278</f>
        <v>120036</v>
      </c>
      <c r="AL194" s="11">
        <v>12409</v>
      </c>
      <c r="AM194" s="11">
        <v>1688</v>
      </c>
      <c r="AN194" s="11">
        <v>0</v>
      </c>
      <c r="AO194" s="11">
        <v>968</v>
      </c>
      <c r="AP194" s="11">
        <v>31328</v>
      </c>
      <c r="AQ194" s="11">
        <v>0</v>
      </c>
      <c r="AR194" s="11">
        <v>1510733</v>
      </c>
      <c r="AS194" s="11">
        <v>1551201</v>
      </c>
      <c r="AT194" s="11">
        <v>0</v>
      </c>
      <c r="AU194" s="11">
        <v>0</v>
      </c>
      <c r="AV194" s="11">
        <v>143628</v>
      </c>
      <c r="AW194" s="11">
        <v>0</v>
      </c>
      <c r="AX194" s="11">
        <v>128116</v>
      </c>
      <c r="AY194" s="11">
        <v>0</v>
      </c>
      <c r="AZ194" s="11">
        <v>0</v>
      </c>
      <c r="BA194" s="11">
        <v>0</v>
      </c>
      <c r="BB194" s="11">
        <v>8382</v>
      </c>
      <c r="BC194" s="11">
        <v>5066</v>
      </c>
      <c r="BD194" s="11">
        <v>0</v>
      </c>
      <c r="BE194" s="11">
        <f>1+95-2</f>
        <v>94</v>
      </c>
      <c r="BF194" s="11">
        <v>-316</v>
      </c>
      <c r="BG194" s="11">
        <v>-1951</v>
      </c>
      <c r="BH194" s="11">
        <v>-312</v>
      </c>
      <c r="BI194" s="11">
        <v>-3</v>
      </c>
      <c r="BJ194" s="11">
        <f t="shared" si="11"/>
        <v>10960</v>
      </c>
      <c r="BK194" s="1">
        <v>21</v>
      </c>
      <c r="BL194" s="1">
        <v>43</v>
      </c>
      <c r="BM194" s="1">
        <v>26</v>
      </c>
      <c r="BN194" s="1">
        <v>414</v>
      </c>
      <c r="BO194" s="1">
        <v>1</v>
      </c>
      <c r="BP194" s="1">
        <v>24</v>
      </c>
      <c r="BQ194" s="1">
        <v>0</v>
      </c>
      <c r="BR194" s="1">
        <v>0</v>
      </c>
      <c r="BS194" s="1">
        <v>40</v>
      </c>
      <c r="BT194" s="1">
        <v>132</v>
      </c>
      <c r="BU194" s="1">
        <v>18</v>
      </c>
      <c r="BV194" s="1">
        <v>9</v>
      </c>
      <c r="BW194" s="1">
        <v>4</v>
      </c>
      <c r="BX194" s="1">
        <v>67</v>
      </c>
      <c r="BY194" s="1">
        <v>454</v>
      </c>
      <c r="BZ194" s="1">
        <v>204</v>
      </c>
    </row>
    <row r="195" spans="1:78">
      <c r="A195" s="16">
        <v>21</v>
      </c>
      <c r="B195" s="59" t="s">
        <v>303</v>
      </c>
      <c r="C195" s="60" t="s">
        <v>110</v>
      </c>
      <c r="D195" s="59" t="s">
        <v>403</v>
      </c>
      <c r="E195" s="59" t="s">
        <v>256</v>
      </c>
      <c r="F195" s="59" t="s">
        <v>431</v>
      </c>
      <c r="G195" s="59" t="s">
        <v>263</v>
      </c>
      <c r="H195" s="11">
        <v>49622420</v>
      </c>
      <c r="I195" s="11">
        <v>49852033</v>
      </c>
      <c r="J195" s="11">
        <v>1043664</v>
      </c>
      <c r="K195" s="52">
        <v>9381885</v>
      </c>
      <c r="L195" s="52">
        <v>917866</v>
      </c>
      <c r="M195" s="52">
        <v>22400227</v>
      </c>
      <c r="N195" s="52">
        <v>0</v>
      </c>
      <c r="O195" s="52">
        <v>2365</v>
      </c>
      <c r="P195" s="52">
        <v>2165616</v>
      </c>
      <c r="Q195" s="52">
        <v>0</v>
      </c>
      <c r="R195" s="11">
        <v>8350921</v>
      </c>
      <c r="S195" s="11">
        <v>3352083</v>
      </c>
      <c r="T195" s="11">
        <v>21528</v>
      </c>
      <c r="U195" s="11">
        <v>0</v>
      </c>
      <c r="V195" s="11">
        <v>48418399</v>
      </c>
      <c r="W195" s="13">
        <v>0.10100000000000001</v>
      </c>
      <c r="X195" s="11">
        <v>0</v>
      </c>
      <c r="Y195" s="26">
        <f>1747519/48237060</f>
        <v>3.6227726150806043E-2</v>
      </c>
      <c r="Z195" s="11">
        <v>1747613</v>
      </c>
      <c r="AA195" s="11">
        <v>0</v>
      </c>
      <c r="AB195" s="11">
        <f>178655+19817+15020</f>
        <v>213492</v>
      </c>
      <c r="AC195" s="11">
        <v>997209</v>
      </c>
      <c r="AD195" s="11">
        <v>75846</v>
      </c>
      <c r="AE195" s="11">
        <v>245236</v>
      </c>
      <c r="AF195" s="11">
        <v>128509</v>
      </c>
      <c r="AG195" s="11">
        <v>5936</v>
      </c>
      <c r="AH195" s="11">
        <v>55370</v>
      </c>
      <c r="AI195" s="11">
        <v>211</v>
      </c>
      <c r="AJ195" s="11">
        <v>0</v>
      </c>
      <c r="AK195" s="11">
        <f>31323+41978+59240</f>
        <v>132541</v>
      </c>
      <c r="AL195" s="11">
        <v>13537</v>
      </c>
      <c r="AM195" s="11">
        <v>1130</v>
      </c>
      <c r="AN195" s="11">
        <v>0</v>
      </c>
      <c r="AO195" s="11">
        <v>16261</v>
      </c>
      <c r="AP195" s="11">
        <v>70564</v>
      </c>
      <c r="AQ195" s="11">
        <v>0</v>
      </c>
      <c r="AR195" s="11">
        <v>1845850</v>
      </c>
      <c r="AS195" s="11">
        <v>1878863</v>
      </c>
      <c r="AT195" s="11">
        <v>0</v>
      </c>
      <c r="AU195" s="11">
        <v>0</v>
      </c>
      <c r="AV195" s="11">
        <v>143628</v>
      </c>
      <c r="AW195" s="11">
        <v>0</v>
      </c>
      <c r="AX195" s="11">
        <v>230403</v>
      </c>
      <c r="AY195" s="11">
        <v>0</v>
      </c>
      <c r="AZ195" s="11">
        <v>0</v>
      </c>
      <c r="BA195" s="11">
        <v>0</v>
      </c>
      <c r="BB195" s="11">
        <v>11272</v>
      </c>
      <c r="BC195" s="11">
        <v>4436</v>
      </c>
      <c r="BD195" s="11">
        <v>23</v>
      </c>
      <c r="BE195" s="11">
        <v>-20</v>
      </c>
      <c r="BF195" s="11">
        <v>-500</v>
      </c>
      <c r="BG195" s="11">
        <v>-2247</v>
      </c>
      <c r="BH195" s="11">
        <v>-2115</v>
      </c>
      <c r="BI195" s="11">
        <v>-2</v>
      </c>
      <c r="BJ195" s="11">
        <f t="shared" si="11"/>
        <v>10847</v>
      </c>
      <c r="BK195" s="1">
        <v>9</v>
      </c>
      <c r="BL195" s="1">
        <v>793</v>
      </c>
      <c r="BM195" s="1">
        <v>163</v>
      </c>
      <c r="BN195" s="1">
        <v>528</v>
      </c>
      <c r="BO195" s="1">
        <v>595</v>
      </c>
      <c r="BP195" s="1">
        <v>36</v>
      </c>
      <c r="BQ195" s="1">
        <v>6</v>
      </c>
      <c r="BR195" s="1">
        <v>21</v>
      </c>
      <c r="BS195" s="1">
        <v>112</v>
      </c>
      <c r="BT195" s="1">
        <v>216</v>
      </c>
      <c r="BU195" s="1">
        <v>4</v>
      </c>
      <c r="BV195" s="1">
        <v>45</v>
      </c>
      <c r="BW195" s="1">
        <v>60</v>
      </c>
      <c r="BX195" s="1">
        <v>247</v>
      </c>
      <c r="BY195" s="1">
        <v>1012</v>
      </c>
      <c r="BZ195" s="1">
        <v>34</v>
      </c>
    </row>
    <row r="196" spans="1:78">
      <c r="A196" s="16">
        <v>21</v>
      </c>
      <c r="B196" s="59" t="s">
        <v>392</v>
      </c>
      <c r="C196" s="60" t="s">
        <v>543</v>
      </c>
      <c r="D196" s="59" t="s">
        <v>592</v>
      </c>
      <c r="E196" s="59" t="s">
        <v>533</v>
      </c>
      <c r="F196" s="59"/>
      <c r="G196" s="59" t="s">
        <v>538</v>
      </c>
      <c r="H196" s="11">
        <v>33449474</v>
      </c>
      <c r="I196" s="11">
        <v>33586249</v>
      </c>
      <c r="J196" s="11">
        <v>1022834</v>
      </c>
      <c r="K196" s="52">
        <v>0</v>
      </c>
      <c r="L196" s="52">
        <v>0</v>
      </c>
      <c r="M196" s="52">
        <v>0</v>
      </c>
      <c r="N196" s="52">
        <v>11028528</v>
      </c>
      <c r="O196" s="52">
        <v>0</v>
      </c>
      <c r="P196" s="52">
        <v>0</v>
      </c>
      <c r="Q196" s="52">
        <v>2636851</v>
      </c>
      <c r="R196" s="11">
        <v>11302846</v>
      </c>
      <c r="S196" s="11">
        <v>4365360</v>
      </c>
      <c r="T196" s="11">
        <v>25994</v>
      </c>
      <c r="U196" s="11">
        <v>0</v>
      </c>
      <c r="V196" s="11">
        <v>32099343</v>
      </c>
      <c r="W196" s="13">
        <v>0.13689999999999999</v>
      </c>
      <c r="X196" s="11">
        <v>0</v>
      </c>
      <c r="Y196" s="26">
        <f>2290878/31598315</f>
        <v>7.2500005142679291E-2</v>
      </c>
      <c r="Z196" s="11">
        <v>2264731</v>
      </c>
      <c r="AA196" s="11">
        <v>0</v>
      </c>
      <c r="AB196" s="11">
        <f>131008+17329+7231</f>
        <v>155568</v>
      </c>
      <c r="AC196" s="11">
        <v>1220024</v>
      </c>
      <c r="AD196" s="11">
        <v>105096</v>
      </c>
      <c r="AE196" s="11">
        <v>206736</v>
      </c>
      <c r="AF196" s="11">
        <f>118941+41075</f>
        <v>160016</v>
      </c>
      <c r="AG196" s="11">
        <v>8190</v>
      </c>
      <c r="AH196" s="11">
        <v>23332</v>
      </c>
      <c r="AI196" s="11">
        <v>59225</v>
      </c>
      <c r="AJ196" s="11">
        <v>68054</v>
      </c>
      <c r="AK196" s="11">
        <f>48884+17013+64840</f>
        <v>130737</v>
      </c>
      <c r="AL196" s="11">
        <v>23521</v>
      </c>
      <c r="AM196" s="11">
        <v>2121</v>
      </c>
      <c r="AN196" s="11">
        <v>0</v>
      </c>
      <c r="AO196" s="11">
        <v>0</v>
      </c>
      <c r="AP196" s="11">
        <v>115674</v>
      </c>
      <c r="AQ196" s="11">
        <v>0</v>
      </c>
      <c r="AR196" s="11">
        <v>2332302</v>
      </c>
      <c r="AS196" s="11">
        <v>2439688</v>
      </c>
      <c r="AT196" s="11">
        <v>0</v>
      </c>
      <c r="AU196" s="11">
        <v>0</v>
      </c>
      <c r="AV196" s="11">
        <v>143628</v>
      </c>
      <c r="AW196" s="11">
        <v>0</v>
      </c>
      <c r="AX196" s="11">
        <v>226730</v>
      </c>
      <c r="AY196" s="11">
        <v>0</v>
      </c>
      <c r="AZ196" s="11">
        <v>0</v>
      </c>
      <c r="BA196" s="11">
        <v>0</v>
      </c>
      <c r="BB196" s="11">
        <v>16570</v>
      </c>
      <c r="BC196" s="11">
        <v>5076</v>
      </c>
      <c r="BD196" s="11">
        <v>0</v>
      </c>
      <c r="BE196" s="11">
        <v>0</v>
      </c>
      <c r="BF196" s="11">
        <v>-583</v>
      </c>
      <c r="BG196" s="11">
        <v>-3724</v>
      </c>
      <c r="BH196" s="11">
        <v>-1469</v>
      </c>
      <c r="BI196" s="11">
        <v>0</v>
      </c>
      <c r="BJ196" s="11">
        <f t="shared" si="11"/>
        <v>15870</v>
      </c>
      <c r="BK196" s="1">
        <v>256</v>
      </c>
      <c r="BL196" s="1">
        <v>130</v>
      </c>
      <c r="BM196" s="1">
        <v>104</v>
      </c>
      <c r="BN196" s="1">
        <v>977</v>
      </c>
      <c r="BO196" s="1">
        <v>104</v>
      </c>
      <c r="BP196" s="1">
        <v>0</v>
      </c>
      <c r="BQ196" s="1" t="s">
        <v>456</v>
      </c>
      <c r="BR196" s="1" t="s">
        <v>456</v>
      </c>
      <c r="BS196" s="1" t="s">
        <v>456</v>
      </c>
      <c r="BT196" s="1" t="s">
        <v>456</v>
      </c>
      <c r="BU196" s="1" t="s">
        <v>456</v>
      </c>
      <c r="BV196" s="1" t="s">
        <v>456</v>
      </c>
      <c r="BW196" s="1" t="s">
        <v>456</v>
      </c>
      <c r="BX196" s="1" t="s">
        <v>456</v>
      </c>
      <c r="BY196" s="1" t="s">
        <v>456</v>
      </c>
      <c r="BZ196" s="1" t="s">
        <v>456</v>
      </c>
    </row>
    <row r="197" spans="1:78">
      <c r="A197" s="16">
        <v>21</v>
      </c>
      <c r="B197" s="59" t="s">
        <v>612</v>
      </c>
      <c r="C197" s="60" t="s">
        <v>365</v>
      </c>
      <c r="D197" s="59" t="s">
        <v>145</v>
      </c>
      <c r="E197" s="59" t="s">
        <v>256</v>
      </c>
      <c r="F197" s="59" t="s">
        <v>431</v>
      </c>
      <c r="G197" s="59" t="s">
        <v>263</v>
      </c>
      <c r="H197" s="11">
        <v>45205648</v>
      </c>
      <c r="I197" s="11">
        <v>45415840</v>
      </c>
      <c r="J197" s="11">
        <v>907769</v>
      </c>
      <c r="K197" s="52">
        <v>7321815</v>
      </c>
      <c r="L197" s="52">
        <v>1245146</v>
      </c>
      <c r="M197" s="52">
        <v>22590994</v>
      </c>
      <c r="N197" s="52">
        <v>0</v>
      </c>
      <c r="O197" s="52">
        <v>12926</v>
      </c>
      <c r="P197" s="52">
        <v>1538937</v>
      </c>
      <c r="Q197" s="52">
        <v>0</v>
      </c>
      <c r="R197" s="11">
        <v>5388745</v>
      </c>
      <c r="S197" s="11">
        <v>3717970</v>
      </c>
      <c r="T197" s="11">
        <v>37719</v>
      </c>
      <c r="U197" s="11">
        <v>0</v>
      </c>
      <c r="V197" s="11">
        <v>43586058</v>
      </c>
      <c r="W197" s="13">
        <v>0.11</v>
      </c>
      <c r="X197" s="11">
        <v>0</v>
      </c>
      <c r="Y197" s="26">
        <f>1559209/43435037</f>
        <v>3.5897494458218146E-2</v>
      </c>
      <c r="Z197" s="11">
        <v>1559711</v>
      </c>
      <c r="AA197" s="11">
        <v>0</v>
      </c>
      <c r="AB197" s="11">
        <f>207661+1071+10605</f>
        <v>219337</v>
      </c>
      <c r="AC197" s="11">
        <v>859951</v>
      </c>
      <c r="AD197" s="11">
        <v>68118</v>
      </c>
      <c r="AE197" s="11">
        <v>240850</v>
      </c>
      <c r="AF197" s="11">
        <v>149696</v>
      </c>
      <c r="AG197" s="11">
        <v>5165</v>
      </c>
      <c r="AH197" s="11">
        <v>33776</v>
      </c>
      <c r="AI197" s="11">
        <v>0</v>
      </c>
      <c r="AJ197" s="11">
        <v>0</v>
      </c>
      <c r="AK197" s="11">
        <f>40755+57712+55815</f>
        <v>154282</v>
      </c>
      <c r="AL197" s="11">
        <v>13363</v>
      </c>
      <c r="AM197" s="11">
        <v>862</v>
      </c>
      <c r="AN197" s="11">
        <v>0</v>
      </c>
      <c r="AO197" s="11">
        <v>1548</v>
      </c>
      <c r="AP197" s="11">
        <v>72389</v>
      </c>
      <c r="AQ197" s="11">
        <v>0</v>
      </c>
      <c r="AR197" s="11">
        <v>1704821</v>
      </c>
      <c r="AS197" s="11">
        <v>1703042</v>
      </c>
      <c r="AT197" s="11">
        <v>0</v>
      </c>
      <c r="AU197" s="11">
        <v>0</v>
      </c>
      <c r="AV197" s="11">
        <v>143628</v>
      </c>
      <c r="AW197" s="11">
        <v>0</v>
      </c>
      <c r="AX197" s="11">
        <v>192145</v>
      </c>
      <c r="AY197" s="11">
        <v>0</v>
      </c>
      <c r="AZ197" s="11">
        <v>0</v>
      </c>
      <c r="BA197" s="11">
        <v>0</v>
      </c>
      <c r="BB197" s="11">
        <v>11070</v>
      </c>
      <c r="BC197" s="11">
        <v>5174</v>
      </c>
      <c r="BD197" s="11">
        <v>72</v>
      </c>
      <c r="BE197" s="11">
        <f>-3-19</f>
        <v>-22</v>
      </c>
      <c r="BF197" s="11">
        <v>-445</v>
      </c>
      <c r="BG197" s="11">
        <v>-2402</v>
      </c>
      <c r="BH197" s="11">
        <v>-1536</v>
      </c>
      <c r="BI197" s="11">
        <v>-1</v>
      </c>
      <c r="BJ197" s="11">
        <f t="shared" si="11"/>
        <v>11910</v>
      </c>
      <c r="BK197" s="1">
        <v>13</v>
      </c>
      <c r="BL197" s="1">
        <v>246</v>
      </c>
      <c r="BM197" s="1">
        <v>138</v>
      </c>
      <c r="BN197" s="1">
        <v>507</v>
      </c>
      <c r="BO197" s="1">
        <v>614</v>
      </c>
      <c r="BP197" s="1">
        <v>31</v>
      </c>
      <c r="BQ197" s="1">
        <v>3</v>
      </c>
      <c r="BR197" s="1">
        <v>10</v>
      </c>
      <c r="BS197" s="1">
        <v>70</v>
      </c>
      <c r="BT197" s="1">
        <v>240</v>
      </c>
      <c r="BU197" s="1">
        <v>3</v>
      </c>
      <c r="BV197" s="1">
        <v>10</v>
      </c>
      <c r="BW197" s="1">
        <v>25</v>
      </c>
      <c r="BX197" s="1">
        <v>262</v>
      </c>
      <c r="BY197" s="1">
        <v>1272</v>
      </c>
      <c r="BZ197" s="1">
        <v>38</v>
      </c>
    </row>
    <row r="198" spans="1:78">
      <c r="A198" s="16">
        <v>21</v>
      </c>
      <c r="B198" s="59" t="s">
        <v>613</v>
      </c>
      <c r="C198" s="60" t="s">
        <v>646</v>
      </c>
      <c r="D198" s="59" t="s">
        <v>91</v>
      </c>
      <c r="E198" s="59" t="s">
        <v>242</v>
      </c>
      <c r="F198" s="59" t="s">
        <v>431</v>
      </c>
      <c r="G198" s="59" t="s">
        <v>244</v>
      </c>
      <c r="H198" s="11">
        <v>41164901</v>
      </c>
      <c r="I198" s="11">
        <v>41315901</v>
      </c>
      <c r="J198" s="11">
        <v>2763840</v>
      </c>
      <c r="K198" s="52">
        <v>0</v>
      </c>
      <c r="L198" s="52">
        <v>4585393</v>
      </c>
      <c r="M198" s="52">
        <v>0</v>
      </c>
      <c r="N198" s="52">
        <v>7502418</v>
      </c>
      <c r="O198" s="52">
        <v>0</v>
      </c>
      <c r="P198" s="52">
        <v>3372124</v>
      </c>
      <c r="Q198" s="52">
        <v>0</v>
      </c>
      <c r="R198" s="11">
        <v>19913116</v>
      </c>
      <c r="S198" s="11">
        <v>1337204</v>
      </c>
      <c r="T198" s="11">
        <v>116816</v>
      </c>
      <c r="U198" s="11">
        <v>0</v>
      </c>
      <c r="V198" s="11">
        <v>38758895</v>
      </c>
      <c r="W198" s="13">
        <v>0.15959999999999999</v>
      </c>
      <c r="X198" s="11">
        <v>0</v>
      </c>
      <c r="Y198" s="26">
        <f>1932104/38642079</f>
        <v>5.000000129392624E-2</v>
      </c>
      <c r="Z198" s="11">
        <v>1931824</v>
      </c>
      <c r="AA198" s="11">
        <v>0</v>
      </c>
      <c r="AB198" s="11">
        <f>151000+7027</f>
        <v>158027</v>
      </c>
      <c r="AC198" s="11">
        <v>1003819</v>
      </c>
      <c r="AD198" s="11">
        <v>74740</v>
      </c>
      <c r="AE198" s="11">
        <v>230014</v>
      </c>
      <c r="AF198" s="11">
        <f>125111+12303</f>
        <v>137414</v>
      </c>
      <c r="AG198" s="11">
        <v>0</v>
      </c>
      <c r="AH198" s="11">
        <v>46870</v>
      </c>
      <c r="AI198" s="11">
        <v>22050</v>
      </c>
      <c r="AJ198" s="11">
        <v>189966</v>
      </c>
      <c r="AK198" s="11">
        <f>31685+39207+37219</f>
        <v>108111</v>
      </c>
      <c r="AL198" s="11">
        <v>14570</v>
      </c>
      <c r="AM198" s="11">
        <v>1190</v>
      </c>
      <c r="AN198" s="11">
        <v>0</v>
      </c>
      <c r="AO198" s="11">
        <v>0</v>
      </c>
      <c r="AP198" s="11">
        <v>52912</v>
      </c>
      <c r="AQ198" s="11">
        <v>6099</v>
      </c>
      <c r="AR198" s="11">
        <v>1949209</v>
      </c>
      <c r="AS198" s="11">
        <v>1967880</v>
      </c>
      <c r="AT198" s="11">
        <v>886</v>
      </c>
      <c r="AU198" s="11">
        <v>0</v>
      </c>
      <c r="AV198" s="11">
        <v>143628</v>
      </c>
      <c r="AW198" s="11">
        <v>0</v>
      </c>
      <c r="AX198" s="11">
        <v>300727</v>
      </c>
      <c r="AY198" s="11">
        <v>0</v>
      </c>
      <c r="AZ198" s="11">
        <v>0</v>
      </c>
      <c r="BA198" s="11">
        <v>0</v>
      </c>
      <c r="BB198" s="11">
        <v>10771</v>
      </c>
      <c r="BC198" s="11">
        <v>6855</v>
      </c>
      <c r="BD198" s="11">
        <v>0</v>
      </c>
      <c r="BE198" s="11">
        <f>78-2</f>
        <v>76</v>
      </c>
      <c r="BF198" s="11">
        <v>-474</v>
      </c>
      <c r="BG198" s="11">
        <v>-3333</v>
      </c>
      <c r="BH198" s="11">
        <v>-1533</v>
      </c>
      <c r="BI198" s="11">
        <v>-8</v>
      </c>
      <c r="BJ198" s="11">
        <f t="shared" si="11"/>
        <v>12354</v>
      </c>
      <c r="BK198" s="1">
        <v>0</v>
      </c>
      <c r="BL198" s="1">
        <v>230</v>
      </c>
      <c r="BM198" s="1">
        <v>128</v>
      </c>
      <c r="BN198" s="1">
        <v>1075</v>
      </c>
      <c r="BO198" s="1">
        <v>4</v>
      </c>
      <c r="BP198" s="1">
        <v>89</v>
      </c>
      <c r="BQ198" s="1">
        <v>0</v>
      </c>
      <c r="BR198" s="1">
        <v>5</v>
      </c>
      <c r="BS198" s="1">
        <v>55</v>
      </c>
      <c r="BT198" s="1">
        <v>60</v>
      </c>
      <c r="BU198" s="1">
        <v>3</v>
      </c>
      <c r="BV198" s="1">
        <v>17</v>
      </c>
      <c r="BW198" s="1">
        <v>21</v>
      </c>
      <c r="BX198" s="1">
        <v>234</v>
      </c>
      <c r="BY198" s="1">
        <v>609</v>
      </c>
      <c r="BZ198" s="1">
        <v>111</v>
      </c>
    </row>
    <row r="199" spans="1:78">
      <c r="A199" s="16">
        <v>21</v>
      </c>
      <c r="B199" s="59" t="s">
        <v>649</v>
      </c>
      <c r="C199" s="60" t="s">
        <v>552</v>
      </c>
      <c r="D199" s="59" t="s">
        <v>51</v>
      </c>
      <c r="E199" s="59" t="s">
        <v>256</v>
      </c>
      <c r="F199" s="59" t="s">
        <v>479</v>
      </c>
      <c r="G199" s="59" t="s">
        <v>263</v>
      </c>
      <c r="H199" s="11">
        <v>87446838</v>
      </c>
      <c r="I199" s="11">
        <v>87847378</v>
      </c>
      <c r="J199" s="11">
        <v>3188018</v>
      </c>
      <c r="K199" s="52">
        <v>140645</v>
      </c>
      <c r="L199" s="52">
        <v>1668785</v>
      </c>
      <c r="M199" s="52">
        <v>50206298</v>
      </c>
      <c r="N199" s="52">
        <v>0</v>
      </c>
      <c r="O199" s="52">
        <v>0</v>
      </c>
      <c r="P199" s="52">
        <v>3908443</v>
      </c>
      <c r="Q199" s="52">
        <v>0</v>
      </c>
      <c r="R199" s="11">
        <v>14987466</v>
      </c>
      <c r="S199" s="11">
        <v>10058672</v>
      </c>
      <c r="T199" s="11">
        <v>11809</v>
      </c>
      <c r="U199" s="11">
        <v>0</v>
      </c>
      <c r="V199" s="11">
        <v>84025023</v>
      </c>
      <c r="W199" s="13">
        <v>0.12</v>
      </c>
      <c r="X199" s="11">
        <v>0</v>
      </c>
      <c r="Y199" s="26">
        <f>2267816/84013216</f>
        <v>2.6993562536637095E-2</v>
      </c>
      <c r="Z199" s="11">
        <v>2266252</v>
      </c>
      <c r="AA199" s="11">
        <v>0</v>
      </c>
      <c r="AB199" s="11">
        <f>400540+22873</f>
        <v>423413</v>
      </c>
      <c r="AC199" s="11">
        <v>1449556</v>
      </c>
      <c r="AD199" s="11">
        <v>105795</v>
      </c>
      <c r="AE199" s="11">
        <v>319757</v>
      </c>
      <c r="AF199" s="11">
        <f>218747+548</f>
        <v>219295</v>
      </c>
      <c r="AG199" s="11">
        <v>3503</v>
      </c>
      <c r="AH199" s="11">
        <v>39198</v>
      </c>
      <c r="AI199" s="11">
        <v>58243</v>
      </c>
      <c r="AJ199" s="11">
        <v>0</v>
      </c>
      <c r="AK199" s="11">
        <f>23472+90246+73546</f>
        <v>187264</v>
      </c>
      <c r="AL199" s="11">
        <v>17140</v>
      </c>
      <c r="AM199" s="11">
        <v>3692</v>
      </c>
      <c r="AN199" s="11">
        <v>0</v>
      </c>
      <c r="AO199" s="11">
        <v>0</v>
      </c>
      <c r="AP199" s="11">
        <v>68334</v>
      </c>
      <c r="AQ199" s="11">
        <v>0</v>
      </c>
      <c r="AR199" s="11">
        <v>2657708</v>
      </c>
      <c r="AS199" s="11">
        <v>2753764</v>
      </c>
      <c r="AT199" s="11">
        <v>0</v>
      </c>
      <c r="AU199" s="11">
        <v>0</v>
      </c>
      <c r="AV199" s="11">
        <v>143627</v>
      </c>
      <c r="AW199" s="11">
        <v>0</v>
      </c>
      <c r="AX199" s="11">
        <v>275115</v>
      </c>
      <c r="AY199" s="11">
        <v>0</v>
      </c>
      <c r="AZ199" s="11">
        <v>0</v>
      </c>
      <c r="BA199" s="11">
        <v>0</v>
      </c>
      <c r="BB199" s="11">
        <v>19476</v>
      </c>
      <c r="BC199" s="11">
        <v>10277</v>
      </c>
      <c r="BD199" s="11">
        <v>27</v>
      </c>
      <c r="BE199" s="11">
        <f>11+44-10</f>
        <v>45</v>
      </c>
      <c r="BF199" s="11">
        <v>-976</v>
      </c>
      <c r="BG199" s="11">
        <v>-6949</v>
      </c>
      <c r="BH199" s="11">
        <v>-3021</v>
      </c>
      <c r="BI199" s="11">
        <v>-3</v>
      </c>
      <c r="BJ199" s="11">
        <f t="shared" si="11"/>
        <v>18876</v>
      </c>
      <c r="BK199" s="1">
        <v>27</v>
      </c>
      <c r="BL199" s="1">
        <v>1409</v>
      </c>
      <c r="BM199" s="1">
        <v>216</v>
      </c>
      <c r="BN199" s="1">
        <v>1269</v>
      </c>
      <c r="BO199" s="16">
        <v>0</v>
      </c>
      <c r="BP199" s="16">
        <v>147</v>
      </c>
      <c r="BQ199" s="1">
        <v>7</v>
      </c>
      <c r="BR199" s="1">
        <v>22</v>
      </c>
      <c r="BS199" s="1">
        <v>143</v>
      </c>
      <c r="BT199" s="1">
        <v>557</v>
      </c>
      <c r="BU199" s="1">
        <v>13</v>
      </c>
      <c r="BV199" s="1">
        <v>63</v>
      </c>
      <c r="BW199" s="1">
        <v>89</v>
      </c>
      <c r="BX199" s="1">
        <v>438</v>
      </c>
      <c r="BY199" s="1">
        <v>2996</v>
      </c>
      <c r="BZ199" s="1">
        <v>330</v>
      </c>
    </row>
    <row r="200" spans="1:78">
      <c r="A200" s="16">
        <v>21</v>
      </c>
      <c r="B200" s="1" t="s">
        <v>689</v>
      </c>
      <c r="C200" s="62" t="s">
        <v>381</v>
      </c>
      <c r="D200" s="1" t="s">
        <v>502</v>
      </c>
      <c r="E200" s="1" t="s">
        <v>242</v>
      </c>
      <c r="F200" s="59" t="s">
        <v>431</v>
      </c>
      <c r="G200" s="59" t="s">
        <v>244</v>
      </c>
      <c r="H200" s="11">
        <v>44562043</v>
      </c>
      <c r="I200" s="11">
        <v>44682727</v>
      </c>
      <c r="J200" s="11">
        <v>1217774</v>
      </c>
      <c r="K200" s="52">
        <v>24795338</v>
      </c>
      <c r="L200" s="52">
        <v>3308568</v>
      </c>
      <c r="M200" s="52">
        <v>9751226</v>
      </c>
      <c r="N200" s="52">
        <v>0</v>
      </c>
      <c r="O200" s="52">
        <v>0</v>
      </c>
      <c r="P200" s="52">
        <v>1861617</v>
      </c>
      <c r="Q200" s="52">
        <v>0</v>
      </c>
      <c r="R200" s="11">
        <v>2487386</v>
      </c>
      <c r="S200" s="11">
        <v>1036087</v>
      </c>
      <c r="T200" s="11">
        <v>215573</v>
      </c>
      <c r="U200" s="11">
        <v>0</v>
      </c>
      <c r="V200" s="11">
        <v>44451178</v>
      </c>
      <c r="W200" s="13">
        <v>0.12</v>
      </c>
      <c r="X200" s="11">
        <v>0</v>
      </c>
      <c r="Y200" s="26">
        <f>983721/36434097</f>
        <v>2.700001045723735E-2</v>
      </c>
      <c r="Z200" s="11">
        <v>984536</v>
      </c>
      <c r="AA200" s="11">
        <v>0</v>
      </c>
      <c r="AB200" s="11">
        <f>112504+6026+1295</f>
        <v>119825</v>
      </c>
      <c r="AC200" s="11">
        <v>547431</v>
      </c>
      <c r="AD200" s="11">
        <v>43251</v>
      </c>
      <c r="AE200" s="11">
        <v>48156</v>
      </c>
      <c r="AF200" s="11">
        <v>128026</v>
      </c>
      <c r="AG200" s="11">
        <v>5056</v>
      </c>
      <c r="AH200" s="11">
        <v>24391</v>
      </c>
      <c r="AI200" s="11">
        <v>4129</v>
      </c>
      <c r="AJ200" s="11">
        <v>0</v>
      </c>
      <c r="AK200" s="11">
        <f>14326+62549+95786</f>
        <v>172661</v>
      </c>
      <c r="AL200" s="11">
        <v>11008</v>
      </c>
      <c r="AM200" s="11">
        <v>1484</v>
      </c>
      <c r="AN200" s="11">
        <v>0</v>
      </c>
      <c r="AO200" s="11">
        <v>6551</v>
      </c>
      <c r="AP200" s="11">
        <v>37693</v>
      </c>
      <c r="AQ200" s="11">
        <v>0</v>
      </c>
      <c r="AR200" s="11">
        <v>1105102</v>
      </c>
      <c r="AS200" s="11">
        <v>1189720</v>
      </c>
      <c r="AT200" s="11">
        <v>0</v>
      </c>
      <c r="AU200" s="11">
        <v>0</v>
      </c>
      <c r="AV200" s="11">
        <v>143592</v>
      </c>
      <c r="AW200" s="11">
        <v>0</v>
      </c>
      <c r="AX200" s="11">
        <v>114666</v>
      </c>
      <c r="AY200" s="11">
        <v>0</v>
      </c>
      <c r="AZ200" s="11">
        <v>0</v>
      </c>
      <c r="BA200" s="11">
        <v>0</v>
      </c>
      <c r="BB200" s="11">
        <v>5025</v>
      </c>
      <c r="BC200" s="11">
        <v>2244</v>
      </c>
      <c r="BD200" s="11">
        <v>0</v>
      </c>
      <c r="BE200" s="11">
        <f>4+30-5</f>
        <v>29</v>
      </c>
      <c r="BF200" s="11">
        <v>-404</v>
      </c>
      <c r="BG200" s="11">
        <v>-1033</v>
      </c>
      <c r="BH200" s="11">
        <v>-322</v>
      </c>
      <c r="BI200" s="11">
        <v>0</v>
      </c>
      <c r="BJ200" s="11">
        <f t="shared" si="11"/>
        <v>5539</v>
      </c>
      <c r="BK200" s="1">
        <v>3</v>
      </c>
      <c r="BL200" s="1">
        <v>97</v>
      </c>
      <c r="BM200" s="1">
        <v>34</v>
      </c>
      <c r="BN200" s="1">
        <v>270</v>
      </c>
      <c r="BO200" s="1">
        <v>2</v>
      </c>
      <c r="BP200" s="1">
        <v>28</v>
      </c>
      <c r="BQ200" s="1">
        <v>12</v>
      </c>
      <c r="BR200" s="1">
        <v>8</v>
      </c>
      <c r="BS200" s="1">
        <v>62</v>
      </c>
      <c r="BT200" s="1">
        <v>77</v>
      </c>
      <c r="BU200" s="1">
        <v>12</v>
      </c>
      <c r="BV200" s="1">
        <v>53</v>
      </c>
      <c r="BW200" s="1">
        <v>23</v>
      </c>
      <c r="BX200" s="1">
        <v>145</v>
      </c>
      <c r="BY200" s="1">
        <v>168</v>
      </c>
      <c r="BZ200" s="1">
        <v>88</v>
      </c>
    </row>
    <row r="201" spans="1:78">
      <c r="A201" s="16">
        <v>21</v>
      </c>
      <c r="B201" s="59" t="s">
        <v>692</v>
      </c>
      <c r="C201" s="60" t="s">
        <v>570</v>
      </c>
      <c r="D201" s="59" t="s">
        <v>253</v>
      </c>
      <c r="E201" s="59" t="s">
        <v>242</v>
      </c>
      <c r="F201" s="59" t="s">
        <v>618</v>
      </c>
      <c r="G201" s="59" t="s">
        <v>244</v>
      </c>
      <c r="H201" s="11">
        <v>49230167</v>
      </c>
      <c r="I201" s="11">
        <v>49395157</v>
      </c>
      <c r="J201" s="11">
        <v>1559428</v>
      </c>
      <c r="K201" s="52">
        <v>24417654</v>
      </c>
      <c r="L201" s="52">
        <v>5604424</v>
      </c>
      <c r="M201" s="52">
        <v>4023822</v>
      </c>
      <c r="N201" s="52">
        <v>0</v>
      </c>
      <c r="O201" s="52">
        <v>137004</v>
      </c>
      <c r="P201" s="52">
        <v>1568410</v>
      </c>
      <c r="Q201" s="52">
        <v>0</v>
      </c>
      <c r="R201" s="11">
        <v>6238029</v>
      </c>
      <c r="S201" s="11">
        <v>2773971</v>
      </c>
      <c r="T201" s="11">
        <v>-85</v>
      </c>
      <c r="U201" s="11">
        <v>0</v>
      </c>
      <c r="V201" s="11">
        <v>46470600</v>
      </c>
      <c r="W201" s="13">
        <v>0.14360000000000001</v>
      </c>
      <c r="X201" s="11">
        <v>0</v>
      </c>
      <c r="Y201" s="26">
        <f>1707371/46470600</f>
        <v>3.674088563521883E-2</v>
      </c>
      <c r="Z201" s="11">
        <v>1707371</v>
      </c>
      <c r="AA201" s="11">
        <v>0</v>
      </c>
      <c r="AB201" s="11">
        <f>154507+14767+4692</f>
        <v>173966</v>
      </c>
      <c r="AC201" s="11">
        <v>870940</v>
      </c>
      <c r="AD201" s="11">
        <v>75819</v>
      </c>
      <c r="AE201" s="11">
        <v>193028</v>
      </c>
      <c r="AF201" s="11">
        <f>150751+10546</f>
        <v>161297</v>
      </c>
      <c r="AG201" s="11">
        <v>4347</v>
      </c>
      <c r="AH201" s="11">
        <v>49529</v>
      </c>
      <c r="AI201" s="11">
        <v>7500</v>
      </c>
      <c r="AJ201" s="11">
        <v>19992</v>
      </c>
      <c r="AK201" s="11">
        <f>33645+45010+48818</f>
        <v>127473</v>
      </c>
      <c r="AL201" s="11">
        <v>16017</v>
      </c>
      <c r="AM201" s="11">
        <v>2373</v>
      </c>
      <c r="AN201" s="11">
        <v>0</v>
      </c>
      <c r="AO201" s="11">
        <v>13912</v>
      </c>
      <c r="AP201" s="11">
        <v>29658</v>
      </c>
      <c r="AQ201" s="11">
        <v>0</v>
      </c>
      <c r="AR201" s="11">
        <v>1688782</v>
      </c>
      <c r="AS201" s="11">
        <v>1764476</v>
      </c>
      <c r="AT201" s="11">
        <v>506</v>
      </c>
      <c r="AU201" s="11">
        <v>0</v>
      </c>
      <c r="AV201" s="11">
        <v>143628</v>
      </c>
      <c r="AW201" s="11">
        <v>0</v>
      </c>
      <c r="AX201" s="11">
        <v>278422</v>
      </c>
      <c r="AY201" s="11">
        <v>0</v>
      </c>
      <c r="AZ201" s="11">
        <v>0</v>
      </c>
      <c r="BA201" s="11">
        <v>0</v>
      </c>
      <c r="BB201" s="11">
        <v>5566</v>
      </c>
      <c r="BC201" s="11">
        <v>3488</v>
      </c>
      <c r="BD201" s="11">
        <v>0</v>
      </c>
      <c r="BE201" s="11">
        <v>47</v>
      </c>
      <c r="BF201" s="11">
        <v>-274</v>
      </c>
      <c r="BG201" s="11">
        <v>-2297</v>
      </c>
      <c r="BH201" s="11">
        <v>-806</v>
      </c>
      <c r="BI201" s="11">
        <v>-1</v>
      </c>
      <c r="BJ201" s="11">
        <f t="shared" si="11"/>
        <v>5723</v>
      </c>
      <c r="BK201" s="1">
        <v>9</v>
      </c>
      <c r="BL201" s="1">
        <v>91</v>
      </c>
      <c r="BM201" s="1">
        <v>64</v>
      </c>
      <c r="BN201" s="1">
        <v>609</v>
      </c>
      <c r="BO201" s="1">
        <v>0</v>
      </c>
      <c r="BP201" s="1">
        <v>43</v>
      </c>
      <c r="BQ201" s="1">
        <v>0</v>
      </c>
      <c r="BR201" s="1">
        <v>5</v>
      </c>
      <c r="BS201" s="1">
        <v>37</v>
      </c>
      <c r="BT201" s="1">
        <v>67</v>
      </c>
      <c r="BU201" s="1">
        <v>4</v>
      </c>
      <c r="BV201" s="1">
        <v>1</v>
      </c>
      <c r="BW201" s="1">
        <v>23</v>
      </c>
      <c r="BX201" s="1">
        <v>166</v>
      </c>
      <c r="BY201" s="1">
        <v>672</v>
      </c>
      <c r="BZ201" s="1">
        <v>36</v>
      </c>
    </row>
    <row r="202" spans="1:78">
      <c r="W202" s="28"/>
      <c r="Y202" s="31"/>
    </row>
    <row r="206" spans="1:78">
      <c r="W206" s="28"/>
      <c r="Y206" s="31"/>
    </row>
    <row r="208" spans="1:78">
      <c r="D208" s="10"/>
      <c r="W208" s="28"/>
      <c r="Y208" s="31"/>
    </row>
    <row r="209" spans="23:25">
      <c r="W209" s="28"/>
      <c r="Y209" s="31"/>
    </row>
    <row r="210" spans="23:25">
      <c r="W210" s="28"/>
      <c r="Y210" s="31"/>
    </row>
    <row r="211" spans="23:25">
      <c r="W211" s="28"/>
      <c r="Y211" s="31"/>
    </row>
    <row r="212" spans="23:25">
      <c r="W212" s="28"/>
      <c r="Y212" s="31"/>
    </row>
  </sheetData>
  <pageMargins left="0.75" right="0.75" top="1" bottom="1" header="0.5" footer="0.5"/>
  <headerFooter>
    <oddHeader>&amp;L&amp;"Arial"&amp;10CHAPTER 13 STANDING TRUSTEE FY01 AUDITED ANNUAL REPORTS</oddHeader>
    <oddFooter>&amp;L&amp;"Arial"&amp;10&amp;D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ColWidth="8" defaultRowHeight="15"/>
  <sheetData>
    <row r="1" spans="1:2">
      <c r="A1" t="s">
        <v>10</v>
      </c>
      <c r="B1" t="s">
        <v>11</v>
      </c>
    </row>
  </sheetData>
  <pageMargins left="0.75" right="0.75" top="1" bottom="1" header="0.5" footer="0.5"/>
  <headerFooter>
    <oddHeader>&amp;L&amp;"Arial"&amp;10CHAPTER 13 STANDING TRUSTEE FY01 AUDITED ANNUAL REPORTS</oddHeader>
    <oddFooter>&amp;L&amp;"Arial"&amp;10&amp;D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37</vt:i4>
      </vt:variant>
    </vt:vector>
  </HeadingPairs>
  <TitlesOfParts>
    <vt:vector size="39" baseType="lpstr">
      <vt:lpstr>A</vt:lpstr>
      <vt:lpstr>B</vt:lpstr>
      <vt:lpstr>_NBSTARTMACRO</vt:lpstr>
      <vt:lpstr>ALLOC2</vt:lpstr>
      <vt:lpstr>ALLOC8</vt:lpstr>
      <vt:lpstr>AUD13</vt:lpstr>
      <vt:lpstr>AUDIT</vt:lpstr>
      <vt:lpstr>AUDIT8</vt:lpstr>
      <vt:lpstr>BU</vt:lpstr>
      <vt:lpstr>CASH</vt:lpstr>
      <vt:lpstr>CASH13</vt:lpstr>
      <vt:lpstr>CASH2</vt:lpstr>
      <vt:lpstr>CASH8</vt:lpstr>
      <vt:lpstr>DATA</vt:lpstr>
      <vt:lpstr>DISB</vt:lpstr>
      <vt:lpstr>DISB13</vt:lpstr>
      <vt:lpstr>DISB8</vt:lpstr>
      <vt:lpstr>DISBTOT8</vt:lpstr>
      <vt:lpstr>ELEVEN</vt:lpstr>
      <vt:lpstr>EN</vt:lpstr>
      <vt:lpstr>EXP</vt:lpstr>
      <vt:lpstr>EXP13</vt:lpstr>
      <vt:lpstr>EXP2</vt:lpstr>
      <vt:lpstr>EXP8</vt:lpstr>
      <vt:lpstr>LO</vt:lpstr>
      <vt:lpstr>LO2</vt:lpstr>
      <vt:lpstr>NAMES</vt:lpstr>
      <vt:lpstr>NINE</vt:lpstr>
      <vt:lpstr>A!Print_Titles</vt:lpstr>
      <vt:lpstr>B!Print_Titles</vt:lpstr>
      <vt:lpstr>RATIO</vt:lpstr>
      <vt:lpstr>REG12</vt:lpstr>
      <vt:lpstr>REG13</vt:lpstr>
      <vt:lpstr>REG17</vt:lpstr>
      <vt:lpstr>SUMDISB</vt:lpstr>
      <vt:lpstr>SUMEXP</vt:lpstr>
      <vt:lpstr>SUMRATIO</vt:lpstr>
      <vt:lpstr>THIRTEEN</vt:lpstr>
      <vt:lpstr>TOTDISB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 Trustee Program</cp:lastModifiedBy>
  <dcterms:created xsi:type="dcterms:W3CDTF">2012-08-29T17:06:02Z</dcterms:created>
  <dcterms:modified xsi:type="dcterms:W3CDTF">2012-08-29T17:06:13Z</dcterms:modified>
</cp:coreProperties>
</file>