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30" windowHeight="8565"/>
  </bookViews>
  <sheets>
    <sheet name="A" sheetId="1" r:id="rId1"/>
  </sheets>
  <definedNames>
    <definedName name="_EXP13">A!$AI$33:$AJ$40</definedName>
    <definedName name="_EXP2">A!$AI$33:$AJ$33</definedName>
    <definedName name="_MT13">A!$P$33:$P$40</definedName>
    <definedName name="_MTH2">A!$P$33:$P$33</definedName>
    <definedName name="DISB">A!$K$32:$O$32</definedName>
    <definedName name="DISB2">A!$K$33:$O$33</definedName>
    <definedName name="EXP">A!$AI$32:$AJ$32</definedName>
    <definedName name="MTH">A!$P$32:$P$32</definedName>
    <definedName name="_xlnm.Print_Titles" localSheetId="0">A!$3:$11</definedName>
  </definedNames>
  <calcPr calcId="145621"/>
</workbook>
</file>

<file path=xl/calcChain.xml><?xml version="1.0" encoding="utf-8"?>
<calcChain xmlns="http://schemas.openxmlformats.org/spreadsheetml/2006/main">
  <c r="AE25" i="1" l="1"/>
  <c r="W25" i="1"/>
  <c r="T25" i="1"/>
  <c r="Q25" i="1"/>
  <c r="AE52" i="1" l="1"/>
  <c r="T52" i="1"/>
  <c r="Q52" i="1"/>
  <c r="AE49" i="1" l="1"/>
  <c r="W49" i="1"/>
  <c r="T49" i="1"/>
  <c r="Q49" i="1"/>
  <c r="T50" i="1" l="1"/>
  <c r="Q50" i="1"/>
  <c r="AE51" i="1" l="1"/>
  <c r="T51" i="1"/>
  <c r="Q51" i="1"/>
  <c r="AE48" i="1" l="1"/>
  <c r="T48" i="1"/>
  <c r="R48" i="1"/>
  <c r="Q48" i="1"/>
  <c r="AE43" i="1" l="1"/>
  <c r="T43" i="1"/>
  <c r="Q43" i="1"/>
  <c r="AE42" i="1" l="1"/>
  <c r="W42" i="1"/>
  <c r="T42" i="1"/>
  <c r="Q42" i="1"/>
  <c r="AE47" i="1" l="1"/>
  <c r="W47" i="1"/>
  <c r="T47" i="1"/>
  <c r="Q47" i="1"/>
  <c r="AE46" i="1"/>
  <c r="W46" i="1"/>
  <c r="T46" i="1"/>
  <c r="Q46" i="1"/>
  <c r="AE45" i="1"/>
  <c r="T45" i="1"/>
  <c r="Q45" i="1"/>
  <c r="AE44" i="1"/>
  <c r="W44" i="1"/>
  <c r="T44" i="1"/>
  <c r="R44" i="1"/>
  <c r="Q44" i="1"/>
  <c r="T22" i="1" l="1"/>
  <c r="Q22" i="1"/>
  <c r="AE21" i="1" l="1"/>
  <c r="W21" i="1"/>
  <c r="T21" i="1"/>
  <c r="Q21" i="1"/>
  <c r="AE36" i="1" l="1"/>
  <c r="W36" i="1"/>
  <c r="T36" i="1"/>
  <c r="Q36" i="1"/>
  <c r="AE24" i="1"/>
  <c r="T24" i="1"/>
  <c r="Q24" i="1"/>
  <c r="AE23" i="1"/>
  <c r="T23" i="1"/>
  <c r="Q23" i="1"/>
  <c r="AE41" i="1" l="1"/>
  <c r="W41" i="1" l="1"/>
  <c r="T41" i="1"/>
  <c r="Q41" i="1"/>
  <c r="AE40" i="1"/>
  <c r="W40" i="1"/>
  <c r="T40" i="1"/>
  <c r="R40" i="1"/>
  <c r="Q40" i="1"/>
  <c r="AE34" i="1"/>
  <c r="W34" i="1"/>
  <c r="T34" i="1"/>
  <c r="Q34" i="1"/>
  <c r="AE33" i="1"/>
  <c r="T33" i="1"/>
  <c r="Q33" i="1"/>
  <c r="R13" i="1" l="1"/>
  <c r="AE39" i="1" l="1"/>
  <c r="T39" i="1"/>
  <c r="S39" i="1"/>
  <c r="R39" i="1"/>
  <c r="Q39" i="1"/>
  <c r="AE38" i="1" l="1"/>
  <c r="T38" i="1"/>
  <c r="Q38" i="1"/>
  <c r="BA43" i="1"/>
  <c r="AE37" i="1"/>
  <c r="T37" i="1"/>
  <c r="Q37" i="1"/>
  <c r="AE35" i="1" l="1"/>
  <c r="T35" i="1"/>
  <c r="R35" i="1"/>
  <c r="Q35" i="1"/>
  <c r="AE32" i="1"/>
  <c r="T32" i="1"/>
  <c r="Q32" i="1"/>
  <c r="AE31" i="1"/>
  <c r="T31" i="1"/>
  <c r="R31" i="1"/>
  <c r="Q31" i="1"/>
  <c r="AO10" i="1" l="1"/>
  <c r="AO9" i="1"/>
  <c r="AE30" i="1"/>
  <c r="T30" i="1"/>
  <c r="R30" i="1"/>
  <c r="Q30" i="1"/>
  <c r="AE29" i="1" l="1"/>
  <c r="T29" i="1"/>
  <c r="Q29" i="1"/>
  <c r="AE28" i="1"/>
  <c r="W28" i="1"/>
  <c r="T28" i="1"/>
  <c r="Q28" i="1"/>
  <c r="AE27" i="1"/>
  <c r="T27" i="1"/>
  <c r="Q27" i="1"/>
  <c r="AE26" i="1"/>
  <c r="W26" i="1"/>
  <c r="T26" i="1"/>
  <c r="Q26" i="1"/>
  <c r="T20" i="1" l="1"/>
  <c r="Q20" i="1"/>
  <c r="AE19" i="1" l="1"/>
  <c r="W19" i="1"/>
  <c r="T19" i="1"/>
  <c r="Q19" i="1"/>
  <c r="W18" i="1"/>
  <c r="T18" i="1"/>
  <c r="Q18" i="1"/>
  <c r="AM17" i="1"/>
  <c r="AJ17" i="1"/>
  <c r="AE17" i="1"/>
  <c r="W17" i="1"/>
  <c r="U17" i="1"/>
  <c r="T17" i="1"/>
  <c r="R17" i="1"/>
  <c r="Q17" i="1"/>
  <c r="O17" i="1"/>
  <c r="N17" i="1"/>
  <c r="K17" i="1"/>
  <c r="I17" i="1"/>
  <c r="H17" i="1"/>
  <c r="AE16" i="1"/>
  <c r="T16" i="1"/>
  <c r="Q16" i="1"/>
  <c r="AE15" i="1"/>
  <c r="W15" i="1"/>
  <c r="T15" i="1"/>
  <c r="Q15" i="1"/>
  <c r="AE14" i="1"/>
  <c r="T14" i="1"/>
  <c r="Q14" i="1"/>
  <c r="AE13" i="1"/>
  <c r="T13" i="1"/>
  <c r="Q1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W12" i="1" l="1"/>
  <c r="T12" i="1"/>
  <c r="Q12" i="1"/>
  <c r="BA42" i="1" l="1"/>
  <c r="BA41" i="1"/>
  <c r="BA52" i="1" l="1"/>
  <c r="BA51" i="1"/>
  <c r="BA50" i="1"/>
  <c r="BA49" i="1"/>
  <c r="BA48" i="1"/>
  <c r="BA47" i="1"/>
  <c r="BA46" i="1"/>
  <c r="BA45" i="1"/>
  <c r="BA44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Q9" i="1" l="1"/>
  <c r="Q10" i="1" l="1"/>
  <c r="S10" i="1" l="1"/>
  <c r="R10" i="1"/>
  <c r="S9" i="1"/>
  <c r="R9" i="1"/>
  <c r="AE10" i="1" l="1"/>
  <c r="W10" i="1"/>
  <c r="BA12" i="1"/>
  <c r="AT9" i="1"/>
  <c r="H9" i="1"/>
  <c r="I9" i="1"/>
  <c r="J9" i="1"/>
  <c r="K9" i="1"/>
  <c r="L9" i="1"/>
  <c r="M9" i="1"/>
  <c r="N9" i="1"/>
  <c r="O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L9" i="1"/>
  <c r="AM9" i="1"/>
  <c r="AN9" i="1"/>
  <c r="AP9" i="1"/>
  <c r="AQ9" i="1"/>
  <c r="AR9" i="1"/>
  <c r="AS9" i="1"/>
  <c r="AU9" i="1"/>
  <c r="AV9" i="1"/>
  <c r="AW9" i="1"/>
  <c r="AX9" i="1"/>
  <c r="AY9" i="1"/>
  <c r="AZ9" i="1"/>
  <c r="BB9" i="1"/>
  <c r="BC9" i="1"/>
  <c r="BD9" i="1"/>
  <c r="BE9" i="1"/>
  <c r="BF9" i="1"/>
  <c r="BG9" i="1"/>
  <c r="H10" i="1"/>
  <c r="I10" i="1"/>
  <c r="J10" i="1"/>
  <c r="K10" i="1"/>
  <c r="L10" i="1"/>
  <c r="M10" i="1"/>
  <c r="N10" i="1"/>
  <c r="O10" i="1"/>
  <c r="P10" i="1"/>
  <c r="T10" i="1"/>
  <c r="U10" i="1"/>
  <c r="V10" i="1"/>
  <c r="X10" i="1"/>
  <c r="Y10" i="1"/>
  <c r="Z10" i="1"/>
  <c r="AA10" i="1"/>
  <c r="AB10" i="1"/>
  <c r="AC10" i="1"/>
  <c r="AD10" i="1"/>
  <c r="AF10" i="1"/>
  <c r="AG10" i="1"/>
  <c r="AH10" i="1"/>
  <c r="AI10" i="1"/>
  <c r="AJ10" i="1"/>
  <c r="AL10" i="1"/>
  <c r="AM10" i="1"/>
  <c r="AN10" i="1"/>
  <c r="AP10" i="1"/>
  <c r="AQ10" i="1"/>
  <c r="AR10" i="1"/>
  <c r="AS10" i="1"/>
  <c r="AT10" i="1"/>
  <c r="AU10" i="1"/>
  <c r="AV10" i="1"/>
  <c r="AW10" i="1"/>
  <c r="AX10" i="1"/>
  <c r="AY10" i="1"/>
  <c r="AZ10" i="1"/>
  <c r="BB10" i="1"/>
  <c r="BC10" i="1"/>
  <c r="BD10" i="1"/>
  <c r="BE10" i="1"/>
  <c r="BF10" i="1"/>
  <c r="BG10" i="1"/>
  <c r="BA10" i="1" l="1"/>
  <c r="BA9" i="1"/>
  <c r="AK10" i="1"/>
</calcChain>
</file>

<file path=xl/sharedStrings.xml><?xml version="1.0" encoding="utf-8"?>
<sst xmlns="http://schemas.openxmlformats.org/spreadsheetml/2006/main" count="333" uniqueCount="267">
  <si>
    <t xml:space="preserve"> </t>
  </si>
  <si>
    <t xml:space="preserve">              PAYOUT TO NONPRIORITY UNSECUREDS</t>
  </si>
  <si>
    <t xml:space="preserve">            EMPLOYEE EXPENSES</t>
  </si>
  <si>
    <t># MONTHS</t>
  </si>
  <si>
    <t>#CASES</t>
  </si>
  <si>
    <t>$ FEES</t>
  </si>
  <si>
    <t>% EXP.</t>
  </si>
  <si>
    <t>0%</t>
  </si>
  <si>
    <t>1-39%</t>
  </si>
  <si>
    <t>40%-69%</t>
  </si>
  <si>
    <t>70% or more</t>
  </si>
  <si>
    <t>ACCTG</t>
  </si>
  <si>
    <t>ACCUM.</t>
  </si>
  <si>
    <t>ACTIVE</t>
  </si>
  <si>
    <t>ADJUST.</t>
  </si>
  <si>
    <t>ADJUSTMENTS</t>
  </si>
  <si>
    <t>APPT.</t>
  </si>
  <si>
    <t>AR</t>
  </si>
  <si>
    <t>ARTHUR</t>
  </si>
  <si>
    <t>ATTORNEYS</t>
  </si>
  <si>
    <t>AVG % FEE</t>
  </si>
  <si>
    <t>BALANCE</t>
  </si>
  <si>
    <t>BEFORE</t>
  </si>
  <si>
    <t>BENEFITS</t>
  </si>
  <si>
    <t>BOOKKEEPING</t>
  </si>
  <si>
    <t>C. KENNETH</t>
  </si>
  <si>
    <t>CA</t>
  </si>
  <si>
    <t>CAROL</t>
  </si>
  <si>
    <t>CASES</t>
  </si>
  <si>
    <t xml:space="preserve">CASES </t>
  </si>
  <si>
    <t>CITY</t>
  </si>
  <si>
    <t>CLOSED</t>
  </si>
  <si>
    <t>COMPLETE</t>
  </si>
  <si>
    <t>COMP'N</t>
  </si>
  <si>
    <t>COMPUTER</t>
  </si>
  <si>
    <t>CON-</t>
  </si>
  <si>
    <t>CONSTR.</t>
  </si>
  <si>
    <t>CONTRIB.</t>
  </si>
  <si>
    <t>CONVERT.</t>
  </si>
  <si>
    <t>CRED'R</t>
  </si>
  <si>
    <t>CURRENT YR</t>
  </si>
  <si>
    <t>DEBTOR</t>
  </si>
  <si>
    <t>DEFICIT</t>
  </si>
  <si>
    <t>DENNIS</t>
  </si>
  <si>
    <t>DISBURS</t>
  </si>
  <si>
    <t>DISBURSE.</t>
  </si>
  <si>
    <t>DISCHARGE</t>
  </si>
  <si>
    <t>DISMISS.</t>
  </si>
  <si>
    <t>DISTRICT</t>
  </si>
  <si>
    <t>EDWARD</t>
  </si>
  <si>
    <t>EMPLOYER'S</t>
  </si>
  <si>
    <t>ENDING</t>
  </si>
  <si>
    <t>EQUIP/</t>
  </si>
  <si>
    <t>ERIC</t>
  </si>
  <si>
    <t>EXCESS</t>
  </si>
  <si>
    <t xml:space="preserve">EXP. FUND </t>
  </si>
  <si>
    <t>EXPENSES</t>
  </si>
  <si>
    <t>FILED</t>
  </si>
  <si>
    <t xml:space="preserve">FIRST NAME </t>
  </si>
  <si>
    <t>FL</t>
  </si>
  <si>
    <t>FL AND GA</t>
  </si>
  <si>
    <t>FORREST</t>
  </si>
  <si>
    <t>FRANK</t>
  </si>
  <si>
    <t>FURN</t>
  </si>
  <si>
    <t>G. RAY</t>
  </si>
  <si>
    <t>GA</t>
  </si>
  <si>
    <t>GROSS</t>
  </si>
  <si>
    <t>HARDSHIP</t>
  </si>
  <si>
    <t>HAROLD</t>
  </si>
  <si>
    <t>HELD</t>
  </si>
  <si>
    <t>HENRY</t>
  </si>
  <si>
    <t>IA</t>
  </si>
  <si>
    <t>ID</t>
  </si>
  <si>
    <t>IL</t>
  </si>
  <si>
    <t>IN</t>
  </si>
  <si>
    <t>INTEREST</t>
  </si>
  <si>
    <t>JAMES</t>
  </si>
  <si>
    <t>JAN</t>
  </si>
  <si>
    <t>JANA</t>
  </si>
  <si>
    <t>JOSEPH</t>
  </si>
  <si>
    <t>KS</t>
  </si>
  <si>
    <t>LA</t>
  </si>
  <si>
    <t>LAST NAME</t>
  </si>
  <si>
    <t>LONNIE</t>
  </si>
  <si>
    <t>LORI</t>
  </si>
  <si>
    <t>M. NELSON</t>
  </si>
  <si>
    <t>MARION</t>
  </si>
  <si>
    <t>MARK</t>
  </si>
  <si>
    <t>MERLE</t>
  </si>
  <si>
    <t>MI</t>
  </si>
  <si>
    <t>MICHAEL</t>
  </si>
  <si>
    <t>MIDDLE</t>
  </si>
  <si>
    <t>MIS-</t>
  </si>
  <si>
    <t>MS</t>
  </si>
  <si>
    <t>MT</t>
  </si>
  <si>
    <t>N.A.</t>
  </si>
  <si>
    <t>NATIONAL AVERAGES</t>
  </si>
  <si>
    <t>NATIONAL TOTALS</t>
  </si>
  <si>
    <t>NE</t>
  </si>
  <si>
    <t>NEW</t>
  </si>
  <si>
    <t>NO</t>
  </si>
  <si>
    <t>NY</t>
  </si>
  <si>
    <t>OFFICE</t>
  </si>
  <si>
    <t>OH</t>
  </si>
  <si>
    <t>OK</t>
  </si>
  <si>
    <t>OPER.</t>
  </si>
  <si>
    <t>OTHER</t>
  </si>
  <si>
    <t>PAUL</t>
  </si>
  <si>
    <t>PAYABLE</t>
  </si>
  <si>
    <t>PAYMENTS</t>
  </si>
  <si>
    <t>PLAN</t>
  </si>
  <si>
    <t>POSTAGE/</t>
  </si>
  <si>
    <t>PR AND VI</t>
  </si>
  <si>
    <t>PRIORITY</t>
  </si>
  <si>
    <t>PURCHASE</t>
  </si>
  <si>
    <t>RANDALL</t>
  </si>
  <si>
    <t>REC.</t>
  </si>
  <si>
    <t>RECEIPTS</t>
  </si>
  <si>
    <t>REFUNDS</t>
  </si>
  <si>
    <t xml:space="preserve">REG </t>
  </si>
  <si>
    <t>RELATE</t>
  </si>
  <si>
    <t>RELATED</t>
  </si>
  <si>
    <t>RENEE</t>
  </si>
  <si>
    <t>RENT AND</t>
  </si>
  <si>
    <t>RENTAL</t>
  </si>
  <si>
    <t>RICHARD</t>
  </si>
  <si>
    <t>ROBERT</t>
  </si>
  <si>
    <t>SALARIES</t>
  </si>
  <si>
    <t>SECURED</t>
  </si>
  <si>
    <t>SERVICES</t>
  </si>
  <si>
    <t>STATE</t>
  </si>
  <si>
    <t>SULTING</t>
  </si>
  <si>
    <t>SUPPLIES</t>
  </si>
  <si>
    <t>TELEPH/</t>
  </si>
  <si>
    <t>THOMAS</t>
  </si>
  <si>
    <t>TN</t>
  </si>
  <si>
    <t>TO ANTHR.</t>
  </si>
  <si>
    <t>TO USTP</t>
  </si>
  <si>
    <t>TOTAL</t>
  </si>
  <si>
    <t>TRAINING</t>
  </si>
  <si>
    <t>TRANSFERRED</t>
  </si>
  <si>
    <t>TRUST FUND</t>
  </si>
  <si>
    <t>TRUSTEE</t>
  </si>
  <si>
    <t>TX</t>
  </si>
  <si>
    <t>UNSEC. CLAIMS</t>
  </si>
  <si>
    <t>UNSEC'D</t>
  </si>
  <si>
    <t>UTILS</t>
  </si>
  <si>
    <t>VT</t>
  </si>
  <si>
    <t>WALTER</t>
  </si>
  <si>
    <t>WI</t>
  </si>
  <si>
    <t>WILLIAM</t>
  </si>
  <si>
    <t>DAVID</t>
  </si>
  <si>
    <t>J. FORD</t>
  </si>
  <si>
    <t>NANCY</t>
  </si>
  <si>
    <t>JOSE</t>
  </si>
  <si>
    <t>JON</t>
  </si>
  <si>
    <t>VIRGINIA</t>
  </si>
  <si>
    <t>OR/WA</t>
  </si>
  <si>
    <t>TOTAL DISBURSEMENTS</t>
  </si>
  <si>
    <t>NON-FEE DISBURSEMENTS</t>
  </si>
  <si>
    <t>DISBURSEMENTS under $450,000</t>
  </si>
  <si>
    <t>DISBURSEMENTS over $450,000</t>
  </si>
  <si>
    <t>Sensenich</t>
  </si>
  <si>
    <t>Swimelar</t>
  </si>
  <si>
    <t>Barkley, Jr.</t>
  </si>
  <si>
    <t>Waters</t>
  </si>
  <si>
    <t>Countryman</t>
  </si>
  <si>
    <t>Hendren</t>
  </si>
  <si>
    <t>McGinnes</t>
  </si>
  <si>
    <t>Viegelahn</t>
  </si>
  <si>
    <t>Hildebrand</t>
  </si>
  <si>
    <t>Still</t>
  </si>
  <si>
    <t>Chrystler</t>
  </si>
  <si>
    <t>McDonald</t>
  </si>
  <si>
    <t>Pees</t>
  </si>
  <si>
    <t>Black</t>
  </si>
  <si>
    <t>Chael</t>
  </si>
  <si>
    <t>Clark</t>
  </si>
  <si>
    <t>Kearney</t>
  </si>
  <si>
    <t>Grossman</t>
  </si>
  <si>
    <t>Dunbar</t>
  </si>
  <si>
    <t>Overcash</t>
  </si>
  <si>
    <t>Williams</t>
  </si>
  <si>
    <t>Burchard</t>
  </si>
  <si>
    <t>Enmark</t>
  </si>
  <si>
    <t>Johnson</t>
  </si>
  <si>
    <t>Burdette</t>
  </si>
  <si>
    <t>Elsaesser</t>
  </si>
  <si>
    <t>Hoeger</t>
  </si>
  <si>
    <t>Hymas</t>
  </si>
  <si>
    <t>Volk</t>
  </si>
  <si>
    <t>Eck</t>
  </si>
  <si>
    <t>Nazar</t>
  </si>
  <si>
    <t>Rajala</t>
  </si>
  <si>
    <t>Williams-DeKalb</t>
  </si>
  <si>
    <t>Carrion</t>
  </si>
  <si>
    <t>Kelley</t>
  </si>
  <si>
    <t>Waage</t>
  </si>
  <si>
    <t>Wallace</t>
  </si>
  <si>
    <t>Whaley</t>
  </si>
  <si>
    <t>&gt; 65 MOS.</t>
  </si>
  <si>
    <t>Norwich</t>
  </si>
  <si>
    <t>Syracuse</t>
  </si>
  <si>
    <t>Northern</t>
  </si>
  <si>
    <t>Jackson</t>
  </si>
  <si>
    <t>Southern/Northern</t>
  </si>
  <si>
    <t>West./Middle/East.</t>
  </si>
  <si>
    <t>Plano</t>
  </si>
  <si>
    <t>Northern/Eastern</t>
  </si>
  <si>
    <t>Lubbock</t>
  </si>
  <si>
    <t>Austin</t>
  </si>
  <si>
    <t>Western</t>
  </si>
  <si>
    <t>Moody</t>
  </si>
  <si>
    <t>Southern/Western</t>
  </si>
  <si>
    <t>San Antonio</t>
  </si>
  <si>
    <t>Nashville</t>
  </si>
  <si>
    <t>Middle</t>
  </si>
  <si>
    <t>Chattanooga</t>
  </si>
  <si>
    <t>Eastern</t>
  </si>
  <si>
    <t>Portage</t>
  </si>
  <si>
    <t>Saginaw</t>
  </si>
  <si>
    <t>Worthington</t>
  </si>
  <si>
    <t>Southern</t>
  </si>
  <si>
    <t>Seymour</t>
  </si>
  <si>
    <t>Merrillville</t>
  </si>
  <si>
    <t>Peoria</t>
  </si>
  <si>
    <t>Central</t>
  </si>
  <si>
    <t>Benton</t>
  </si>
  <si>
    <t>Milwaukee</t>
  </si>
  <si>
    <t>Madison</t>
  </si>
  <si>
    <t>Waterloo</t>
  </si>
  <si>
    <t>Northern/Southern</t>
  </si>
  <si>
    <t>Omaha</t>
  </si>
  <si>
    <t>Hot Springs Natl Prk</t>
  </si>
  <si>
    <t>Eastern/Western</t>
  </si>
  <si>
    <t>Foster City</t>
  </si>
  <si>
    <t>Fresno</t>
  </si>
  <si>
    <t>Eastern/Northern</t>
  </si>
  <si>
    <t>Sacramento</t>
  </si>
  <si>
    <t>Seattle</t>
  </si>
  <si>
    <t>Sandpoint</t>
  </si>
  <si>
    <t>Hailey</t>
  </si>
  <si>
    <t>Tulsa</t>
  </si>
  <si>
    <t>Wichita</t>
  </si>
  <si>
    <t>Overland Park</t>
  </si>
  <si>
    <t>Norman</t>
  </si>
  <si>
    <t>San Juan</t>
  </si>
  <si>
    <t>Albany</t>
  </si>
  <si>
    <t>Northern/Middle</t>
  </si>
  <si>
    <t>Barndenton</t>
  </si>
  <si>
    <t>Augusta</t>
  </si>
  <si>
    <t>Atlanta</t>
  </si>
  <si>
    <t>Bozeman</t>
  </si>
  <si>
    <t>Great Falls</t>
  </si>
  <si>
    <t>delete for FY14</t>
  </si>
  <si>
    <t>St. Joseph</t>
  </si>
  <si>
    <t>CHAPTER  12  STANDING TRUSTEE FY14 ANNUAL REPORTS</t>
  </si>
  <si>
    <t>START 14</t>
  </si>
  <si>
    <t>END 14</t>
  </si>
  <si>
    <t>Harring</t>
  </si>
  <si>
    <t>Kloiber</t>
  </si>
  <si>
    <t>Meyer</t>
  </si>
  <si>
    <t>CA AND NV</t>
  </si>
  <si>
    <t>APPROVED</t>
  </si>
  <si>
    <t>ACTUAL FY14</t>
  </si>
  <si>
    <t xml:space="preserve"> FROM PRIOR YR</t>
  </si>
  <si>
    <t>CARRYOVER COMP'N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</si>
</sst>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#,##0.0"/>
    <numFmt numFmtId="166" formatCode="0.0"/>
    <numFmt numFmtId="167" formatCode="0.0%"/>
  </numFmts>
  <fonts count="9" x14ac:knownFonts="1">
    <font>
      <sz val="12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9"/>
        <bgColor indexed="10"/>
      </patternFill>
    </fill>
    <fill>
      <patternFill patternType="solid">
        <fgColor indexed="8"/>
        <bgColor indexed="10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4">
    <xf numFmtId="3" fontId="0" fillId="2" borderId="0" xfId="0" applyNumberFormat="1" applyFill="1"/>
    <xf numFmtId="0" fontId="4" fillId="2" borderId="1" xfId="0" applyFont="1" applyFill="1" applyBorder="1"/>
    <xf numFmtId="3" fontId="2" fillId="2" borderId="0" xfId="0" applyNumberFormat="1" applyFont="1" applyFill="1"/>
    <xf numFmtId="3" fontId="4" fillId="2" borderId="1" xfId="0" applyNumberFormat="1" applyFont="1" applyFill="1" applyBorder="1"/>
    <xf numFmtId="0" fontId="2" fillId="2" borderId="1" xfId="0" applyFont="1" applyFill="1" applyBorder="1"/>
    <xf numFmtId="166" fontId="4" fillId="2" borderId="1" xfId="0" applyNumberFormat="1" applyFont="1" applyFill="1" applyBorder="1"/>
    <xf numFmtId="10" fontId="4" fillId="2" borderId="1" xfId="0" applyNumberFormat="1" applyFont="1" applyFill="1" applyBorder="1"/>
    <xf numFmtId="167" fontId="4" fillId="2" borderId="1" xfId="0" applyNumberFormat="1" applyFont="1" applyFill="1" applyBorder="1"/>
    <xf numFmtId="0" fontId="2" fillId="2" borderId="3" xfId="0" applyFont="1" applyFill="1" applyBorder="1"/>
    <xf numFmtId="166" fontId="2" fillId="2" borderId="0" xfId="0" applyNumberFormat="1" applyFont="1" applyFill="1"/>
    <xf numFmtId="10" fontId="2" fillId="2" borderId="0" xfId="0" applyNumberFormat="1" applyFont="1" applyFill="1"/>
    <xf numFmtId="0" fontId="4" fillId="2" borderId="6" xfId="0" applyFont="1" applyFill="1" applyBorder="1"/>
    <xf numFmtId="0" fontId="4" fillId="2" borderId="7" xfId="0" applyFont="1" applyFill="1" applyBorder="1"/>
    <xf numFmtId="0" fontId="4" fillId="4" borderId="9" xfId="0" applyFont="1" applyFill="1" applyBorder="1"/>
    <xf numFmtId="3" fontId="4" fillId="2" borderId="0" xfId="0" applyNumberFormat="1" applyFont="1" applyFill="1"/>
    <xf numFmtId="0" fontId="1" fillId="2" borderId="0" xfId="0" applyFont="1" applyFill="1"/>
    <xf numFmtId="0" fontId="4" fillId="2" borderId="3" xfId="0" applyFont="1" applyFill="1" applyBorder="1"/>
    <xf numFmtId="10" fontId="4" fillId="2" borderId="0" xfId="0" applyNumberFormat="1" applyFont="1" applyFill="1"/>
    <xf numFmtId="0" fontId="4" fillId="2" borderId="10" xfId="0" applyFont="1" applyFill="1" applyBorder="1"/>
    <xf numFmtId="3" fontId="0" fillId="2" borderId="0" xfId="0" applyNumberFormat="1" applyFill="1" applyAlignment="1">
      <alignment horizontal="centerContinuous"/>
    </xf>
    <xf numFmtId="3" fontId="2" fillId="2" borderId="0" xfId="0" applyNumberFormat="1" applyFont="1" applyFill="1" applyAlignment="1"/>
    <xf numFmtId="3" fontId="4" fillId="2" borderId="0" xfId="0" applyNumberFormat="1" applyFont="1" applyFill="1" applyBorder="1"/>
    <xf numFmtId="0" fontId="5" fillId="2" borderId="0" xfId="0" applyFont="1" applyFill="1" applyAlignment="1"/>
    <xf numFmtId="3" fontId="2" fillId="2" borderId="0" xfId="0" applyNumberFormat="1" applyFont="1" applyFill="1" applyAlignment="1">
      <alignment horizontal="center"/>
    </xf>
    <xf numFmtId="22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 applyBorder="1"/>
    <xf numFmtId="166" fontId="4" fillId="2" borderId="0" xfId="0" applyNumberFormat="1" applyFont="1" applyFill="1" applyBorder="1"/>
    <xf numFmtId="166" fontId="4" fillId="2" borderId="0" xfId="0" applyNumberFormat="1" applyFont="1" applyFill="1"/>
    <xf numFmtId="3" fontId="2" fillId="6" borderId="0" xfId="0" applyNumberFormat="1" applyFont="1" applyFill="1"/>
    <xf numFmtId="3" fontId="0" fillId="6" borderId="0" xfId="0" applyNumberFormat="1" applyFill="1"/>
    <xf numFmtId="3" fontId="6" fillId="6" borderId="0" xfId="0" applyNumberFormat="1" applyFont="1" applyFill="1"/>
    <xf numFmtId="1" fontId="7" fillId="2" borderId="1" xfId="0" applyNumberFormat="1" applyFont="1" applyFill="1" applyBorder="1"/>
    <xf numFmtId="164" fontId="7" fillId="2" borderId="1" xfId="0" applyNumberFormat="1" applyFont="1" applyFill="1" applyBorder="1"/>
    <xf numFmtId="3" fontId="7" fillId="2" borderId="1" xfId="0" applyNumberFormat="1" applyFont="1" applyFill="1" applyBorder="1"/>
    <xf numFmtId="166" fontId="7" fillId="2" borderId="1" xfId="0" applyNumberFormat="1" applyFont="1" applyFill="1" applyBorder="1"/>
    <xf numFmtId="3" fontId="7" fillId="5" borderId="1" xfId="0" applyNumberFormat="1" applyFont="1" applyFill="1" applyBorder="1"/>
    <xf numFmtId="10" fontId="7" fillId="5" borderId="1" xfId="0" applyNumberFormat="1" applyFont="1" applyFill="1" applyBorder="1"/>
    <xf numFmtId="167" fontId="7" fillId="2" borderId="1" xfId="0" applyNumberFormat="1" applyFont="1" applyFill="1" applyBorder="1"/>
    <xf numFmtId="37" fontId="7" fillId="2" borderId="1" xfId="0" applyNumberFormat="1" applyFont="1" applyFill="1" applyBorder="1"/>
    <xf numFmtId="10" fontId="7" fillId="2" borderId="1" xfId="0" applyNumberFormat="1" applyFont="1" applyFill="1" applyBorder="1"/>
    <xf numFmtId="1" fontId="7" fillId="6" borderId="1" xfId="0" applyNumberFormat="1" applyFont="1" applyFill="1" applyBorder="1"/>
    <xf numFmtId="164" fontId="7" fillId="6" borderId="1" xfId="0" applyNumberFormat="1" applyFont="1" applyFill="1" applyBorder="1"/>
    <xf numFmtId="3" fontId="7" fillId="6" borderId="1" xfId="0" applyNumberFormat="1" applyFont="1" applyFill="1" applyBorder="1"/>
    <xf numFmtId="166" fontId="7" fillId="6" borderId="1" xfId="0" applyNumberFormat="1" applyFont="1" applyFill="1" applyBorder="1"/>
    <xf numFmtId="10" fontId="7" fillId="6" borderId="1" xfId="0" applyNumberFormat="1" applyFont="1" applyFill="1" applyBorder="1"/>
    <xf numFmtId="37" fontId="7" fillId="6" borderId="1" xfId="0" applyNumberFormat="1" applyFont="1" applyFill="1" applyBorder="1"/>
    <xf numFmtId="3" fontId="7" fillId="0" borderId="1" xfId="0" applyNumberFormat="1" applyFont="1" applyBorder="1"/>
    <xf numFmtId="10" fontId="7" fillId="0" borderId="1" xfId="0" applyNumberFormat="1" applyFont="1" applyBorder="1"/>
    <xf numFmtId="0" fontId="7" fillId="0" borderId="15" xfId="0" applyFont="1" applyBorder="1"/>
    <xf numFmtId="3" fontId="7" fillId="7" borderId="1" xfId="0" applyNumberFormat="1" applyFont="1" applyFill="1" applyBorder="1"/>
    <xf numFmtId="10" fontId="7" fillId="7" borderId="1" xfId="0" applyNumberFormat="1" applyFont="1" applyFill="1" applyBorder="1"/>
    <xf numFmtId="3" fontId="7" fillId="8" borderId="1" xfId="0" applyNumberFormat="1" applyFont="1" applyFill="1" applyBorder="1"/>
    <xf numFmtId="10" fontId="7" fillId="8" borderId="1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3" fillId="2" borderId="2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7" xfId="0" applyFont="1" applyFill="1" applyBorder="1"/>
    <xf numFmtId="0" fontId="1" fillId="2" borderId="3" xfId="0" applyFont="1" applyFill="1" applyBorder="1"/>
    <xf numFmtId="0" fontId="3" fillId="2" borderId="3" xfId="0" applyFont="1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3" fillId="2" borderId="4" xfId="0" applyFont="1" applyFill="1" applyBorder="1"/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3" fontId="1" fillId="2" borderId="2" xfId="0" applyNumberFormat="1" applyFont="1" applyFill="1" applyBorder="1"/>
    <xf numFmtId="3" fontId="8" fillId="2" borderId="13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centerContinuous"/>
    </xf>
    <xf numFmtId="22" fontId="1" fillId="2" borderId="0" xfId="0" applyNumberFormat="1" applyFont="1" applyFill="1"/>
    <xf numFmtId="3" fontId="8" fillId="2" borderId="0" xfId="0" applyNumberFormat="1" applyFont="1" applyFill="1"/>
    <xf numFmtId="3" fontId="1" fillId="2" borderId="0" xfId="0" applyNumberFormat="1" applyFont="1" applyFill="1" applyBorder="1"/>
    <xf numFmtId="0" fontId="7" fillId="6" borderId="1" xfId="0" applyFont="1" applyFill="1" applyBorder="1"/>
    <xf numFmtId="0" fontId="7" fillId="7" borderId="15" xfId="0" applyFont="1" applyFill="1" applyBorder="1"/>
    <xf numFmtId="0" fontId="7" fillId="7" borderId="0" xfId="0" applyFont="1" applyFill="1" applyBorder="1"/>
    <xf numFmtId="164" fontId="7" fillId="0" borderId="15" xfId="0" applyNumberFormat="1" applyFont="1" applyFill="1" applyBorder="1"/>
    <xf numFmtId="167" fontId="7" fillId="6" borderId="1" xfId="0" applyNumberFormat="1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7" fillId="4" borderId="5" xfId="0" applyFont="1" applyFill="1" applyBorder="1"/>
    <xf numFmtId="0" fontId="7" fillId="3" borderId="5" xfId="0" applyFont="1" applyFill="1" applyBorder="1"/>
    <xf numFmtId="3" fontId="7" fillId="4" borderId="1" xfId="0" applyNumberFormat="1" applyFont="1" applyFill="1" applyBorder="1"/>
    <xf numFmtId="37" fontId="7" fillId="4" borderId="1" xfId="0" applyNumberFormat="1" applyFont="1" applyFill="1" applyBorder="1"/>
    <xf numFmtId="165" fontId="7" fillId="4" borderId="1" xfId="0" applyNumberFormat="1" applyFont="1" applyFill="1" applyBorder="1"/>
    <xf numFmtId="10" fontId="7" fillId="4" borderId="1" xfId="0" applyNumberFormat="1" applyFont="1" applyFill="1" applyBorder="1"/>
    <xf numFmtId="167" fontId="7" fillId="4" borderId="1" xfId="0" applyNumberFormat="1" applyFont="1" applyFill="1" applyBorder="1"/>
    <xf numFmtId="0" fontId="7" fillId="4" borderId="1" xfId="0" applyFont="1" applyFill="1" applyBorder="1" applyAlignment="1">
      <alignment horizontal="right"/>
    </xf>
    <xf numFmtId="14" fontId="2" fillId="2" borderId="0" xfId="0" applyNumberFormat="1" applyFont="1" applyFill="1" applyAlignment="1">
      <alignment horizontal="left"/>
    </xf>
    <xf numFmtId="3" fontId="8" fillId="2" borderId="16" xfId="0" applyNumberFormat="1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wrapText="1"/>
    </xf>
    <xf numFmtId="0" fontId="1" fillId="6" borderId="7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E6E6E6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88"/>
  <sheetViews>
    <sheetView showGridLines="0" tabSelected="1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A2" sqref="A2"/>
    </sheetView>
  </sheetViews>
  <sheetFormatPr defaultColWidth="8" defaultRowHeight="15" x14ac:dyDescent="0.2"/>
  <cols>
    <col min="1" max="1" width="7.33203125" style="2" customWidth="1"/>
    <col min="2" max="2" width="20.33203125" style="2" customWidth="1"/>
    <col min="3" max="3" width="12.33203125" style="2" hidden="1" customWidth="1"/>
    <col min="4" max="4" width="17.33203125" style="2" customWidth="1"/>
    <col min="5" max="5" width="8.77734375" style="2" hidden="1" customWidth="1"/>
    <col min="6" max="6" width="16.88671875" style="2" customWidth="1"/>
    <col min="7" max="7" width="13.77734375" style="2" customWidth="1"/>
    <col min="8" max="9" width="11" style="2" customWidth="1"/>
    <col min="10" max="10" width="10" style="2" customWidth="1"/>
    <col min="11" max="11" width="10.88671875" style="2" customWidth="1"/>
    <col min="12" max="12" width="9.21875" style="2" customWidth="1"/>
    <col min="13" max="13" width="9.88671875" style="2" customWidth="1"/>
    <col min="14" max="14" width="9" style="2" customWidth="1"/>
    <col min="15" max="15" width="13.77734375" style="2" customWidth="1"/>
    <col min="16" max="16" width="10.33203125" style="2" customWidth="1"/>
    <col min="17" max="17" width="14.109375" style="2" customWidth="1"/>
    <col min="18" max="18" width="14.21875" style="2" customWidth="1"/>
    <col min="19" max="19" width="13.6640625" style="2" customWidth="1"/>
    <col min="20" max="20" width="11.33203125" style="2" customWidth="1"/>
    <col min="21" max="21" width="11.109375" style="2" customWidth="1"/>
    <col min="22" max="22" width="8.33203125" style="2" customWidth="1"/>
    <col min="23" max="23" width="7.6640625" style="2" customWidth="1"/>
    <col min="24" max="24" width="10.44140625" style="2" customWidth="1"/>
    <col min="25" max="25" width="10.21875" style="2" customWidth="1"/>
    <col min="26" max="26" width="10" style="2" customWidth="1"/>
    <col min="27" max="27" width="10.33203125" style="2" customWidth="1"/>
    <col min="28" max="28" width="11.109375" style="2" customWidth="1"/>
    <col min="29" max="29" width="11.44140625" style="2" customWidth="1"/>
    <col min="30" max="31" width="10.44140625" style="2" customWidth="1"/>
    <col min="32" max="32" width="7.77734375" style="2" customWidth="1"/>
    <col min="33" max="33" width="8.44140625" style="2" customWidth="1"/>
    <col min="34" max="34" width="8.6640625" style="2" customWidth="1"/>
    <col min="35" max="35" width="9.6640625" style="2" customWidth="1"/>
    <col min="36" max="36" width="9.109375" style="2" customWidth="1"/>
    <col min="37" max="37" width="8.77734375" style="2" customWidth="1"/>
    <col min="38" max="38" width="7.6640625" style="2" customWidth="1"/>
    <col min="39" max="39" width="10.6640625" style="2" customWidth="1"/>
    <col min="40" max="40" width="8.88671875" style="2" customWidth="1"/>
    <col min="41" max="41" width="16.5546875" style="2" customWidth="1"/>
    <col min="42" max="42" width="11.33203125" style="2" customWidth="1"/>
    <col min="43" max="44" width="9.77734375" style="2" customWidth="1"/>
    <col min="45" max="45" width="8.44140625" style="2" customWidth="1"/>
    <col min="46" max="46" width="9" style="2" customWidth="1"/>
    <col min="47" max="47" width="7.6640625" style="2" customWidth="1"/>
    <col min="48" max="48" width="9.5546875" style="2" customWidth="1"/>
    <col min="49" max="49" width="10.5546875" style="2" customWidth="1"/>
    <col min="50" max="50" width="9" style="2" customWidth="1"/>
    <col min="51" max="52" width="8.88671875" style="2" customWidth="1"/>
    <col min="53" max="53" width="9.6640625" style="2" customWidth="1"/>
    <col min="54" max="54" width="7.6640625" style="2" customWidth="1"/>
    <col min="55" max="55" width="9.44140625" style="2" customWidth="1"/>
    <col min="56" max="58" width="7.6640625" style="2" customWidth="1"/>
    <col min="59" max="59" width="11.88671875" style="2" customWidth="1"/>
    <col min="60" max="235" width="7.6640625" style="2" customWidth="1"/>
  </cols>
  <sheetData>
    <row r="1" spans="1:235" x14ac:dyDescent="0.2"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</row>
    <row r="2" spans="1:235" ht="15.75" x14ac:dyDescent="0.25">
      <c r="A2" s="22" t="s">
        <v>256</v>
      </c>
      <c r="B2" s="19"/>
      <c r="C2" s="20"/>
      <c r="D2" s="22"/>
      <c r="E2" s="22"/>
      <c r="F2" s="19"/>
      <c r="G2" s="19"/>
      <c r="H2" s="72"/>
      <c r="I2" s="72"/>
      <c r="J2" s="71"/>
      <c r="K2" s="71"/>
      <c r="L2" s="71"/>
      <c r="M2" s="71"/>
      <c r="N2" s="71"/>
      <c r="O2" s="71"/>
      <c r="P2" s="71"/>
      <c r="Q2" s="71"/>
      <c r="R2" s="71"/>
      <c r="S2" s="73"/>
      <c r="T2" s="73"/>
      <c r="U2" s="15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15"/>
      <c r="AH2" s="71"/>
      <c r="AI2" s="71"/>
      <c r="AJ2" s="71"/>
      <c r="AK2" s="71"/>
      <c r="AL2" s="75"/>
      <c r="AM2" s="75"/>
      <c r="AN2" s="75"/>
      <c r="AO2" s="75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</row>
    <row r="3" spans="1:235" x14ac:dyDescent="0.2"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4"/>
      <c r="T3" s="74"/>
      <c r="U3" s="71"/>
      <c r="V3" s="73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5"/>
      <c r="AM3" s="75"/>
      <c r="AN3" s="75"/>
      <c r="AO3" s="75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64" t="s">
        <v>1</v>
      </c>
      <c r="BD3" s="65"/>
      <c r="BE3" s="65"/>
      <c r="BF3" s="65"/>
      <c r="BG3" s="66"/>
    </row>
    <row r="4" spans="1:235" x14ac:dyDescent="0.2">
      <c r="A4" s="92">
        <v>41996</v>
      </c>
      <c r="B4" s="23"/>
      <c r="C4" s="23"/>
      <c r="D4" s="24"/>
      <c r="E4" s="24"/>
      <c r="F4" s="23"/>
      <c r="G4" s="23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68"/>
      <c r="AM4" s="93"/>
      <c r="AN4" s="93"/>
      <c r="AO4" s="94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67"/>
      <c r="BD4" s="68"/>
      <c r="BE4" s="68"/>
      <c r="BF4" s="68"/>
      <c r="BG4" s="69"/>
      <c r="BH4" s="23"/>
      <c r="BI4" s="23"/>
    </row>
    <row r="5" spans="1:235" ht="15.6" customHeight="1" x14ac:dyDescent="0.2">
      <c r="A5" s="53"/>
      <c r="B5" s="54"/>
      <c r="C5" s="55"/>
      <c r="D5" s="54"/>
      <c r="E5" s="101" t="s">
        <v>254</v>
      </c>
      <c r="F5" s="54"/>
      <c r="G5" s="54"/>
      <c r="H5" s="54" t="s">
        <v>66</v>
      </c>
      <c r="I5" s="54" t="s">
        <v>138</v>
      </c>
      <c r="J5" s="54"/>
      <c r="K5" s="54" t="s">
        <v>128</v>
      </c>
      <c r="L5" s="54" t="s">
        <v>113</v>
      </c>
      <c r="M5" s="54" t="s">
        <v>145</v>
      </c>
      <c r="N5" s="54"/>
      <c r="O5" s="95" t="s">
        <v>158</v>
      </c>
      <c r="P5" s="54" t="s">
        <v>3</v>
      </c>
      <c r="Q5" s="98" t="s">
        <v>159</v>
      </c>
      <c r="R5" s="98" t="s">
        <v>160</v>
      </c>
      <c r="S5" s="98" t="s">
        <v>161</v>
      </c>
      <c r="T5" s="54" t="s">
        <v>20</v>
      </c>
      <c r="U5" s="54"/>
      <c r="V5" s="54"/>
      <c r="W5" s="54"/>
      <c r="X5" s="56" t="s">
        <v>2</v>
      </c>
      <c r="Y5" s="56"/>
      <c r="Z5" s="57"/>
      <c r="AA5" s="54" t="s">
        <v>102</v>
      </c>
      <c r="AB5" s="54" t="s">
        <v>24</v>
      </c>
      <c r="AC5" s="54"/>
      <c r="AD5" s="54" t="s">
        <v>35</v>
      </c>
      <c r="AE5" s="54" t="s">
        <v>133</v>
      </c>
      <c r="AF5" s="54"/>
      <c r="AG5" s="54" t="s">
        <v>52</v>
      </c>
      <c r="AH5" s="54" t="s">
        <v>52</v>
      </c>
      <c r="AI5" s="54"/>
      <c r="AJ5" s="54"/>
      <c r="AK5" s="54"/>
      <c r="AL5" s="54"/>
      <c r="AM5" s="59"/>
      <c r="AN5" s="59"/>
      <c r="AO5" s="81" t="s">
        <v>263</v>
      </c>
      <c r="AP5" s="54" t="s">
        <v>51</v>
      </c>
      <c r="AQ5" s="54" t="s">
        <v>54</v>
      </c>
      <c r="AR5" s="54"/>
      <c r="AS5" s="54" t="s">
        <v>12</v>
      </c>
      <c r="AT5" s="54" t="s">
        <v>29</v>
      </c>
      <c r="AU5" s="54" t="s">
        <v>99</v>
      </c>
      <c r="AV5" s="54"/>
      <c r="AW5" s="54" t="s">
        <v>28</v>
      </c>
      <c r="AX5" s="54"/>
      <c r="AY5" s="54" t="s">
        <v>31</v>
      </c>
      <c r="AZ5" s="54" t="s">
        <v>31</v>
      </c>
      <c r="BA5" s="54"/>
      <c r="BB5" s="53"/>
      <c r="BC5" s="54"/>
      <c r="BD5" s="54"/>
      <c r="BE5" s="54"/>
      <c r="BF5" s="54"/>
      <c r="BG5" s="54"/>
    </row>
    <row r="6" spans="1:235" x14ac:dyDescent="0.2">
      <c r="A6" s="58"/>
      <c r="B6" s="59" t="s">
        <v>142</v>
      </c>
      <c r="C6" s="60" t="s">
        <v>142</v>
      </c>
      <c r="D6" s="59"/>
      <c r="E6" s="102"/>
      <c r="F6" s="59" t="s">
        <v>48</v>
      </c>
      <c r="G6" s="59" t="s">
        <v>130</v>
      </c>
      <c r="H6" s="59" t="s">
        <v>41</v>
      </c>
      <c r="I6" s="59" t="s">
        <v>141</v>
      </c>
      <c r="J6" s="59"/>
      <c r="K6" s="59" t="s">
        <v>39</v>
      </c>
      <c r="L6" s="59" t="s">
        <v>39</v>
      </c>
      <c r="M6" s="59" t="s">
        <v>39</v>
      </c>
      <c r="N6" s="59" t="s">
        <v>41</v>
      </c>
      <c r="O6" s="96"/>
      <c r="P6" s="59" t="s">
        <v>117</v>
      </c>
      <c r="Q6" s="99"/>
      <c r="R6" s="99"/>
      <c r="S6" s="99"/>
      <c r="T6" s="59" t="s">
        <v>22</v>
      </c>
      <c r="U6" s="59" t="s">
        <v>5</v>
      </c>
      <c r="V6" s="59" t="s">
        <v>36</v>
      </c>
      <c r="W6" s="59"/>
      <c r="X6" s="59"/>
      <c r="Y6" s="59" t="s">
        <v>50</v>
      </c>
      <c r="Z6" s="59"/>
      <c r="AA6" s="59" t="s">
        <v>123</v>
      </c>
      <c r="AB6" s="59" t="s">
        <v>11</v>
      </c>
      <c r="AC6" s="59" t="s">
        <v>34</v>
      </c>
      <c r="AD6" s="59" t="s">
        <v>131</v>
      </c>
      <c r="AE6" s="59" t="s">
        <v>111</v>
      </c>
      <c r="AF6" s="59"/>
      <c r="AG6" s="59" t="s">
        <v>63</v>
      </c>
      <c r="AH6" s="59" t="s">
        <v>63</v>
      </c>
      <c r="AI6" s="59" t="s">
        <v>138</v>
      </c>
      <c r="AJ6" s="59" t="s">
        <v>138</v>
      </c>
      <c r="AK6" s="59" t="s">
        <v>120</v>
      </c>
      <c r="AL6" s="59" t="s">
        <v>92</v>
      </c>
      <c r="AM6" s="59" t="s">
        <v>264</v>
      </c>
      <c r="AN6" s="59" t="s">
        <v>54</v>
      </c>
      <c r="AO6" s="82" t="s">
        <v>266</v>
      </c>
      <c r="AP6" s="59" t="s">
        <v>55</v>
      </c>
      <c r="AQ6" s="59" t="s">
        <v>108</v>
      </c>
      <c r="AR6" s="59" t="s">
        <v>40</v>
      </c>
      <c r="AS6" s="59" t="s">
        <v>105</v>
      </c>
      <c r="AT6" s="59" t="s">
        <v>13</v>
      </c>
      <c r="AU6" s="59" t="s">
        <v>28</v>
      </c>
      <c r="AV6" s="59" t="s">
        <v>106</v>
      </c>
      <c r="AW6" s="59" t="s">
        <v>38</v>
      </c>
      <c r="AX6" s="59" t="s">
        <v>28</v>
      </c>
      <c r="AY6" s="59" t="s">
        <v>32</v>
      </c>
      <c r="AZ6" s="59" t="s">
        <v>67</v>
      </c>
      <c r="BA6" s="59" t="s">
        <v>4</v>
      </c>
      <c r="BB6" s="58" t="s">
        <v>28</v>
      </c>
      <c r="BC6" s="59"/>
      <c r="BD6" s="59"/>
      <c r="BE6" s="59"/>
      <c r="BF6" s="59"/>
      <c r="BG6" s="59" t="s">
        <v>100</v>
      </c>
    </row>
    <row r="7" spans="1:235" ht="15" customHeight="1" x14ac:dyDescent="0.2">
      <c r="A7" s="61" t="s">
        <v>119</v>
      </c>
      <c r="B7" s="62" t="s">
        <v>82</v>
      </c>
      <c r="C7" s="63" t="s">
        <v>58</v>
      </c>
      <c r="D7" s="62" t="s">
        <v>30</v>
      </c>
      <c r="E7" s="103"/>
      <c r="F7" s="62" t="s">
        <v>16</v>
      </c>
      <c r="G7" s="62" t="s">
        <v>16</v>
      </c>
      <c r="H7" s="62" t="s">
        <v>109</v>
      </c>
      <c r="I7" s="62" t="s">
        <v>117</v>
      </c>
      <c r="J7" s="62" t="s">
        <v>118</v>
      </c>
      <c r="K7" s="62" t="s">
        <v>44</v>
      </c>
      <c r="L7" s="62" t="s">
        <v>44</v>
      </c>
      <c r="M7" s="62" t="s">
        <v>44</v>
      </c>
      <c r="N7" s="62" t="s">
        <v>19</v>
      </c>
      <c r="O7" s="97"/>
      <c r="P7" s="62" t="s">
        <v>69</v>
      </c>
      <c r="Q7" s="100"/>
      <c r="R7" s="100"/>
      <c r="S7" s="100"/>
      <c r="T7" s="62" t="s">
        <v>15</v>
      </c>
      <c r="U7" s="62" t="s">
        <v>140</v>
      </c>
      <c r="V7" s="62" t="s">
        <v>116</v>
      </c>
      <c r="W7" s="62" t="s">
        <v>75</v>
      </c>
      <c r="X7" s="62" t="s">
        <v>127</v>
      </c>
      <c r="Y7" s="62" t="s">
        <v>37</v>
      </c>
      <c r="Z7" s="62" t="s">
        <v>23</v>
      </c>
      <c r="AA7" s="62" t="s">
        <v>146</v>
      </c>
      <c r="AB7" s="62" t="s">
        <v>129</v>
      </c>
      <c r="AC7" s="62" t="s">
        <v>129</v>
      </c>
      <c r="AD7" s="62" t="s">
        <v>129</v>
      </c>
      <c r="AE7" s="62" t="s">
        <v>132</v>
      </c>
      <c r="AF7" s="62" t="s">
        <v>139</v>
      </c>
      <c r="AG7" s="62" t="s">
        <v>124</v>
      </c>
      <c r="AH7" s="62" t="s">
        <v>114</v>
      </c>
      <c r="AI7" s="62" t="s">
        <v>121</v>
      </c>
      <c r="AJ7" s="62" t="s">
        <v>56</v>
      </c>
      <c r="AK7" s="62" t="s">
        <v>6</v>
      </c>
      <c r="AL7" s="62" t="s">
        <v>45</v>
      </c>
      <c r="AM7" s="62" t="s">
        <v>33</v>
      </c>
      <c r="AN7" s="62" t="s">
        <v>33</v>
      </c>
      <c r="AO7" s="83" t="s">
        <v>265</v>
      </c>
      <c r="AP7" s="62" t="s">
        <v>21</v>
      </c>
      <c r="AQ7" s="62" t="s">
        <v>137</v>
      </c>
      <c r="AR7" s="62" t="s">
        <v>42</v>
      </c>
      <c r="AS7" s="62" t="s">
        <v>42</v>
      </c>
      <c r="AT7" s="62" t="s">
        <v>257</v>
      </c>
      <c r="AU7" s="62" t="s">
        <v>57</v>
      </c>
      <c r="AV7" s="62" t="s">
        <v>14</v>
      </c>
      <c r="AW7" s="62" t="s">
        <v>136</v>
      </c>
      <c r="AX7" s="62" t="s">
        <v>47</v>
      </c>
      <c r="AY7" s="62" t="s">
        <v>110</v>
      </c>
      <c r="AZ7" s="62" t="s">
        <v>46</v>
      </c>
      <c r="BA7" s="62" t="s">
        <v>258</v>
      </c>
      <c r="BB7" s="58" t="s">
        <v>200</v>
      </c>
      <c r="BC7" s="59" t="s">
        <v>10</v>
      </c>
      <c r="BD7" s="59" t="s">
        <v>9</v>
      </c>
      <c r="BE7" s="59" t="s">
        <v>8</v>
      </c>
      <c r="BF7" s="59" t="s">
        <v>7</v>
      </c>
      <c r="BG7" s="59" t="s">
        <v>144</v>
      </c>
    </row>
    <row r="8" spans="1:235" x14ac:dyDescent="0.2">
      <c r="A8" s="12"/>
      <c r="B8" s="16"/>
      <c r="C8" s="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1"/>
      <c r="BC8" s="18"/>
      <c r="BD8" s="18"/>
      <c r="BE8" s="18"/>
      <c r="BF8" s="18"/>
      <c r="BG8" s="18"/>
    </row>
    <row r="9" spans="1:235" ht="15.75" x14ac:dyDescent="0.25">
      <c r="A9" s="13"/>
      <c r="B9" s="84" t="s">
        <v>97</v>
      </c>
      <c r="C9" s="85"/>
      <c r="D9" s="84"/>
      <c r="E9" s="84"/>
      <c r="F9" s="84"/>
      <c r="G9" s="84"/>
      <c r="H9" s="86">
        <f t="shared" ref="H9:O9" si="0">SUM(H12:H52)</f>
        <v>44473259</v>
      </c>
      <c r="I9" s="86">
        <f t="shared" si="0"/>
        <v>44857823</v>
      </c>
      <c r="J9" s="86">
        <f t="shared" si="0"/>
        <v>2545920</v>
      </c>
      <c r="K9" s="86">
        <f t="shared" si="0"/>
        <v>29381221</v>
      </c>
      <c r="L9" s="86">
        <f t="shared" si="0"/>
        <v>1906735</v>
      </c>
      <c r="M9" s="86">
        <f t="shared" si="0"/>
        <v>4680010</v>
      </c>
      <c r="N9" s="86">
        <f t="shared" si="0"/>
        <v>1503461</v>
      </c>
      <c r="O9" s="86">
        <f t="shared" si="0"/>
        <v>42693242</v>
      </c>
      <c r="P9" s="91" t="s">
        <v>95</v>
      </c>
      <c r="Q9" s="86">
        <f>SUM(Q12:Q52)</f>
        <v>4128643</v>
      </c>
      <c r="R9" s="86">
        <f>SUM(R12:R52)</f>
        <v>32517093</v>
      </c>
      <c r="S9" s="86">
        <f>SUM(S12:S52)</f>
        <v>5667939</v>
      </c>
      <c r="T9" s="91" t="s">
        <v>95</v>
      </c>
      <c r="U9" s="86">
        <f t="shared" ref="U9:AJ9" si="1">SUM(U12:U52)</f>
        <v>2576741</v>
      </c>
      <c r="V9" s="86">
        <f t="shared" si="1"/>
        <v>6538675</v>
      </c>
      <c r="W9" s="86">
        <f t="shared" si="1"/>
        <v>5291.05</v>
      </c>
      <c r="X9" s="86">
        <f t="shared" si="1"/>
        <v>420108</v>
      </c>
      <c r="Y9" s="86">
        <f t="shared" si="1"/>
        <v>38415</v>
      </c>
      <c r="Z9" s="86">
        <f t="shared" si="1"/>
        <v>17436</v>
      </c>
      <c r="AA9" s="86">
        <f t="shared" si="1"/>
        <v>86050</v>
      </c>
      <c r="AB9" s="86">
        <f t="shared" si="1"/>
        <v>100201</v>
      </c>
      <c r="AC9" s="86">
        <f t="shared" si="1"/>
        <v>37839</v>
      </c>
      <c r="AD9" s="86">
        <f t="shared" si="1"/>
        <v>147998</v>
      </c>
      <c r="AE9" s="86">
        <f t="shared" si="1"/>
        <v>76274</v>
      </c>
      <c r="AF9" s="86">
        <f t="shared" si="1"/>
        <v>24239</v>
      </c>
      <c r="AG9" s="86">
        <f t="shared" si="1"/>
        <v>5202</v>
      </c>
      <c r="AH9" s="86">
        <f t="shared" si="1"/>
        <v>12872</v>
      </c>
      <c r="AI9" s="86">
        <f t="shared" si="1"/>
        <v>224580</v>
      </c>
      <c r="AJ9" s="86">
        <f t="shared" si="1"/>
        <v>1112904</v>
      </c>
      <c r="AK9" s="91" t="s">
        <v>95</v>
      </c>
      <c r="AL9" s="86">
        <f t="shared" ref="AL9:BG9" si="2">SUM(AL12:AL52)</f>
        <v>0</v>
      </c>
      <c r="AM9" s="86">
        <f t="shared" si="2"/>
        <v>1996164</v>
      </c>
      <c r="AN9" s="86">
        <f t="shared" si="2"/>
        <v>4193.83</v>
      </c>
      <c r="AO9" s="86">
        <f t="shared" ref="AO9" si="3">SUM(AO12:AO52)</f>
        <v>4878</v>
      </c>
      <c r="AP9" s="86">
        <f t="shared" si="2"/>
        <v>436857</v>
      </c>
      <c r="AQ9" s="86">
        <f t="shared" si="2"/>
        <v>7648</v>
      </c>
      <c r="AR9" s="87">
        <f t="shared" si="2"/>
        <v>0</v>
      </c>
      <c r="AS9" s="87">
        <f t="shared" si="2"/>
        <v>0</v>
      </c>
      <c r="AT9" s="87">
        <f t="shared" si="2"/>
        <v>1054</v>
      </c>
      <c r="AU9" s="87">
        <f t="shared" si="2"/>
        <v>221</v>
      </c>
      <c r="AV9" s="87">
        <f t="shared" si="2"/>
        <v>11</v>
      </c>
      <c r="AW9" s="87">
        <f t="shared" si="2"/>
        <v>-24</v>
      </c>
      <c r="AX9" s="87">
        <f t="shared" si="2"/>
        <v>-177</v>
      </c>
      <c r="AY9" s="87">
        <f t="shared" si="2"/>
        <v>-119</v>
      </c>
      <c r="AZ9" s="87">
        <f t="shared" si="2"/>
        <v>-2</v>
      </c>
      <c r="BA9" s="87">
        <f t="shared" si="2"/>
        <v>964</v>
      </c>
      <c r="BB9" s="87">
        <f t="shared" si="2"/>
        <v>16</v>
      </c>
      <c r="BC9" s="87">
        <f t="shared" si="2"/>
        <v>20</v>
      </c>
      <c r="BD9" s="87">
        <f t="shared" si="2"/>
        <v>3</v>
      </c>
      <c r="BE9" s="87">
        <f t="shared" si="2"/>
        <v>57</v>
      </c>
      <c r="BF9" s="87">
        <f t="shared" si="2"/>
        <v>24</v>
      </c>
      <c r="BG9" s="87">
        <f t="shared" si="2"/>
        <v>9</v>
      </c>
    </row>
    <row r="10" spans="1:235" ht="15.75" x14ac:dyDescent="0.25">
      <c r="A10" s="13"/>
      <c r="B10" s="84" t="s">
        <v>96</v>
      </c>
      <c r="C10" s="85"/>
      <c r="D10" s="84"/>
      <c r="E10" s="84"/>
      <c r="F10" s="84"/>
      <c r="G10" s="84"/>
      <c r="H10" s="86">
        <f t="shared" ref="H10:AJ10" si="4">AVERAGE(H12:H52)</f>
        <v>1084713.6341463414</v>
      </c>
      <c r="I10" s="86">
        <f t="shared" si="4"/>
        <v>1094093.243902439</v>
      </c>
      <c r="J10" s="86">
        <f t="shared" si="4"/>
        <v>62095.609756097561</v>
      </c>
      <c r="K10" s="86">
        <f t="shared" si="4"/>
        <v>716615.14634146343</v>
      </c>
      <c r="L10" s="86">
        <f t="shared" si="4"/>
        <v>46505.731707317071</v>
      </c>
      <c r="M10" s="86">
        <f t="shared" si="4"/>
        <v>114146.58536585367</v>
      </c>
      <c r="N10" s="86">
        <f t="shared" si="4"/>
        <v>36669.780487804877</v>
      </c>
      <c r="O10" s="86">
        <f t="shared" si="4"/>
        <v>1041298.5853658536</v>
      </c>
      <c r="P10" s="88">
        <f t="shared" si="4"/>
        <v>2.0701707317073175</v>
      </c>
      <c r="Q10" s="86">
        <f t="shared" si="4"/>
        <v>100698.60975609756</v>
      </c>
      <c r="R10" s="86">
        <f t="shared" si="4"/>
        <v>793099.82926829264</v>
      </c>
      <c r="S10" s="86">
        <f t="shared" si="4"/>
        <v>138242.41463414635</v>
      </c>
      <c r="T10" s="89">
        <f t="shared" si="4"/>
        <v>7.020799869110067E-2</v>
      </c>
      <c r="U10" s="86">
        <f t="shared" si="4"/>
        <v>62847.341463414632</v>
      </c>
      <c r="V10" s="86">
        <f t="shared" si="4"/>
        <v>159479.87804878049</v>
      </c>
      <c r="W10" s="86">
        <f t="shared" si="4"/>
        <v>129.05000000000001</v>
      </c>
      <c r="X10" s="86">
        <f t="shared" si="4"/>
        <v>10246.536585365853</v>
      </c>
      <c r="Y10" s="86">
        <f t="shared" si="4"/>
        <v>936.95121951219517</v>
      </c>
      <c r="Z10" s="86">
        <f t="shared" si="4"/>
        <v>425.26829268292681</v>
      </c>
      <c r="AA10" s="86">
        <f t="shared" si="4"/>
        <v>2098.7804878048782</v>
      </c>
      <c r="AB10" s="86">
        <f t="shared" si="4"/>
        <v>2443.9268292682927</v>
      </c>
      <c r="AC10" s="86">
        <f t="shared" si="4"/>
        <v>922.90243902439022</v>
      </c>
      <c r="AD10" s="86">
        <f t="shared" si="4"/>
        <v>3609.7073170731705</v>
      </c>
      <c r="AE10" s="86">
        <f t="shared" si="4"/>
        <v>1860.3414634146341</v>
      </c>
      <c r="AF10" s="86">
        <f t="shared" si="4"/>
        <v>591.19512195121956</v>
      </c>
      <c r="AG10" s="86">
        <f t="shared" si="4"/>
        <v>126.8780487804878</v>
      </c>
      <c r="AH10" s="86">
        <f t="shared" si="4"/>
        <v>313.95121951219511</v>
      </c>
      <c r="AI10" s="86">
        <f t="shared" si="4"/>
        <v>5477.5609756097565</v>
      </c>
      <c r="AJ10" s="86">
        <f t="shared" si="4"/>
        <v>27144</v>
      </c>
      <c r="AK10" s="90">
        <f>AI9/AJ9</f>
        <v>0.20179638135903905</v>
      </c>
      <c r="AL10" s="86">
        <f t="shared" ref="AL10:BG10" si="5">AVERAGE(AL12:AL52)</f>
        <v>0</v>
      </c>
      <c r="AM10" s="86">
        <f t="shared" si="5"/>
        <v>48686.92682926829</v>
      </c>
      <c r="AN10" s="86">
        <f t="shared" si="5"/>
        <v>102.28853658536585</v>
      </c>
      <c r="AO10" s="86">
        <f t="shared" ref="AO10" si="6">AVERAGE(AO12:AO52)</f>
        <v>2439</v>
      </c>
      <c r="AP10" s="86">
        <f t="shared" si="5"/>
        <v>10655.048780487805</v>
      </c>
      <c r="AQ10" s="86">
        <f t="shared" si="5"/>
        <v>186.53658536585365</v>
      </c>
      <c r="AR10" s="87">
        <f t="shared" si="5"/>
        <v>0</v>
      </c>
      <c r="AS10" s="87">
        <f t="shared" si="5"/>
        <v>0</v>
      </c>
      <c r="AT10" s="87">
        <f t="shared" si="5"/>
        <v>25.707317073170731</v>
      </c>
      <c r="AU10" s="87">
        <f t="shared" si="5"/>
        <v>5.3902439024390247</v>
      </c>
      <c r="AV10" s="87">
        <f t="shared" si="5"/>
        <v>0.26829268292682928</v>
      </c>
      <c r="AW10" s="87">
        <f t="shared" si="5"/>
        <v>-0.58536585365853655</v>
      </c>
      <c r="AX10" s="87">
        <f t="shared" si="5"/>
        <v>-4.3170731707317076</v>
      </c>
      <c r="AY10" s="87">
        <f t="shared" si="5"/>
        <v>-2.9024390243902438</v>
      </c>
      <c r="AZ10" s="87">
        <f t="shared" si="5"/>
        <v>-4.878048780487805E-2</v>
      </c>
      <c r="BA10" s="87">
        <f t="shared" si="5"/>
        <v>23.512195121951219</v>
      </c>
      <c r="BB10" s="87">
        <f t="shared" si="5"/>
        <v>0.3902439024390244</v>
      </c>
      <c r="BC10" s="87">
        <f t="shared" si="5"/>
        <v>0.48780487804878048</v>
      </c>
      <c r="BD10" s="87">
        <f t="shared" si="5"/>
        <v>7.3170731707317069E-2</v>
      </c>
      <c r="BE10" s="87">
        <f t="shared" si="5"/>
        <v>1.3902439024390243</v>
      </c>
      <c r="BF10" s="87">
        <f t="shared" si="5"/>
        <v>0.58536585365853655</v>
      </c>
      <c r="BG10" s="87">
        <f t="shared" si="5"/>
        <v>0.21951219512195122</v>
      </c>
    </row>
    <row r="11" spans="1:235" x14ac:dyDescent="0.2">
      <c r="A11" s="1" t="s">
        <v>0</v>
      </c>
      <c r="B11" s="1"/>
      <c r="C11" s="4" t="s">
        <v>0</v>
      </c>
      <c r="D11" s="1" t="s">
        <v>0</v>
      </c>
      <c r="E11" s="1"/>
      <c r="F11" s="1"/>
      <c r="G11" s="1"/>
      <c r="H11" s="3"/>
      <c r="I11" s="3"/>
      <c r="J11" s="3"/>
      <c r="K11" s="3"/>
      <c r="L11" s="3"/>
      <c r="M11" s="3"/>
      <c r="N11" s="3"/>
      <c r="O11" s="3"/>
      <c r="P11" s="5"/>
      <c r="Q11" s="5"/>
      <c r="R11" s="5"/>
      <c r="S11" s="6"/>
      <c r="T11" s="6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7"/>
      <c r="AJ11" s="3"/>
      <c r="AK11" s="7" t="s">
        <v>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235" ht="15.75" x14ac:dyDescent="0.25">
      <c r="A12" s="31">
        <v>2</v>
      </c>
      <c r="B12" s="32" t="s">
        <v>162</v>
      </c>
      <c r="C12" s="32" t="s">
        <v>77</v>
      </c>
      <c r="D12" s="77" t="s">
        <v>201</v>
      </c>
      <c r="E12" s="77"/>
      <c r="F12" s="77"/>
      <c r="G12" s="33" t="s">
        <v>147</v>
      </c>
      <c r="H12" s="33">
        <v>236457</v>
      </c>
      <c r="I12" s="33">
        <v>236474</v>
      </c>
      <c r="J12" s="33">
        <v>0</v>
      </c>
      <c r="K12" s="33">
        <v>205755</v>
      </c>
      <c r="L12" s="33">
        <v>0</v>
      </c>
      <c r="M12" s="33">
        <v>3719</v>
      </c>
      <c r="N12" s="33">
        <v>6163</v>
      </c>
      <c r="O12" s="33">
        <v>230953</v>
      </c>
      <c r="P12" s="34">
        <v>0.38</v>
      </c>
      <c r="Q12" s="33">
        <f>230953-153164</f>
        <v>77789</v>
      </c>
      <c r="R12" s="33">
        <v>153164</v>
      </c>
      <c r="S12" s="35">
        <v>0</v>
      </c>
      <c r="T12" s="36">
        <f>15316/153164</f>
        <v>9.9997388420255406E-2</v>
      </c>
      <c r="U12" s="33">
        <v>15316</v>
      </c>
      <c r="V12" s="33">
        <v>0</v>
      </c>
      <c r="W12" s="33">
        <f>8+8+2</f>
        <v>18</v>
      </c>
      <c r="X12" s="33">
        <v>0</v>
      </c>
      <c r="Y12" s="33">
        <v>0</v>
      </c>
      <c r="Z12" s="33">
        <v>0</v>
      </c>
      <c r="AA12" s="33">
        <v>0</v>
      </c>
      <c r="AB12" s="33">
        <v>2400</v>
      </c>
      <c r="AC12" s="33">
        <v>1200</v>
      </c>
      <c r="AD12" s="33">
        <v>0</v>
      </c>
      <c r="AE12" s="33">
        <v>237</v>
      </c>
      <c r="AF12" s="33">
        <v>0</v>
      </c>
      <c r="AG12" s="33">
        <v>0</v>
      </c>
      <c r="AH12" s="33">
        <v>0</v>
      </c>
      <c r="AI12" s="33">
        <v>0</v>
      </c>
      <c r="AJ12" s="33">
        <v>3937</v>
      </c>
      <c r="AK12" s="37">
        <f t="shared" ref="AK12:AK52" si="7">IF(AJ12=0,0,AI12/AJ12)</f>
        <v>0</v>
      </c>
      <c r="AL12" s="33">
        <v>0</v>
      </c>
      <c r="AM12" s="33">
        <v>11300</v>
      </c>
      <c r="AN12" s="33">
        <v>0</v>
      </c>
      <c r="AO12" s="33"/>
      <c r="AP12" s="33">
        <v>527</v>
      </c>
      <c r="AQ12" s="33">
        <v>0</v>
      </c>
      <c r="AR12" s="33">
        <v>0</v>
      </c>
      <c r="AS12" s="33">
        <v>0</v>
      </c>
      <c r="AT12" s="33">
        <v>13</v>
      </c>
      <c r="AU12" s="33">
        <v>1</v>
      </c>
      <c r="AV12" s="38">
        <v>0</v>
      </c>
      <c r="AW12" s="38">
        <v>0</v>
      </c>
      <c r="AX12" s="38">
        <v>0</v>
      </c>
      <c r="AY12" s="38">
        <v>-1</v>
      </c>
      <c r="AZ12" s="38">
        <v>0</v>
      </c>
      <c r="BA12" s="33">
        <f t="shared" ref="BA12:BA52" si="8">SUM(AT12:AZ12)</f>
        <v>13</v>
      </c>
      <c r="BB12" s="33">
        <v>0</v>
      </c>
      <c r="BC12" s="33">
        <v>0</v>
      </c>
      <c r="BD12" s="33">
        <v>0</v>
      </c>
      <c r="BE12" s="33">
        <v>1</v>
      </c>
      <c r="BF12" s="33">
        <v>0</v>
      </c>
      <c r="BG12" s="33">
        <v>0</v>
      </c>
    </row>
    <row r="13" spans="1:235" s="29" customFormat="1" ht="15.75" x14ac:dyDescent="0.25">
      <c r="A13" s="40">
        <v>2</v>
      </c>
      <c r="B13" s="41" t="s">
        <v>163</v>
      </c>
      <c r="C13" s="41" t="s">
        <v>87</v>
      </c>
      <c r="D13" s="77" t="s">
        <v>202</v>
      </c>
      <c r="E13" s="77"/>
      <c r="F13" s="77" t="s">
        <v>203</v>
      </c>
      <c r="G13" s="42" t="s">
        <v>101</v>
      </c>
      <c r="H13" s="42">
        <v>2476148</v>
      </c>
      <c r="I13" s="42">
        <v>2476148</v>
      </c>
      <c r="J13" s="42">
        <v>291773</v>
      </c>
      <c r="K13" s="42">
        <v>1568980</v>
      </c>
      <c r="L13" s="42">
        <v>183012</v>
      </c>
      <c r="M13" s="42">
        <v>171615</v>
      </c>
      <c r="N13" s="42">
        <v>63324</v>
      </c>
      <c r="O13" s="42">
        <v>2101420</v>
      </c>
      <c r="P13" s="43">
        <v>0.91</v>
      </c>
      <c r="Q13" s="42">
        <f>2101420-1863168</f>
        <v>238252</v>
      </c>
      <c r="R13" s="42">
        <f>1572555-189617</f>
        <v>1382938</v>
      </c>
      <c r="S13" s="42">
        <v>480230</v>
      </c>
      <c r="T13" s="44">
        <f>115607/1863168</f>
        <v>6.2048618267381152E-2</v>
      </c>
      <c r="U13" s="42">
        <v>114489</v>
      </c>
      <c r="V13" s="42">
        <v>0</v>
      </c>
      <c r="W13" s="42">
        <v>29</v>
      </c>
      <c r="X13" s="42">
        <v>3322</v>
      </c>
      <c r="Y13" s="42">
        <v>0</v>
      </c>
      <c r="Z13" s="42">
        <v>0</v>
      </c>
      <c r="AA13" s="42">
        <v>596</v>
      </c>
      <c r="AB13" s="42">
        <v>8350</v>
      </c>
      <c r="AC13" s="42">
        <v>1664</v>
      </c>
      <c r="AD13" s="42">
        <v>15248</v>
      </c>
      <c r="AE13" s="42">
        <f>25+71+72</f>
        <v>168</v>
      </c>
      <c r="AF13" s="42">
        <v>1629</v>
      </c>
      <c r="AG13" s="42">
        <v>0</v>
      </c>
      <c r="AH13" s="42">
        <v>0</v>
      </c>
      <c r="AI13" s="42">
        <v>4086</v>
      </c>
      <c r="AJ13" s="42">
        <v>31981</v>
      </c>
      <c r="AK13" s="80">
        <f t="shared" si="7"/>
        <v>0.12776335949469997</v>
      </c>
      <c r="AL13" s="42">
        <v>0</v>
      </c>
      <c r="AM13" s="42">
        <v>109219</v>
      </c>
      <c r="AN13" s="42">
        <v>0</v>
      </c>
      <c r="AO13" s="42"/>
      <c r="AP13" s="42">
        <v>10317</v>
      </c>
      <c r="AQ13" s="42">
        <v>0</v>
      </c>
      <c r="AR13" s="42">
        <v>0</v>
      </c>
      <c r="AS13" s="42">
        <v>0</v>
      </c>
      <c r="AT13" s="42">
        <v>34</v>
      </c>
      <c r="AU13" s="42">
        <v>14</v>
      </c>
      <c r="AV13" s="45">
        <v>7</v>
      </c>
      <c r="AW13" s="45">
        <v>-2</v>
      </c>
      <c r="AX13" s="45">
        <v>-9</v>
      </c>
      <c r="AY13" s="45">
        <v>-7</v>
      </c>
      <c r="AZ13" s="45">
        <v>0</v>
      </c>
      <c r="BA13" s="42">
        <f t="shared" si="8"/>
        <v>37</v>
      </c>
      <c r="BB13" s="42">
        <v>0</v>
      </c>
      <c r="BC13" s="42">
        <v>0</v>
      </c>
      <c r="BD13" s="42">
        <v>1</v>
      </c>
      <c r="BE13" s="42">
        <v>1</v>
      </c>
      <c r="BF13" s="42">
        <v>1</v>
      </c>
      <c r="BG13" s="42">
        <v>1</v>
      </c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</row>
    <row r="14" spans="1:235" s="29" customFormat="1" ht="15.75" x14ac:dyDescent="0.25">
      <c r="A14" s="40">
        <v>5</v>
      </c>
      <c r="B14" s="41" t="s">
        <v>164</v>
      </c>
      <c r="C14" s="41" t="s">
        <v>68</v>
      </c>
      <c r="D14" s="77" t="s">
        <v>204</v>
      </c>
      <c r="E14" s="77"/>
      <c r="F14" s="77" t="s">
        <v>205</v>
      </c>
      <c r="G14" s="42" t="s">
        <v>93</v>
      </c>
      <c r="H14" s="42">
        <v>1079460</v>
      </c>
      <c r="I14" s="42">
        <v>1079460</v>
      </c>
      <c r="J14" s="42">
        <v>66101</v>
      </c>
      <c r="K14" s="42">
        <v>786448</v>
      </c>
      <c r="L14" s="42">
        <v>9409</v>
      </c>
      <c r="M14" s="42">
        <v>249438</v>
      </c>
      <c r="N14" s="42">
        <v>62758</v>
      </c>
      <c r="O14" s="42">
        <v>1235833</v>
      </c>
      <c r="P14" s="43">
        <v>1</v>
      </c>
      <c r="Q14" s="42">
        <f>1235833-810052</f>
        <v>425781</v>
      </c>
      <c r="R14" s="42">
        <v>810052</v>
      </c>
      <c r="S14" s="42">
        <v>0</v>
      </c>
      <c r="T14" s="44">
        <f>81005/810052</f>
        <v>9.9999753102269981E-2</v>
      </c>
      <c r="U14" s="42">
        <v>83539</v>
      </c>
      <c r="V14" s="42">
        <v>0</v>
      </c>
      <c r="W14" s="42">
        <v>0</v>
      </c>
      <c r="X14" s="42">
        <v>13902</v>
      </c>
      <c r="Y14" s="42">
        <v>1067</v>
      </c>
      <c r="Z14" s="42">
        <v>0</v>
      </c>
      <c r="AA14" s="42">
        <v>0</v>
      </c>
      <c r="AB14" s="42">
        <v>13900</v>
      </c>
      <c r="AC14" s="42">
        <v>974</v>
      </c>
      <c r="AD14" s="42">
        <v>10400</v>
      </c>
      <c r="AE14" s="42">
        <f>62+278+27</f>
        <v>367</v>
      </c>
      <c r="AF14" s="42">
        <v>0</v>
      </c>
      <c r="AG14" s="42">
        <v>0</v>
      </c>
      <c r="AH14" s="42">
        <v>0</v>
      </c>
      <c r="AI14" s="42">
        <v>0</v>
      </c>
      <c r="AJ14" s="42">
        <v>45607</v>
      </c>
      <c r="AK14" s="80">
        <f t="shared" si="7"/>
        <v>0</v>
      </c>
      <c r="AL14" s="42">
        <v>0</v>
      </c>
      <c r="AM14" s="42">
        <v>57500</v>
      </c>
      <c r="AN14" s="42">
        <v>0</v>
      </c>
      <c r="AO14" s="42"/>
      <c r="AP14" s="42">
        <v>41957</v>
      </c>
      <c r="AQ14" s="42">
        <v>7648</v>
      </c>
      <c r="AR14" s="42">
        <v>0</v>
      </c>
      <c r="AS14" s="42">
        <v>0</v>
      </c>
      <c r="AT14" s="42">
        <v>25</v>
      </c>
      <c r="AU14" s="42">
        <v>4</v>
      </c>
      <c r="AV14" s="45">
        <v>0</v>
      </c>
      <c r="AW14" s="45">
        <v>-1</v>
      </c>
      <c r="AX14" s="45">
        <v>-5</v>
      </c>
      <c r="AY14" s="45">
        <v>-2</v>
      </c>
      <c r="AZ14" s="45">
        <v>0</v>
      </c>
      <c r="BA14" s="42">
        <f t="shared" si="8"/>
        <v>21</v>
      </c>
      <c r="BB14" s="42">
        <v>1</v>
      </c>
      <c r="BC14" s="42">
        <v>0</v>
      </c>
      <c r="BD14" s="42">
        <v>0</v>
      </c>
      <c r="BE14" s="42">
        <v>0</v>
      </c>
      <c r="BF14" s="42">
        <v>1</v>
      </c>
      <c r="BG14" s="42">
        <v>0</v>
      </c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</row>
    <row r="15" spans="1:235" s="29" customFormat="1" ht="15.75" x14ac:dyDescent="0.25">
      <c r="A15" s="40">
        <v>5</v>
      </c>
      <c r="B15" s="41" t="s">
        <v>165</v>
      </c>
      <c r="C15" s="41" t="s">
        <v>115</v>
      </c>
      <c r="D15" s="77" t="s">
        <v>255</v>
      </c>
      <c r="E15" s="77"/>
      <c r="F15" s="77" t="s">
        <v>206</v>
      </c>
      <c r="G15" s="42" t="s">
        <v>81</v>
      </c>
      <c r="H15" s="42">
        <v>3167145</v>
      </c>
      <c r="I15" s="42">
        <v>3174858</v>
      </c>
      <c r="J15" s="42">
        <v>28381</v>
      </c>
      <c r="K15" s="42">
        <v>1489981</v>
      </c>
      <c r="L15" s="42">
        <v>29340</v>
      </c>
      <c r="M15" s="42">
        <v>72379</v>
      </c>
      <c r="N15" s="42">
        <v>93753</v>
      </c>
      <c r="O15" s="42">
        <v>3461879</v>
      </c>
      <c r="P15" s="43">
        <v>6</v>
      </c>
      <c r="Q15" s="42">
        <f>3461879-1295080</f>
        <v>2166799</v>
      </c>
      <c r="R15" s="42">
        <v>893538</v>
      </c>
      <c r="S15" s="51">
        <v>401542</v>
      </c>
      <c r="T15" s="52">
        <f>101400/1295080</f>
        <v>7.8296321462766785E-2</v>
      </c>
      <c r="U15" s="42">
        <v>101503</v>
      </c>
      <c r="V15" s="42">
        <v>0</v>
      </c>
      <c r="W15" s="42">
        <f>3335+295+148</f>
        <v>3778</v>
      </c>
      <c r="X15" s="42">
        <v>0</v>
      </c>
      <c r="Y15" s="42">
        <v>0</v>
      </c>
      <c r="Z15" s="42">
        <v>0</v>
      </c>
      <c r="AA15" s="42">
        <v>9043</v>
      </c>
      <c r="AB15" s="42">
        <v>0</v>
      </c>
      <c r="AC15" s="42">
        <v>0</v>
      </c>
      <c r="AD15" s="42">
        <v>44260</v>
      </c>
      <c r="AE15" s="42">
        <f>2472+608+897</f>
        <v>3977</v>
      </c>
      <c r="AF15" s="42">
        <v>0</v>
      </c>
      <c r="AG15" s="42">
        <v>0</v>
      </c>
      <c r="AH15" s="42">
        <v>0</v>
      </c>
      <c r="AI15" s="42">
        <v>0</v>
      </c>
      <c r="AJ15" s="42">
        <v>63984</v>
      </c>
      <c r="AK15" s="80">
        <f t="shared" si="7"/>
        <v>0</v>
      </c>
      <c r="AL15" s="42">
        <v>0</v>
      </c>
      <c r="AM15" s="42">
        <v>49600</v>
      </c>
      <c r="AN15" s="42">
        <v>0</v>
      </c>
      <c r="AO15" s="42"/>
      <c r="AP15" s="42">
        <v>26527</v>
      </c>
      <c r="AQ15" s="42">
        <v>0</v>
      </c>
      <c r="AR15" s="42">
        <v>0</v>
      </c>
      <c r="AS15" s="42">
        <v>0</v>
      </c>
      <c r="AT15" s="42">
        <v>28</v>
      </c>
      <c r="AU15" s="42">
        <v>4</v>
      </c>
      <c r="AV15" s="45">
        <v>0</v>
      </c>
      <c r="AW15" s="45">
        <v>-1</v>
      </c>
      <c r="AX15" s="45">
        <v>-2</v>
      </c>
      <c r="AY15" s="45">
        <v>-2</v>
      </c>
      <c r="AZ15" s="45">
        <v>0</v>
      </c>
      <c r="BA15" s="42">
        <f t="shared" si="8"/>
        <v>27</v>
      </c>
      <c r="BB15" s="42">
        <v>0</v>
      </c>
      <c r="BC15" s="42">
        <v>2</v>
      </c>
      <c r="BD15" s="42">
        <v>0</v>
      </c>
      <c r="BE15" s="42">
        <v>0</v>
      </c>
      <c r="BF15" s="42">
        <v>0</v>
      </c>
      <c r="BG15" s="42">
        <v>0</v>
      </c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</row>
    <row r="16" spans="1:235" s="29" customFormat="1" ht="15.75" x14ac:dyDescent="0.25">
      <c r="A16" s="40">
        <v>6</v>
      </c>
      <c r="B16" s="41" t="s">
        <v>166</v>
      </c>
      <c r="C16" s="41" t="s">
        <v>78</v>
      </c>
      <c r="D16" s="77" t="s">
        <v>207</v>
      </c>
      <c r="E16" s="77"/>
      <c r="F16" s="77" t="s">
        <v>208</v>
      </c>
      <c r="G16" s="42" t="s">
        <v>143</v>
      </c>
      <c r="H16" s="42">
        <v>457240</v>
      </c>
      <c r="I16" s="42">
        <v>470708</v>
      </c>
      <c r="J16" s="42">
        <v>22525</v>
      </c>
      <c r="K16" s="42">
        <v>405682</v>
      </c>
      <c r="L16" s="42">
        <v>4455</v>
      </c>
      <c r="M16" s="42">
        <v>29259</v>
      </c>
      <c r="N16" s="42">
        <v>0</v>
      </c>
      <c r="O16" s="42">
        <v>473414</v>
      </c>
      <c r="P16" s="43">
        <v>2.88</v>
      </c>
      <c r="Q16" s="42">
        <f>473414-459947</f>
        <v>13467</v>
      </c>
      <c r="R16" s="42">
        <v>96461</v>
      </c>
      <c r="S16" s="42">
        <v>363486</v>
      </c>
      <c r="T16" s="44">
        <f>20551/459947</f>
        <v>4.4681235011860061E-2</v>
      </c>
      <c r="U16" s="42">
        <v>20551</v>
      </c>
      <c r="V16" s="42">
        <v>134675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1002</v>
      </c>
      <c r="AC16" s="42">
        <v>0</v>
      </c>
      <c r="AD16" s="42">
        <v>0</v>
      </c>
      <c r="AE16" s="42">
        <f>232+150</f>
        <v>382</v>
      </c>
      <c r="AF16" s="42">
        <v>400</v>
      </c>
      <c r="AG16" s="42">
        <v>0</v>
      </c>
      <c r="AH16" s="42">
        <v>0</v>
      </c>
      <c r="AI16" s="42">
        <v>0</v>
      </c>
      <c r="AJ16" s="42">
        <v>5549</v>
      </c>
      <c r="AK16" s="80">
        <f t="shared" si="7"/>
        <v>0</v>
      </c>
      <c r="AL16" s="42">
        <v>0</v>
      </c>
      <c r="AM16" s="42">
        <v>28469</v>
      </c>
      <c r="AN16" s="42">
        <v>0</v>
      </c>
      <c r="AO16" s="42"/>
      <c r="AP16" s="42">
        <v>10023</v>
      </c>
      <c r="AQ16" s="42">
        <v>0</v>
      </c>
      <c r="AR16" s="42">
        <v>0</v>
      </c>
      <c r="AS16" s="42">
        <v>0</v>
      </c>
      <c r="AT16" s="42">
        <v>10</v>
      </c>
      <c r="AU16" s="42">
        <v>6</v>
      </c>
      <c r="AV16" s="45">
        <v>0</v>
      </c>
      <c r="AW16" s="45">
        <v>-4</v>
      </c>
      <c r="AX16" s="45">
        <v>-4</v>
      </c>
      <c r="AY16" s="45">
        <v>0</v>
      </c>
      <c r="AZ16" s="45">
        <v>-2</v>
      </c>
      <c r="BA16" s="42">
        <f t="shared" si="8"/>
        <v>6</v>
      </c>
      <c r="BB16" s="42">
        <v>0</v>
      </c>
      <c r="BC16" s="42">
        <v>0</v>
      </c>
      <c r="BD16" s="42">
        <v>0</v>
      </c>
      <c r="BE16" s="42">
        <v>2</v>
      </c>
      <c r="BF16" s="42">
        <v>0</v>
      </c>
      <c r="BG16" s="42">
        <v>0</v>
      </c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</row>
    <row r="17" spans="1:235" s="29" customFormat="1" ht="15.75" x14ac:dyDescent="0.25">
      <c r="A17" s="40">
        <v>6</v>
      </c>
      <c r="B17" s="41" t="s">
        <v>260</v>
      </c>
      <c r="C17" s="41" t="s">
        <v>148</v>
      </c>
      <c r="D17" s="77" t="s">
        <v>209</v>
      </c>
      <c r="E17" s="77"/>
      <c r="F17" s="77" t="s">
        <v>203</v>
      </c>
      <c r="G17" s="42" t="s">
        <v>143</v>
      </c>
      <c r="H17" s="42">
        <f>1354+723003</f>
        <v>724357</v>
      </c>
      <c r="I17" s="42">
        <f>1359+723532</f>
        <v>724891</v>
      </c>
      <c r="J17" s="42">
        <v>94523</v>
      </c>
      <c r="K17" s="42">
        <f>1676+486729</f>
        <v>488405</v>
      </c>
      <c r="L17" s="42">
        <v>57952</v>
      </c>
      <c r="M17" s="42">
        <v>19872</v>
      </c>
      <c r="N17" s="42">
        <f>523+34009</f>
        <v>34532</v>
      </c>
      <c r="O17" s="42">
        <f>2414+647479</f>
        <v>649893</v>
      </c>
      <c r="P17" s="43">
        <v>1.8</v>
      </c>
      <c r="Q17" s="42">
        <f>649893-649480</f>
        <v>413</v>
      </c>
      <c r="R17" s="42">
        <f>2414+647066</f>
        <v>649480</v>
      </c>
      <c r="S17" s="42">
        <v>0</v>
      </c>
      <c r="T17" s="44">
        <f>215/2414</f>
        <v>8.9063794531897264E-2</v>
      </c>
      <c r="U17" s="42">
        <f>57589+215</f>
        <v>57804</v>
      </c>
      <c r="V17" s="42">
        <v>4645</v>
      </c>
      <c r="W17" s="42">
        <f>109+7+9+15</f>
        <v>140</v>
      </c>
      <c r="X17" s="42">
        <v>0</v>
      </c>
      <c r="Y17" s="42">
        <v>0</v>
      </c>
      <c r="Z17" s="42">
        <v>0</v>
      </c>
      <c r="AA17" s="42">
        <v>2886</v>
      </c>
      <c r="AB17" s="42">
        <v>11750</v>
      </c>
      <c r="AC17" s="42">
        <v>192</v>
      </c>
      <c r="AD17" s="42">
        <v>5484</v>
      </c>
      <c r="AE17" s="42">
        <f>275+601+219+440</f>
        <v>1535</v>
      </c>
      <c r="AF17" s="42">
        <v>0</v>
      </c>
      <c r="AG17" s="42">
        <v>370</v>
      </c>
      <c r="AH17" s="42">
        <v>0</v>
      </c>
      <c r="AI17" s="42">
        <v>0</v>
      </c>
      <c r="AJ17" s="42">
        <f>219+22813</f>
        <v>23032</v>
      </c>
      <c r="AK17" s="80">
        <f t="shared" si="7"/>
        <v>0</v>
      </c>
      <c r="AL17" s="42">
        <v>0</v>
      </c>
      <c r="AM17" s="42">
        <f>68+35840</f>
        <v>35908</v>
      </c>
      <c r="AN17" s="42">
        <v>0</v>
      </c>
      <c r="AO17" s="42"/>
      <c r="AP17" s="42">
        <v>12029</v>
      </c>
      <c r="AQ17" s="42">
        <v>0</v>
      </c>
      <c r="AR17" s="42">
        <v>0</v>
      </c>
      <c r="AS17" s="42">
        <v>0</v>
      </c>
      <c r="AT17" s="42">
        <v>22</v>
      </c>
      <c r="AU17" s="42">
        <v>8</v>
      </c>
      <c r="AV17" s="45">
        <v>0</v>
      </c>
      <c r="AW17" s="45">
        <v>-2</v>
      </c>
      <c r="AX17" s="45">
        <v>0</v>
      </c>
      <c r="AY17" s="45">
        <v>-4</v>
      </c>
      <c r="AZ17" s="45">
        <v>0</v>
      </c>
      <c r="BA17" s="42">
        <f t="shared" si="8"/>
        <v>24</v>
      </c>
      <c r="BB17" s="42">
        <v>0</v>
      </c>
      <c r="BC17" s="42">
        <v>0</v>
      </c>
      <c r="BD17" s="42">
        <v>0</v>
      </c>
      <c r="BE17" s="42">
        <v>1</v>
      </c>
      <c r="BF17" s="42">
        <v>3</v>
      </c>
      <c r="BG17" s="42">
        <v>0</v>
      </c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</row>
    <row r="18" spans="1:235" s="29" customFormat="1" ht="15.75" x14ac:dyDescent="0.25">
      <c r="A18" s="40">
        <v>7</v>
      </c>
      <c r="B18" s="41" t="s">
        <v>167</v>
      </c>
      <c r="C18" s="41" t="s">
        <v>64</v>
      </c>
      <c r="D18" s="77" t="s">
        <v>210</v>
      </c>
      <c r="E18" s="77"/>
      <c r="F18" s="77" t="s">
        <v>211</v>
      </c>
      <c r="G18" s="42" t="s">
        <v>143</v>
      </c>
      <c r="H18" s="42">
        <v>165751</v>
      </c>
      <c r="I18" s="42">
        <v>165759</v>
      </c>
      <c r="J18" s="42">
        <v>0</v>
      </c>
      <c r="K18" s="42">
        <v>140060</v>
      </c>
      <c r="L18" s="42">
        <v>0</v>
      </c>
      <c r="M18" s="42">
        <v>7766</v>
      </c>
      <c r="N18" s="42">
        <v>8146</v>
      </c>
      <c r="O18" s="42">
        <v>167114</v>
      </c>
      <c r="P18" s="43">
        <v>0</v>
      </c>
      <c r="Q18" s="42">
        <f>167114-167114</f>
        <v>0</v>
      </c>
      <c r="R18" s="42">
        <v>159175</v>
      </c>
      <c r="S18" s="42">
        <v>7939</v>
      </c>
      <c r="T18" s="44">
        <f>11142/167114</f>
        <v>6.6673049535047935E-2</v>
      </c>
      <c r="U18" s="42">
        <v>11142</v>
      </c>
      <c r="V18" s="42">
        <v>255356</v>
      </c>
      <c r="W18" s="42">
        <f>8+17</f>
        <v>25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53</v>
      </c>
      <c r="AF18" s="42">
        <v>1696</v>
      </c>
      <c r="AG18" s="42">
        <v>0</v>
      </c>
      <c r="AH18" s="42">
        <v>0</v>
      </c>
      <c r="AI18" s="42">
        <v>0</v>
      </c>
      <c r="AJ18" s="42">
        <v>7662</v>
      </c>
      <c r="AK18" s="37">
        <f t="shared" si="7"/>
        <v>0</v>
      </c>
      <c r="AL18" s="42">
        <v>0</v>
      </c>
      <c r="AM18" s="42">
        <v>21054</v>
      </c>
      <c r="AN18" s="42">
        <v>0</v>
      </c>
      <c r="AO18" s="42"/>
      <c r="AP18" s="42">
        <v>10841</v>
      </c>
      <c r="AQ18" s="42">
        <v>0</v>
      </c>
      <c r="AR18" s="42">
        <v>0</v>
      </c>
      <c r="AS18" s="42">
        <v>0</v>
      </c>
      <c r="AT18" s="42">
        <v>4</v>
      </c>
      <c r="AU18" s="42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33">
        <f t="shared" si="8"/>
        <v>4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</row>
    <row r="19" spans="1:235" s="29" customFormat="1" ht="15.75" x14ac:dyDescent="0.25">
      <c r="A19" s="40">
        <v>7</v>
      </c>
      <c r="B19" s="41" t="s">
        <v>168</v>
      </c>
      <c r="C19" s="41" t="s">
        <v>88</v>
      </c>
      <c r="D19" s="77" t="s">
        <v>212</v>
      </c>
      <c r="E19" s="77"/>
      <c r="F19" s="77" t="s">
        <v>213</v>
      </c>
      <c r="G19" s="42" t="s">
        <v>143</v>
      </c>
      <c r="H19" s="42">
        <v>1365997</v>
      </c>
      <c r="I19" s="42">
        <v>1366217</v>
      </c>
      <c r="J19" s="42">
        <v>217604</v>
      </c>
      <c r="K19" s="42">
        <v>904610</v>
      </c>
      <c r="L19" s="42">
        <v>5576</v>
      </c>
      <c r="M19" s="42">
        <v>221743</v>
      </c>
      <c r="N19" s="42">
        <v>0</v>
      </c>
      <c r="O19" s="42">
        <v>1218735</v>
      </c>
      <c r="P19" s="43">
        <v>0</v>
      </c>
      <c r="Q19" s="42">
        <f>1218735-1218735</f>
        <v>0</v>
      </c>
      <c r="R19" s="42">
        <v>421383</v>
      </c>
      <c r="S19" s="42">
        <v>302733</v>
      </c>
      <c r="T19" s="44">
        <f>51220/724116</f>
        <v>7.0734523197940657E-2</v>
      </c>
      <c r="U19" s="42">
        <v>81806</v>
      </c>
      <c r="V19" s="42">
        <v>0</v>
      </c>
      <c r="W19" s="42">
        <f>220+13+7</f>
        <v>240</v>
      </c>
      <c r="X19" s="42">
        <v>26900</v>
      </c>
      <c r="Y19" s="42">
        <v>2800</v>
      </c>
      <c r="Z19" s="42">
        <v>0</v>
      </c>
      <c r="AA19" s="42">
        <v>0</v>
      </c>
      <c r="AB19" s="42">
        <v>13510</v>
      </c>
      <c r="AC19" s="42">
        <v>0</v>
      </c>
      <c r="AD19" s="42">
        <v>5161</v>
      </c>
      <c r="AE19" s="42">
        <f>1399+618+206</f>
        <v>2223</v>
      </c>
      <c r="AF19" s="42">
        <v>0</v>
      </c>
      <c r="AG19" s="42">
        <v>0</v>
      </c>
      <c r="AH19" s="42">
        <v>0</v>
      </c>
      <c r="AI19" s="42">
        <v>4330</v>
      </c>
      <c r="AJ19" s="42">
        <v>57534</v>
      </c>
      <c r="AK19" s="37">
        <f t="shared" si="7"/>
        <v>7.5259846351722462E-2</v>
      </c>
      <c r="AL19" s="42">
        <v>0</v>
      </c>
      <c r="AM19" s="42">
        <v>23744</v>
      </c>
      <c r="AN19" s="42">
        <v>0</v>
      </c>
      <c r="AO19" s="42"/>
      <c r="AP19" s="42">
        <v>704</v>
      </c>
      <c r="AQ19" s="42">
        <v>0</v>
      </c>
      <c r="AR19" s="42">
        <v>0</v>
      </c>
      <c r="AS19" s="42">
        <v>0</v>
      </c>
      <c r="AT19" s="42">
        <v>24</v>
      </c>
      <c r="AU19" s="42">
        <v>0</v>
      </c>
      <c r="AV19" s="45">
        <v>0</v>
      </c>
      <c r="AW19" s="45">
        <v>0</v>
      </c>
      <c r="AX19" s="45">
        <v>0</v>
      </c>
      <c r="AY19" s="45">
        <v>-3</v>
      </c>
      <c r="AZ19" s="45">
        <v>0</v>
      </c>
      <c r="BA19" s="33">
        <f t="shared" si="8"/>
        <v>21</v>
      </c>
      <c r="BB19" s="42">
        <v>9</v>
      </c>
      <c r="BC19" s="42">
        <v>2</v>
      </c>
      <c r="BD19" s="42">
        <v>0</v>
      </c>
      <c r="BE19" s="42">
        <v>1</v>
      </c>
      <c r="BF19" s="42">
        <v>0</v>
      </c>
      <c r="BG19" s="42">
        <v>0</v>
      </c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</row>
    <row r="20" spans="1:235" ht="15.75" x14ac:dyDescent="0.25">
      <c r="A20" s="31">
        <v>7</v>
      </c>
      <c r="B20" s="32" t="s">
        <v>169</v>
      </c>
      <c r="C20" s="32" t="s">
        <v>86</v>
      </c>
      <c r="D20" s="77" t="s">
        <v>214</v>
      </c>
      <c r="E20" s="77"/>
      <c r="F20" s="77" t="s">
        <v>211</v>
      </c>
      <c r="G20" s="33" t="s">
        <v>143</v>
      </c>
      <c r="H20" s="33">
        <v>395254</v>
      </c>
      <c r="I20" s="33">
        <v>395254</v>
      </c>
      <c r="J20" s="33">
        <v>9</v>
      </c>
      <c r="K20" s="33">
        <v>370475</v>
      </c>
      <c r="L20" s="33">
        <v>0</v>
      </c>
      <c r="M20" s="33">
        <v>6637</v>
      </c>
      <c r="N20" s="33">
        <v>500</v>
      </c>
      <c r="O20" s="33">
        <v>397486</v>
      </c>
      <c r="P20" s="34">
        <v>1</v>
      </c>
      <c r="Q20" s="33">
        <f>397486-397486</f>
        <v>0</v>
      </c>
      <c r="R20" s="33">
        <v>397486</v>
      </c>
      <c r="S20" s="33">
        <v>0</v>
      </c>
      <c r="T20" s="39">
        <f>19874/397486</f>
        <v>4.9999245256436703E-2</v>
      </c>
      <c r="U20" s="33">
        <v>19874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250</v>
      </c>
      <c r="AG20" s="33">
        <v>0</v>
      </c>
      <c r="AH20" s="33">
        <v>0</v>
      </c>
      <c r="AI20" s="33">
        <v>0</v>
      </c>
      <c r="AJ20" s="33">
        <v>1064</v>
      </c>
      <c r="AK20" s="37">
        <f t="shared" si="7"/>
        <v>0</v>
      </c>
      <c r="AL20" s="33">
        <v>0</v>
      </c>
      <c r="AM20" s="33">
        <v>19762</v>
      </c>
      <c r="AN20" s="33">
        <v>0</v>
      </c>
      <c r="AO20" s="33">
        <v>38</v>
      </c>
      <c r="AP20" s="33">
        <v>7220</v>
      </c>
      <c r="AQ20" s="33">
        <v>0</v>
      </c>
      <c r="AR20" s="33">
        <v>0</v>
      </c>
      <c r="AS20" s="33">
        <v>0</v>
      </c>
      <c r="AT20" s="33">
        <v>2</v>
      </c>
      <c r="AU20" s="33">
        <v>0</v>
      </c>
      <c r="AV20" s="38">
        <v>0</v>
      </c>
      <c r="AW20" s="38">
        <v>0</v>
      </c>
      <c r="AX20" s="38">
        <v>-1</v>
      </c>
      <c r="AY20" s="38">
        <v>0</v>
      </c>
      <c r="AZ20" s="38">
        <v>0</v>
      </c>
      <c r="BA20" s="33">
        <f t="shared" si="8"/>
        <v>1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</row>
    <row r="21" spans="1:235" s="29" customFormat="1" ht="15.75" x14ac:dyDescent="0.25">
      <c r="A21" s="40">
        <v>8</v>
      </c>
      <c r="B21" s="41" t="s">
        <v>170</v>
      </c>
      <c r="C21" s="41" t="s">
        <v>70</v>
      </c>
      <c r="D21" s="77" t="s">
        <v>215</v>
      </c>
      <c r="E21" s="77"/>
      <c r="F21" s="77" t="s">
        <v>216</v>
      </c>
      <c r="G21" s="42" t="s">
        <v>135</v>
      </c>
      <c r="H21" s="42">
        <v>285834</v>
      </c>
      <c r="I21" s="42">
        <v>285858</v>
      </c>
      <c r="J21" s="42">
        <v>0</v>
      </c>
      <c r="K21" s="42">
        <v>273800</v>
      </c>
      <c r="L21" s="42">
        <v>0</v>
      </c>
      <c r="M21" s="42">
        <v>0</v>
      </c>
      <c r="N21" s="42">
        <v>5650</v>
      </c>
      <c r="O21" s="42">
        <v>289834</v>
      </c>
      <c r="P21" s="43">
        <v>0.01</v>
      </c>
      <c r="Q21" s="42">
        <f>289834-289834</f>
        <v>0</v>
      </c>
      <c r="R21" s="42">
        <v>289834</v>
      </c>
      <c r="S21" s="51">
        <v>0</v>
      </c>
      <c r="T21" s="52">
        <f>10434/289834</f>
        <v>3.5999917193980005E-2</v>
      </c>
      <c r="U21" s="42">
        <v>10384</v>
      </c>
      <c r="V21" s="42">
        <v>0</v>
      </c>
      <c r="W21" s="42">
        <f>24+21</f>
        <v>45</v>
      </c>
      <c r="X21" s="42">
        <v>2625</v>
      </c>
      <c r="Y21" s="42">
        <v>225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f>88+121</f>
        <v>209</v>
      </c>
      <c r="AF21" s="42">
        <v>0</v>
      </c>
      <c r="AG21" s="42">
        <v>0</v>
      </c>
      <c r="AH21" s="42">
        <v>0</v>
      </c>
      <c r="AI21" s="42">
        <v>0</v>
      </c>
      <c r="AJ21" s="42">
        <v>3264</v>
      </c>
      <c r="AK21" s="80">
        <f t="shared" si="7"/>
        <v>0</v>
      </c>
      <c r="AL21" s="42">
        <v>0</v>
      </c>
      <c r="AM21" s="42">
        <v>14292</v>
      </c>
      <c r="AN21" s="42">
        <v>0</v>
      </c>
      <c r="AO21" s="42"/>
      <c r="AP21" s="42">
        <v>10581</v>
      </c>
      <c r="AQ21" s="42">
        <v>0</v>
      </c>
      <c r="AR21" s="42">
        <v>0</v>
      </c>
      <c r="AS21" s="42">
        <v>0</v>
      </c>
      <c r="AT21" s="42">
        <v>10</v>
      </c>
      <c r="AU21" s="42">
        <v>2</v>
      </c>
      <c r="AV21" s="45">
        <v>0</v>
      </c>
      <c r="AW21" s="45">
        <v>0</v>
      </c>
      <c r="AX21" s="45">
        <v>0</v>
      </c>
      <c r="AY21" s="45">
        <v>-3</v>
      </c>
      <c r="AZ21" s="45">
        <v>0</v>
      </c>
      <c r="BA21" s="42">
        <f t="shared" si="8"/>
        <v>9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</row>
    <row r="22" spans="1:235" s="29" customFormat="1" ht="15.75" x14ac:dyDescent="0.25">
      <c r="A22" s="40">
        <v>8</v>
      </c>
      <c r="B22" s="41" t="s">
        <v>171</v>
      </c>
      <c r="C22" s="41" t="s">
        <v>25</v>
      </c>
      <c r="D22" s="77" t="s">
        <v>217</v>
      </c>
      <c r="E22" s="77"/>
      <c r="F22" s="77" t="s">
        <v>218</v>
      </c>
      <c r="G22" s="42" t="s">
        <v>135</v>
      </c>
      <c r="H22" s="42">
        <v>732316</v>
      </c>
      <c r="I22" s="42">
        <v>732316</v>
      </c>
      <c r="J22" s="42">
        <v>2615</v>
      </c>
      <c r="K22" s="42">
        <v>492658</v>
      </c>
      <c r="L22" s="42">
        <v>26879</v>
      </c>
      <c r="M22" s="42">
        <v>82844</v>
      </c>
      <c r="N22" s="42">
        <v>12978</v>
      </c>
      <c r="O22" s="42">
        <v>656803</v>
      </c>
      <c r="P22" s="43">
        <v>2</v>
      </c>
      <c r="Q22" s="42">
        <f>656803-656803</f>
        <v>0</v>
      </c>
      <c r="R22" s="42">
        <v>656803</v>
      </c>
      <c r="S22" s="42">
        <v>0</v>
      </c>
      <c r="T22" s="44">
        <f>36124/656803</f>
        <v>5.499974878312066E-2</v>
      </c>
      <c r="U22" s="42">
        <v>36271</v>
      </c>
      <c r="V22" s="42">
        <v>0</v>
      </c>
      <c r="W22" s="42">
        <v>0.05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250</v>
      </c>
      <c r="AG22" s="42">
        <v>0</v>
      </c>
      <c r="AH22" s="42">
        <v>0</v>
      </c>
      <c r="AI22" s="42">
        <v>0</v>
      </c>
      <c r="AJ22" s="42">
        <v>6016</v>
      </c>
      <c r="AK22" s="37">
        <f t="shared" si="7"/>
        <v>0</v>
      </c>
      <c r="AL22" s="42">
        <v>0</v>
      </c>
      <c r="AM22" s="42">
        <v>36485</v>
      </c>
      <c r="AN22" s="42">
        <v>213.83</v>
      </c>
      <c r="AO22" s="42"/>
      <c r="AP22" s="42">
        <v>3770</v>
      </c>
      <c r="AQ22" s="42">
        <v>0</v>
      </c>
      <c r="AR22" s="42">
        <v>0</v>
      </c>
      <c r="AS22" s="42">
        <v>0</v>
      </c>
      <c r="AT22" s="42">
        <v>34</v>
      </c>
      <c r="AU22" s="42">
        <v>1</v>
      </c>
      <c r="AV22" s="45">
        <v>0</v>
      </c>
      <c r="AW22" s="45">
        <v>0</v>
      </c>
      <c r="AX22" s="45">
        <v>-10</v>
      </c>
      <c r="AY22" s="45">
        <v>-1</v>
      </c>
      <c r="AZ22" s="45">
        <v>0</v>
      </c>
      <c r="BA22" s="33">
        <f t="shared" si="8"/>
        <v>24</v>
      </c>
      <c r="BB22" s="42">
        <v>1</v>
      </c>
      <c r="BC22" s="42">
        <v>0</v>
      </c>
      <c r="BD22" s="42">
        <v>0</v>
      </c>
      <c r="BE22" s="42">
        <v>0</v>
      </c>
      <c r="BF22" s="42">
        <v>0</v>
      </c>
      <c r="BG22" s="42">
        <v>1</v>
      </c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</row>
    <row r="23" spans="1:235" ht="15.75" x14ac:dyDescent="0.25">
      <c r="A23" s="31">
        <v>9</v>
      </c>
      <c r="B23" s="32" t="s">
        <v>172</v>
      </c>
      <c r="C23" s="32" t="s">
        <v>79</v>
      </c>
      <c r="D23" s="77" t="s">
        <v>219</v>
      </c>
      <c r="E23" s="77"/>
      <c r="F23" s="77" t="s">
        <v>211</v>
      </c>
      <c r="G23" s="33" t="s">
        <v>89</v>
      </c>
      <c r="H23" s="33">
        <v>2809018</v>
      </c>
      <c r="I23" s="33">
        <v>2810167</v>
      </c>
      <c r="J23" s="33">
        <v>1201654</v>
      </c>
      <c r="K23" s="33">
        <v>1214282</v>
      </c>
      <c r="L23" s="33">
        <v>3252</v>
      </c>
      <c r="M23" s="33">
        <v>235688</v>
      </c>
      <c r="N23" s="33">
        <v>52305</v>
      </c>
      <c r="O23" s="33">
        <v>1612608</v>
      </c>
      <c r="P23" s="34">
        <v>3.6999999999999998E-2</v>
      </c>
      <c r="Q23" s="33">
        <f>1612608-1611459</f>
        <v>1149</v>
      </c>
      <c r="R23" s="33">
        <v>1611459</v>
      </c>
      <c r="S23" s="35">
        <v>0</v>
      </c>
      <c r="T23" s="36">
        <f>96688/1611459</f>
        <v>6.0000285455602653E-2</v>
      </c>
      <c r="U23" s="33">
        <v>96688</v>
      </c>
      <c r="V23" s="33">
        <v>18002</v>
      </c>
      <c r="W23" s="33">
        <v>0</v>
      </c>
      <c r="X23" s="33">
        <v>0</v>
      </c>
      <c r="Y23" s="33">
        <v>0</v>
      </c>
      <c r="Z23" s="33">
        <v>0</v>
      </c>
      <c r="AA23" s="33">
        <v>4200</v>
      </c>
      <c r="AB23" s="33">
        <v>1613</v>
      </c>
      <c r="AC23" s="33">
        <v>638</v>
      </c>
      <c r="AD23" s="33">
        <v>0</v>
      </c>
      <c r="AE23" s="33">
        <f>726+408+704</f>
        <v>1838</v>
      </c>
      <c r="AF23" s="33">
        <v>2675</v>
      </c>
      <c r="AG23" s="33">
        <v>0</v>
      </c>
      <c r="AH23" s="33">
        <v>117</v>
      </c>
      <c r="AI23" s="33">
        <v>0</v>
      </c>
      <c r="AJ23" s="33">
        <v>15672</v>
      </c>
      <c r="AK23" s="37">
        <f t="shared" si="7"/>
        <v>0</v>
      </c>
      <c r="AL23" s="33">
        <v>0</v>
      </c>
      <c r="AM23" s="33">
        <v>75220</v>
      </c>
      <c r="AN23" s="33">
        <v>0</v>
      </c>
      <c r="AO23" s="33"/>
      <c r="AP23" s="33">
        <v>6948</v>
      </c>
      <c r="AQ23" s="33">
        <v>0</v>
      </c>
      <c r="AR23" s="33">
        <v>0</v>
      </c>
      <c r="AS23" s="33">
        <v>0</v>
      </c>
      <c r="AT23" s="33">
        <v>32</v>
      </c>
      <c r="AU23" s="33">
        <v>0</v>
      </c>
      <c r="AV23" s="38">
        <v>0</v>
      </c>
      <c r="AW23" s="38">
        <v>-1</v>
      </c>
      <c r="AX23" s="38">
        <v>-3</v>
      </c>
      <c r="AY23" s="38">
        <v>0</v>
      </c>
      <c r="AZ23" s="38">
        <v>0</v>
      </c>
      <c r="BA23" s="33">
        <f t="shared" si="8"/>
        <v>28</v>
      </c>
      <c r="BB23" s="33">
        <v>1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</row>
    <row r="24" spans="1:235" ht="15.75" x14ac:dyDescent="0.25">
      <c r="A24" s="31">
        <v>9</v>
      </c>
      <c r="B24" s="32" t="s">
        <v>173</v>
      </c>
      <c r="C24" s="32" t="s">
        <v>134</v>
      </c>
      <c r="D24" s="77" t="s">
        <v>220</v>
      </c>
      <c r="E24" s="77"/>
      <c r="F24" s="77" t="s">
        <v>218</v>
      </c>
      <c r="G24" s="33" t="s">
        <v>89</v>
      </c>
      <c r="H24" s="33">
        <v>579078</v>
      </c>
      <c r="I24" s="33">
        <v>579078</v>
      </c>
      <c r="J24" s="33">
        <v>2582</v>
      </c>
      <c r="K24" s="33">
        <v>392384</v>
      </c>
      <c r="L24" s="33">
        <v>30992</v>
      </c>
      <c r="M24" s="33">
        <v>26162</v>
      </c>
      <c r="N24" s="33">
        <v>88107</v>
      </c>
      <c r="O24" s="33">
        <v>572173</v>
      </c>
      <c r="P24" s="34">
        <v>1.1000000000000001</v>
      </c>
      <c r="Q24" s="33">
        <f>572173-572173</f>
        <v>0</v>
      </c>
      <c r="R24" s="33">
        <v>572173</v>
      </c>
      <c r="S24" s="35">
        <v>0</v>
      </c>
      <c r="T24" s="36">
        <f>34903/572173</f>
        <v>6.1000781232249689E-2</v>
      </c>
      <c r="U24" s="33">
        <v>34528</v>
      </c>
      <c r="V24" s="33">
        <v>0</v>
      </c>
      <c r="W24" s="33">
        <v>0</v>
      </c>
      <c r="X24" s="33">
        <v>2500</v>
      </c>
      <c r="Y24" s="33">
        <v>202</v>
      </c>
      <c r="Z24" s="33">
        <v>496</v>
      </c>
      <c r="AA24" s="33">
        <v>349</v>
      </c>
      <c r="AB24" s="33">
        <v>0</v>
      </c>
      <c r="AC24" s="33">
        <v>501</v>
      </c>
      <c r="AD24" s="33">
        <v>0</v>
      </c>
      <c r="AE24" s="33">
        <f>52+251+631</f>
        <v>934</v>
      </c>
      <c r="AF24" s="33">
        <v>500</v>
      </c>
      <c r="AG24" s="33">
        <v>92</v>
      </c>
      <c r="AH24" s="33">
        <v>35</v>
      </c>
      <c r="AI24" s="33">
        <v>0</v>
      </c>
      <c r="AJ24" s="33">
        <v>5949</v>
      </c>
      <c r="AK24" s="37">
        <f t="shared" si="7"/>
        <v>0</v>
      </c>
      <c r="AL24" s="33">
        <v>0</v>
      </c>
      <c r="AM24" s="33">
        <v>28825</v>
      </c>
      <c r="AN24" s="33">
        <v>0</v>
      </c>
      <c r="AO24" s="33"/>
      <c r="AP24" s="33">
        <v>4408</v>
      </c>
      <c r="AQ24" s="33">
        <v>0</v>
      </c>
      <c r="AR24" s="33">
        <v>0</v>
      </c>
      <c r="AS24" s="33">
        <v>0</v>
      </c>
      <c r="AT24" s="33">
        <v>26</v>
      </c>
      <c r="AU24" s="33">
        <v>9</v>
      </c>
      <c r="AV24" s="38">
        <v>1</v>
      </c>
      <c r="AW24" s="38">
        <v>0</v>
      </c>
      <c r="AX24" s="38">
        <v>-1</v>
      </c>
      <c r="AY24" s="38">
        <v>-3</v>
      </c>
      <c r="AZ24" s="38">
        <v>0</v>
      </c>
      <c r="BA24" s="33">
        <f t="shared" si="8"/>
        <v>32</v>
      </c>
      <c r="BB24" s="33">
        <v>0</v>
      </c>
      <c r="BC24" s="33">
        <v>0</v>
      </c>
      <c r="BD24" s="33">
        <v>0</v>
      </c>
      <c r="BE24" s="33">
        <v>3</v>
      </c>
      <c r="BF24" s="33">
        <v>0</v>
      </c>
      <c r="BG24" s="33">
        <v>0</v>
      </c>
    </row>
    <row r="25" spans="1:235" ht="15.75" x14ac:dyDescent="0.25">
      <c r="A25" s="31">
        <v>9</v>
      </c>
      <c r="B25" s="32" t="s">
        <v>174</v>
      </c>
      <c r="C25" s="32" t="s">
        <v>62</v>
      </c>
      <c r="D25" s="77" t="s">
        <v>221</v>
      </c>
      <c r="E25" s="77"/>
      <c r="F25" s="77" t="s">
        <v>222</v>
      </c>
      <c r="G25" s="33" t="s">
        <v>103</v>
      </c>
      <c r="H25" s="33">
        <v>2890</v>
      </c>
      <c r="I25" s="33">
        <v>2891</v>
      </c>
      <c r="J25" s="33">
        <v>11110</v>
      </c>
      <c r="K25" s="33">
        <v>542</v>
      </c>
      <c r="L25" s="33">
        <v>0</v>
      </c>
      <c r="M25" s="33">
        <v>3159</v>
      </c>
      <c r="N25" s="33">
        <v>0</v>
      </c>
      <c r="O25" s="33">
        <v>4112</v>
      </c>
      <c r="P25" s="34">
        <v>44.46</v>
      </c>
      <c r="Q25" s="33">
        <f>4112-4112</f>
        <v>0</v>
      </c>
      <c r="R25" s="33">
        <v>4112</v>
      </c>
      <c r="S25" s="35">
        <v>0</v>
      </c>
      <c r="T25" s="36">
        <f>411/4112</f>
        <v>9.9951361867704286E-2</v>
      </c>
      <c r="U25" s="33">
        <v>411</v>
      </c>
      <c r="V25" s="33">
        <v>0</v>
      </c>
      <c r="W25" s="33">
        <f>2+3+1</f>
        <v>6</v>
      </c>
      <c r="X25" s="33">
        <v>0</v>
      </c>
      <c r="Y25" s="33">
        <v>0</v>
      </c>
      <c r="Z25" s="33">
        <v>0</v>
      </c>
      <c r="AA25" s="33">
        <v>549</v>
      </c>
      <c r="AB25" s="33">
        <v>1000</v>
      </c>
      <c r="AC25" s="33">
        <v>0</v>
      </c>
      <c r="AD25" s="33">
        <v>300</v>
      </c>
      <c r="AE25" s="33">
        <f>15+20</f>
        <v>35</v>
      </c>
      <c r="AF25" s="33">
        <v>0</v>
      </c>
      <c r="AG25" s="33">
        <v>0</v>
      </c>
      <c r="AH25" s="33">
        <v>0</v>
      </c>
      <c r="AI25" s="33">
        <v>0</v>
      </c>
      <c r="AJ25" s="33">
        <v>1912</v>
      </c>
      <c r="AK25" s="37">
        <f t="shared" si="7"/>
        <v>0</v>
      </c>
      <c r="AL25" s="33">
        <v>0</v>
      </c>
      <c r="AM25" s="33">
        <v>0</v>
      </c>
      <c r="AN25" s="33">
        <v>0</v>
      </c>
      <c r="AO25" s="33"/>
      <c r="AP25" s="33">
        <v>236</v>
      </c>
      <c r="AQ25" s="33">
        <v>0</v>
      </c>
      <c r="AR25" s="33">
        <v>0</v>
      </c>
      <c r="AS25" s="33">
        <v>0</v>
      </c>
      <c r="AT25" s="33">
        <v>4</v>
      </c>
      <c r="AU25" s="33">
        <v>1</v>
      </c>
      <c r="AV25" s="38">
        <v>0</v>
      </c>
      <c r="AW25" s="38">
        <v>0</v>
      </c>
      <c r="AX25" s="38">
        <v>-1</v>
      </c>
      <c r="AY25" s="38">
        <v>-1</v>
      </c>
      <c r="AZ25" s="38">
        <v>0</v>
      </c>
      <c r="BA25" s="33">
        <f t="shared" si="8"/>
        <v>3</v>
      </c>
      <c r="BB25" s="33">
        <v>0</v>
      </c>
      <c r="BC25" s="33">
        <v>0</v>
      </c>
      <c r="BD25" s="33">
        <v>0</v>
      </c>
      <c r="BE25" s="33">
        <v>1</v>
      </c>
      <c r="BF25" s="33">
        <v>0</v>
      </c>
      <c r="BG25" s="33">
        <v>0</v>
      </c>
    </row>
    <row r="26" spans="1:235" s="29" customFormat="1" ht="15.75" x14ac:dyDescent="0.25">
      <c r="A26" s="40">
        <v>10</v>
      </c>
      <c r="B26" s="41" t="s">
        <v>175</v>
      </c>
      <c r="C26" s="41" t="s">
        <v>79</v>
      </c>
      <c r="D26" s="77" t="s">
        <v>223</v>
      </c>
      <c r="E26" s="77"/>
      <c r="F26" s="77" t="s">
        <v>222</v>
      </c>
      <c r="G26" s="42" t="s">
        <v>74</v>
      </c>
      <c r="H26" s="42">
        <v>493357</v>
      </c>
      <c r="I26" s="42">
        <v>498690</v>
      </c>
      <c r="J26" s="42">
        <v>1978</v>
      </c>
      <c r="K26" s="42">
        <v>428585</v>
      </c>
      <c r="L26" s="42">
        <v>987</v>
      </c>
      <c r="M26" s="42">
        <v>42614</v>
      </c>
      <c r="N26" s="42">
        <v>12675</v>
      </c>
      <c r="O26" s="42">
        <v>512518</v>
      </c>
      <c r="P26" s="43">
        <v>1</v>
      </c>
      <c r="Q26" s="42">
        <f>512518-505868</f>
        <v>6650</v>
      </c>
      <c r="R26" s="42">
        <v>347126</v>
      </c>
      <c r="S26" s="42">
        <v>158742</v>
      </c>
      <c r="T26" s="44">
        <f>22119/505868</f>
        <v>4.3724845216538702E-2</v>
      </c>
      <c r="U26" s="42">
        <v>22119</v>
      </c>
      <c r="V26" s="42">
        <v>111451</v>
      </c>
      <c r="W26" s="42">
        <f>32+7</f>
        <v>39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f>28+97</f>
        <v>125</v>
      </c>
      <c r="AF26" s="42">
        <v>250</v>
      </c>
      <c r="AG26" s="42">
        <v>0</v>
      </c>
      <c r="AH26" s="42">
        <v>0</v>
      </c>
      <c r="AI26" s="42">
        <v>0</v>
      </c>
      <c r="AJ26" s="42">
        <v>7336</v>
      </c>
      <c r="AK26" s="80">
        <f t="shared" si="7"/>
        <v>0</v>
      </c>
      <c r="AL26" s="42">
        <v>0</v>
      </c>
      <c r="AM26" s="42">
        <v>20360</v>
      </c>
      <c r="AN26" s="42">
        <v>0</v>
      </c>
      <c r="AO26" s="42"/>
      <c r="AP26" s="42">
        <v>0</v>
      </c>
      <c r="AQ26" s="42">
        <v>0</v>
      </c>
      <c r="AR26" s="42">
        <v>0</v>
      </c>
      <c r="AS26" s="42">
        <v>0</v>
      </c>
      <c r="AT26" s="42">
        <v>12</v>
      </c>
      <c r="AU26" s="42">
        <v>2</v>
      </c>
      <c r="AV26" s="45">
        <v>0</v>
      </c>
      <c r="AW26" s="45">
        <v>0</v>
      </c>
      <c r="AX26" s="45">
        <v>-2</v>
      </c>
      <c r="AY26" s="45">
        <v>-1</v>
      </c>
      <c r="AZ26" s="45">
        <v>0</v>
      </c>
      <c r="BA26" s="42">
        <f t="shared" si="8"/>
        <v>11</v>
      </c>
      <c r="BB26" s="42">
        <v>0</v>
      </c>
      <c r="BC26" s="42">
        <v>0</v>
      </c>
      <c r="BD26" s="42">
        <v>0</v>
      </c>
      <c r="BE26" s="42">
        <v>1</v>
      </c>
      <c r="BF26" s="42">
        <v>0</v>
      </c>
      <c r="BG26" s="42">
        <v>0</v>
      </c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</row>
    <row r="27" spans="1:235" ht="15.75" x14ac:dyDescent="0.25">
      <c r="A27" s="31">
        <v>10</v>
      </c>
      <c r="B27" s="32" t="s">
        <v>176</v>
      </c>
      <c r="C27" s="32" t="s">
        <v>107</v>
      </c>
      <c r="D27" s="77" t="s">
        <v>224</v>
      </c>
      <c r="E27" s="77"/>
      <c r="F27" s="77" t="s">
        <v>203</v>
      </c>
      <c r="G27" s="33" t="s">
        <v>74</v>
      </c>
      <c r="H27" s="33">
        <v>648086</v>
      </c>
      <c r="I27" s="33">
        <v>648086</v>
      </c>
      <c r="J27" s="33">
        <v>3305</v>
      </c>
      <c r="K27" s="33">
        <v>374299</v>
      </c>
      <c r="L27" s="33">
        <v>188166</v>
      </c>
      <c r="M27" s="33">
        <v>41644</v>
      </c>
      <c r="N27" s="33">
        <v>19953</v>
      </c>
      <c r="O27" s="33">
        <v>660896</v>
      </c>
      <c r="P27" s="34">
        <v>0.62</v>
      </c>
      <c r="Q27" s="33">
        <f>660896-655648</f>
        <v>5248</v>
      </c>
      <c r="R27" s="33">
        <v>583714</v>
      </c>
      <c r="S27" s="33">
        <v>71935</v>
      </c>
      <c r="T27" s="39">
        <f>31344/655648</f>
        <v>4.7806139879935573E-2</v>
      </c>
      <c r="U27" s="33">
        <v>31406</v>
      </c>
      <c r="V27" s="33">
        <v>104960</v>
      </c>
      <c r="W27" s="33">
        <v>0</v>
      </c>
      <c r="X27" s="33">
        <v>801</v>
      </c>
      <c r="Y27" s="33">
        <v>70</v>
      </c>
      <c r="Z27" s="33">
        <v>162</v>
      </c>
      <c r="AA27" s="33">
        <v>258</v>
      </c>
      <c r="AB27" s="33">
        <v>63</v>
      </c>
      <c r="AC27" s="33">
        <v>482</v>
      </c>
      <c r="AD27" s="33">
        <v>443</v>
      </c>
      <c r="AE27" s="33">
        <f>20+60+156</f>
        <v>236</v>
      </c>
      <c r="AF27" s="33">
        <v>250</v>
      </c>
      <c r="AG27" s="33">
        <v>8</v>
      </c>
      <c r="AH27" s="33">
        <v>37</v>
      </c>
      <c r="AI27" s="33">
        <v>0</v>
      </c>
      <c r="AJ27" s="33">
        <v>7678</v>
      </c>
      <c r="AK27" s="37">
        <f t="shared" si="7"/>
        <v>0</v>
      </c>
      <c r="AL27" s="33">
        <v>0</v>
      </c>
      <c r="AM27" s="33">
        <v>28650</v>
      </c>
      <c r="AN27" s="33">
        <v>0</v>
      </c>
      <c r="AO27" s="33"/>
      <c r="AP27" s="33">
        <v>68</v>
      </c>
      <c r="AQ27" s="33">
        <v>0</v>
      </c>
      <c r="AR27" s="33">
        <v>0</v>
      </c>
      <c r="AS27" s="33">
        <v>0</v>
      </c>
      <c r="AT27" s="33">
        <v>13</v>
      </c>
      <c r="AU27" s="33">
        <v>2</v>
      </c>
      <c r="AV27" s="38">
        <v>0</v>
      </c>
      <c r="AW27" s="38">
        <v>-1</v>
      </c>
      <c r="AX27" s="38">
        <v>-1</v>
      </c>
      <c r="AY27" s="38">
        <v>-2</v>
      </c>
      <c r="AZ27" s="38">
        <v>0</v>
      </c>
      <c r="BA27" s="33">
        <f t="shared" si="8"/>
        <v>11</v>
      </c>
      <c r="BB27" s="33">
        <v>1</v>
      </c>
      <c r="BC27" s="33">
        <v>0</v>
      </c>
      <c r="BD27" s="33">
        <v>0</v>
      </c>
      <c r="BE27" s="33">
        <v>0</v>
      </c>
      <c r="BF27" s="33">
        <v>2</v>
      </c>
      <c r="BG27" s="33">
        <v>0</v>
      </c>
    </row>
    <row r="28" spans="1:235" ht="15.75" x14ac:dyDescent="0.25">
      <c r="A28" s="31">
        <v>10</v>
      </c>
      <c r="B28" s="32" t="s">
        <v>177</v>
      </c>
      <c r="C28" s="32" t="s">
        <v>90</v>
      </c>
      <c r="D28" s="77" t="s">
        <v>225</v>
      </c>
      <c r="E28" s="77"/>
      <c r="F28" s="77" t="s">
        <v>226</v>
      </c>
      <c r="G28" s="33" t="s">
        <v>73</v>
      </c>
      <c r="H28" s="33">
        <v>498025</v>
      </c>
      <c r="I28" s="33">
        <v>498117</v>
      </c>
      <c r="J28" s="33">
        <v>13</v>
      </c>
      <c r="K28" s="33">
        <v>344241</v>
      </c>
      <c r="L28" s="33">
        <v>22045</v>
      </c>
      <c r="M28" s="33">
        <v>275644</v>
      </c>
      <c r="N28" s="33">
        <v>14308</v>
      </c>
      <c r="O28" s="33">
        <v>685988</v>
      </c>
      <c r="P28" s="34">
        <v>3.1</v>
      </c>
      <c r="Q28" s="33">
        <f>685988-650105</f>
        <v>35883</v>
      </c>
      <c r="R28" s="33">
        <v>512349</v>
      </c>
      <c r="S28" s="33">
        <v>137756</v>
      </c>
      <c r="T28" s="39">
        <f>29750/650105</f>
        <v>4.5761838472246789E-2</v>
      </c>
      <c r="U28" s="33">
        <v>29750</v>
      </c>
      <c r="V28" s="33">
        <v>0</v>
      </c>
      <c r="W28" s="33">
        <f>92+7</f>
        <v>99</v>
      </c>
      <c r="X28" s="33">
        <v>0</v>
      </c>
      <c r="Y28" s="33">
        <v>0</v>
      </c>
      <c r="Z28" s="33">
        <v>0</v>
      </c>
      <c r="AA28" s="33">
        <v>696</v>
      </c>
      <c r="AB28" s="33">
        <v>400</v>
      </c>
      <c r="AC28" s="33">
        <v>590</v>
      </c>
      <c r="AD28" s="33">
        <v>0</v>
      </c>
      <c r="AE28" s="33">
        <f>50+100+110</f>
        <v>260</v>
      </c>
      <c r="AF28" s="33">
        <v>0</v>
      </c>
      <c r="AG28" s="33">
        <v>0</v>
      </c>
      <c r="AH28" s="33">
        <v>0</v>
      </c>
      <c r="AI28" s="33">
        <v>0</v>
      </c>
      <c r="AJ28" s="33">
        <v>2412</v>
      </c>
      <c r="AK28" s="37">
        <f t="shared" si="7"/>
        <v>0</v>
      </c>
      <c r="AL28" s="33">
        <v>0</v>
      </c>
      <c r="AM28" s="33">
        <v>24901</v>
      </c>
      <c r="AN28" s="33">
        <v>0</v>
      </c>
      <c r="AO28" s="33"/>
      <c r="AP28" s="33">
        <v>3073</v>
      </c>
      <c r="AQ28" s="33">
        <v>0</v>
      </c>
      <c r="AR28" s="33">
        <v>0</v>
      </c>
      <c r="AS28" s="33">
        <v>0</v>
      </c>
      <c r="AT28" s="33">
        <v>10</v>
      </c>
      <c r="AU28" s="33">
        <v>2</v>
      </c>
      <c r="AV28" s="38">
        <v>0</v>
      </c>
      <c r="AW28" s="38">
        <v>0</v>
      </c>
      <c r="AX28" s="38">
        <v>-3</v>
      </c>
      <c r="AY28" s="38">
        <v>-6</v>
      </c>
      <c r="AZ28" s="38">
        <v>0</v>
      </c>
      <c r="BA28" s="33">
        <f t="shared" si="8"/>
        <v>3</v>
      </c>
      <c r="BB28" s="33">
        <v>0</v>
      </c>
      <c r="BC28" s="33">
        <v>0</v>
      </c>
      <c r="BD28" s="33">
        <v>0</v>
      </c>
      <c r="BE28" s="33">
        <v>5</v>
      </c>
      <c r="BF28" s="33">
        <v>1</v>
      </c>
      <c r="BG28" s="33">
        <v>0</v>
      </c>
    </row>
    <row r="29" spans="1:235" ht="15.75" x14ac:dyDescent="0.25">
      <c r="A29" s="31">
        <v>10</v>
      </c>
      <c r="B29" s="32" t="s">
        <v>178</v>
      </c>
      <c r="C29" s="32" t="s">
        <v>126</v>
      </c>
      <c r="D29" s="77" t="s">
        <v>227</v>
      </c>
      <c r="E29" s="77"/>
      <c r="F29" s="77" t="s">
        <v>222</v>
      </c>
      <c r="G29" s="33" t="s">
        <v>73</v>
      </c>
      <c r="H29" s="33">
        <v>288406</v>
      </c>
      <c r="I29" s="33">
        <v>288406</v>
      </c>
      <c r="J29" s="33">
        <v>0</v>
      </c>
      <c r="K29" s="33">
        <v>179042</v>
      </c>
      <c r="L29" s="33">
        <v>36471</v>
      </c>
      <c r="M29" s="33">
        <v>73085</v>
      </c>
      <c r="N29" s="33">
        <v>6492</v>
      </c>
      <c r="O29" s="33">
        <v>310620</v>
      </c>
      <c r="P29" s="34">
        <v>1.01</v>
      </c>
      <c r="Q29" s="33">
        <f>310620-310620</f>
        <v>0</v>
      </c>
      <c r="R29" s="33">
        <v>310620</v>
      </c>
      <c r="S29" s="35">
        <v>0</v>
      </c>
      <c r="T29" s="36">
        <f>15531/310620</f>
        <v>0.05</v>
      </c>
      <c r="U29" s="33">
        <v>15531</v>
      </c>
      <c r="V29" s="33">
        <v>0</v>
      </c>
      <c r="W29" s="33">
        <v>0</v>
      </c>
      <c r="X29" s="33">
        <v>1311</v>
      </c>
      <c r="Y29" s="33">
        <v>139</v>
      </c>
      <c r="Z29" s="33">
        <v>362</v>
      </c>
      <c r="AA29" s="33">
        <v>127</v>
      </c>
      <c r="AB29" s="33">
        <v>0</v>
      </c>
      <c r="AC29" s="33">
        <v>179</v>
      </c>
      <c r="AD29" s="33">
        <v>0</v>
      </c>
      <c r="AE29" s="33">
        <f>25+85+140</f>
        <v>250</v>
      </c>
      <c r="AF29" s="33">
        <v>0</v>
      </c>
      <c r="AG29" s="33">
        <v>0</v>
      </c>
      <c r="AH29" s="33">
        <v>0</v>
      </c>
      <c r="AI29" s="33">
        <v>0</v>
      </c>
      <c r="AJ29" s="33">
        <v>2830</v>
      </c>
      <c r="AK29" s="37">
        <f t="shared" si="7"/>
        <v>0</v>
      </c>
      <c r="AL29" s="33">
        <v>0</v>
      </c>
      <c r="AM29" s="33">
        <v>14420</v>
      </c>
      <c r="AN29" s="33">
        <v>0</v>
      </c>
      <c r="AO29" s="33"/>
      <c r="AP29" s="33">
        <v>2210</v>
      </c>
      <c r="AQ29" s="33">
        <v>0</v>
      </c>
      <c r="AR29" s="33">
        <v>0</v>
      </c>
      <c r="AS29" s="33">
        <v>0</v>
      </c>
      <c r="AT29" s="33">
        <v>7</v>
      </c>
      <c r="AU29" s="33">
        <v>0</v>
      </c>
      <c r="AV29" s="38">
        <v>0</v>
      </c>
      <c r="AW29" s="38">
        <v>0</v>
      </c>
      <c r="AX29" s="38">
        <v>-1</v>
      </c>
      <c r="AY29" s="38">
        <v>-1</v>
      </c>
      <c r="AZ29" s="38">
        <v>0</v>
      </c>
      <c r="BA29" s="33">
        <f t="shared" si="8"/>
        <v>5</v>
      </c>
      <c r="BB29" s="33">
        <v>0</v>
      </c>
      <c r="BC29" s="33">
        <v>0</v>
      </c>
      <c r="BD29" s="33">
        <v>0</v>
      </c>
      <c r="BE29" s="33">
        <v>1</v>
      </c>
      <c r="BF29" s="33">
        <v>0</v>
      </c>
      <c r="BG29" s="33">
        <v>0</v>
      </c>
    </row>
    <row r="30" spans="1:235" ht="15.75" x14ac:dyDescent="0.25">
      <c r="A30" s="31">
        <v>11</v>
      </c>
      <c r="B30" s="32" t="s">
        <v>259</v>
      </c>
      <c r="C30" s="32" t="s">
        <v>150</v>
      </c>
      <c r="D30" s="77" t="s">
        <v>229</v>
      </c>
      <c r="E30" s="77"/>
      <c r="F30" s="77" t="s">
        <v>211</v>
      </c>
      <c r="G30" s="33" t="s">
        <v>149</v>
      </c>
      <c r="H30" s="33">
        <v>1785298</v>
      </c>
      <c r="I30" s="33">
        <v>1785825</v>
      </c>
      <c r="J30" s="33">
        <v>76550</v>
      </c>
      <c r="K30" s="33">
        <v>1356507</v>
      </c>
      <c r="L30" s="33">
        <v>37627</v>
      </c>
      <c r="M30" s="33">
        <v>158897</v>
      </c>
      <c r="N30" s="33">
        <v>67447</v>
      </c>
      <c r="O30" s="33">
        <v>1703322</v>
      </c>
      <c r="P30" s="34">
        <v>0.12</v>
      </c>
      <c r="Q30" s="33">
        <f>1703322-1703304</f>
        <v>18</v>
      </c>
      <c r="R30" s="33">
        <f>1014262+384969</f>
        <v>1399231</v>
      </c>
      <c r="S30" s="33">
        <v>323173</v>
      </c>
      <c r="T30" s="39">
        <f>82803/1722404</f>
        <v>4.8074087147962963E-2</v>
      </c>
      <c r="U30" s="33">
        <v>82826</v>
      </c>
      <c r="V30" s="33">
        <v>0</v>
      </c>
      <c r="W30" s="33">
        <v>0</v>
      </c>
      <c r="X30" s="33">
        <v>10999</v>
      </c>
      <c r="Y30" s="33">
        <v>801</v>
      </c>
      <c r="Z30" s="33">
        <v>1626</v>
      </c>
      <c r="AA30" s="33">
        <v>6668</v>
      </c>
      <c r="AB30" s="33">
        <v>3170</v>
      </c>
      <c r="AC30" s="33">
        <v>137</v>
      </c>
      <c r="AD30" s="33">
        <v>2193</v>
      </c>
      <c r="AE30" s="33">
        <f>60+1063+228</f>
        <v>1351</v>
      </c>
      <c r="AF30" s="33">
        <v>3028</v>
      </c>
      <c r="AG30" s="33">
        <v>0</v>
      </c>
      <c r="AH30" s="33">
        <v>607</v>
      </c>
      <c r="AI30" s="33">
        <v>851</v>
      </c>
      <c r="AJ30" s="33">
        <v>39986</v>
      </c>
      <c r="AK30" s="37">
        <f t="shared" si="7"/>
        <v>2.1282448857099984E-2</v>
      </c>
      <c r="AL30" s="33">
        <v>0</v>
      </c>
      <c r="AM30" s="33">
        <v>85437</v>
      </c>
      <c r="AN30" s="33">
        <v>0</v>
      </c>
      <c r="AO30" s="33"/>
      <c r="AP30" s="33">
        <v>19421</v>
      </c>
      <c r="AQ30" s="33">
        <v>0</v>
      </c>
      <c r="AR30" s="33">
        <v>0</v>
      </c>
      <c r="AS30" s="33">
        <v>0</v>
      </c>
      <c r="AT30" s="33">
        <v>61</v>
      </c>
      <c r="AU30" s="33">
        <v>14</v>
      </c>
      <c r="AV30" s="38">
        <v>1</v>
      </c>
      <c r="AW30" s="38">
        <v>-1</v>
      </c>
      <c r="AX30" s="38">
        <v>-9</v>
      </c>
      <c r="AY30" s="38">
        <v>-9</v>
      </c>
      <c r="AZ30" s="38">
        <v>0</v>
      </c>
      <c r="BA30" s="33">
        <f t="shared" si="8"/>
        <v>57</v>
      </c>
      <c r="BB30" s="33">
        <v>0</v>
      </c>
      <c r="BC30" s="33">
        <v>1</v>
      </c>
      <c r="BD30" s="33">
        <v>0</v>
      </c>
      <c r="BE30" s="33">
        <v>5</v>
      </c>
      <c r="BF30" s="33">
        <v>3</v>
      </c>
      <c r="BG30" s="33">
        <v>0</v>
      </c>
    </row>
    <row r="31" spans="1:235" ht="15.75" x14ac:dyDescent="0.25">
      <c r="A31" s="31">
        <v>11</v>
      </c>
      <c r="B31" s="32" t="s">
        <v>179</v>
      </c>
      <c r="C31" s="32" t="s">
        <v>134</v>
      </c>
      <c r="D31" s="77" t="s">
        <v>228</v>
      </c>
      <c r="E31" s="77"/>
      <c r="F31" s="77" t="s">
        <v>218</v>
      </c>
      <c r="G31" s="77" t="s">
        <v>149</v>
      </c>
      <c r="H31" s="33">
        <v>570900</v>
      </c>
      <c r="I31" s="33">
        <v>570900</v>
      </c>
      <c r="J31" s="33">
        <v>37420</v>
      </c>
      <c r="K31" s="33">
        <v>250415</v>
      </c>
      <c r="L31" s="33">
        <v>21518</v>
      </c>
      <c r="M31" s="33">
        <v>190851</v>
      </c>
      <c r="N31" s="33">
        <v>45275</v>
      </c>
      <c r="O31" s="33">
        <v>533543</v>
      </c>
      <c r="P31" s="34">
        <v>0</v>
      </c>
      <c r="Q31" s="33">
        <f>533543-533543</f>
        <v>0</v>
      </c>
      <c r="R31" s="33">
        <f>237059+296484</f>
        <v>533543</v>
      </c>
      <c r="S31" s="33">
        <v>0</v>
      </c>
      <c r="T31" s="39">
        <f>25485/533543</f>
        <v>4.7765597149620552E-2</v>
      </c>
      <c r="U31" s="33">
        <v>25485</v>
      </c>
      <c r="V31" s="33">
        <v>0</v>
      </c>
      <c r="W31" s="33">
        <v>0</v>
      </c>
      <c r="X31" s="33">
        <v>2556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f>375+487</f>
        <v>862</v>
      </c>
      <c r="AF31" s="33">
        <v>250</v>
      </c>
      <c r="AG31" s="33">
        <v>0</v>
      </c>
      <c r="AH31" s="33">
        <v>0</v>
      </c>
      <c r="AI31" s="33">
        <v>3181</v>
      </c>
      <c r="AJ31" s="33">
        <v>4218</v>
      </c>
      <c r="AK31" s="37">
        <f t="shared" si="7"/>
        <v>0.75414888572783312</v>
      </c>
      <c r="AL31" s="33">
        <v>0</v>
      </c>
      <c r="AM31" s="33">
        <v>26677</v>
      </c>
      <c r="AN31" s="33">
        <v>0</v>
      </c>
      <c r="AO31" s="33"/>
      <c r="AP31" s="33">
        <v>10350</v>
      </c>
      <c r="AQ31" s="33">
        <v>0</v>
      </c>
      <c r="AR31" s="33">
        <v>0</v>
      </c>
      <c r="AS31" s="33">
        <v>0</v>
      </c>
      <c r="AT31" s="33">
        <v>28</v>
      </c>
      <c r="AU31" s="33">
        <v>7</v>
      </c>
      <c r="AV31" s="38">
        <v>0</v>
      </c>
      <c r="AW31" s="38">
        <v>-1</v>
      </c>
      <c r="AX31" s="38">
        <v>-5</v>
      </c>
      <c r="AY31" s="38">
        <v>-1</v>
      </c>
      <c r="AZ31" s="38">
        <v>0</v>
      </c>
      <c r="BA31" s="33">
        <f t="shared" si="8"/>
        <v>28</v>
      </c>
      <c r="BB31" s="33">
        <v>0</v>
      </c>
      <c r="BC31" s="33">
        <v>1</v>
      </c>
      <c r="BD31" s="33">
        <v>0</v>
      </c>
      <c r="BE31" s="33">
        <v>0</v>
      </c>
      <c r="BF31" s="33">
        <v>0</v>
      </c>
      <c r="BG31" s="33">
        <v>0</v>
      </c>
    </row>
    <row r="32" spans="1:235" ht="15.75" x14ac:dyDescent="0.25">
      <c r="A32" s="31">
        <v>12</v>
      </c>
      <c r="B32" s="32" t="s">
        <v>180</v>
      </c>
      <c r="C32" s="32" t="s">
        <v>27</v>
      </c>
      <c r="D32" s="77" t="s">
        <v>230</v>
      </c>
      <c r="E32" s="77"/>
      <c r="F32" s="77" t="s">
        <v>231</v>
      </c>
      <c r="G32" s="33" t="s">
        <v>71</v>
      </c>
      <c r="H32" s="33">
        <v>336753</v>
      </c>
      <c r="I32" s="33">
        <v>336753</v>
      </c>
      <c r="J32" s="33">
        <v>0</v>
      </c>
      <c r="K32" s="33">
        <v>181602</v>
      </c>
      <c r="L32" s="33">
        <v>26490</v>
      </c>
      <c r="M32" s="33">
        <v>143785</v>
      </c>
      <c r="N32" s="33">
        <v>56186</v>
      </c>
      <c r="O32" s="33">
        <v>438961</v>
      </c>
      <c r="P32" s="34">
        <v>1.26</v>
      </c>
      <c r="Q32" s="33">
        <f>438961-309083</f>
        <v>129878</v>
      </c>
      <c r="R32" s="33">
        <v>309083</v>
      </c>
      <c r="S32" s="46">
        <v>0</v>
      </c>
      <c r="T32" s="47">
        <f>30908/309083</f>
        <v>9.9999029386928437E-2</v>
      </c>
      <c r="U32" s="33">
        <v>30898</v>
      </c>
      <c r="V32" s="33">
        <v>0</v>
      </c>
      <c r="W32" s="33">
        <v>0</v>
      </c>
      <c r="X32" s="33">
        <v>3000</v>
      </c>
      <c r="Y32" s="33">
        <v>234</v>
      </c>
      <c r="Z32" s="33">
        <v>282</v>
      </c>
      <c r="AA32" s="33">
        <v>378</v>
      </c>
      <c r="AB32" s="33">
        <v>0</v>
      </c>
      <c r="AC32" s="33">
        <v>591</v>
      </c>
      <c r="AD32" s="33">
        <v>0</v>
      </c>
      <c r="AE32" s="33">
        <f>112+149+297</f>
        <v>558</v>
      </c>
      <c r="AF32" s="33">
        <v>3922</v>
      </c>
      <c r="AG32" s="33">
        <v>0</v>
      </c>
      <c r="AH32" s="33">
        <v>53</v>
      </c>
      <c r="AI32" s="33">
        <v>0</v>
      </c>
      <c r="AJ32" s="33">
        <v>10238</v>
      </c>
      <c r="AK32" s="37">
        <f t="shared" si="7"/>
        <v>0</v>
      </c>
      <c r="AL32" s="33">
        <v>0</v>
      </c>
      <c r="AM32" s="33">
        <v>16830</v>
      </c>
      <c r="AN32" s="33">
        <v>0</v>
      </c>
      <c r="AO32" s="33"/>
      <c r="AP32" s="33">
        <v>9952</v>
      </c>
      <c r="AQ32" s="33">
        <v>0</v>
      </c>
      <c r="AR32" s="33">
        <v>0</v>
      </c>
      <c r="AS32" s="33">
        <v>0</v>
      </c>
      <c r="AT32" s="33">
        <v>19</v>
      </c>
      <c r="AU32" s="33">
        <v>2</v>
      </c>
      <c r="AV32" s="38">
        <v>0</v>
      </c>
      <c r="AW32" s="38">
        <v>0</v>
      </c>
      <c r="AX32" s="38">
        <v>-1</v>
      </c>
      <c r="AY32" s="38">
        <v>-1</v>
      </c>
      <c r="AZ32" s="38">
        <v>0</v>
      </c>
      <c r="BA32" s="33">
        <f t="shared" si="8"/>
        <v>19</v>
      </c>
      <c r="BB32" s="33">
        <v>0</v>
      </c>
      <c r="BC32" s="33">
        <v>0</v>
      </c>
      <c r="BD32" s="33">
        <v>0</v>
      </c>
      <c r="BE32" s="33">
        <v>1</v>
      </c>
      <c r="BF32" s="33">
        <v>0</v>
      </c>
      <c r="BG32" s="33">
        <v>0</v>
      </c>
    </row>
    <row r="33" spans="1:235" s="29" customFormat="1" ht="15.75" x14ac:dyDescent="0.25">
      <c r="A33" s="40">
        <v>13</v>
      </c>
      <c r="B33" s="41" t="s">
        <v>181</v>
      </c>
      <c r="C33" s="41" t="s">
        <v>125</v>
      </c>
      <c r="D33" s="77" t="s">
        <v>232</v>
      </c>
      <c r="E33" s="77"/>
      <c r="F33" s="77"/>
      <c r="G33" s="42" t="s">
        <v>98</v>
      </c>
      <c r="H33" s="42">
        <v>1118730</v>
      </c>
      <c r="I33" s="42">
        <v>1125942</v>
      </c>
      <c r="J33" s="42">
        <v>4400</v>
      </c>
      <c r="K33" s="42">
        <v>675958</v>
      </c>
      <c r="L33" s="42">
        <v>29998</v>
      </c>
      <c r="M33" s="42">
        <v>394059</v>
      </c>
      <c r="N33" s="42">
        <v>3636</v>
      </c>
      <c r="O33" s="42">
        <v>1159750</v>
      </c>
      <c r="P33" s="43">
        <v>0.56000000000000005</v>
      </c>
      <c r="Q33" s="42">
        <f>1159750-1151139</f>
        <v>8611</v>
      </c>
      <c r="R33" s="42">
        <v>1151139</v>
      </c>
      <c r="S33" s="42">
        <v>0</v>
      </c>
      <c r="T33" s="44">
        <f>115114/1151139</f>
        <v>0.10000008687048219</v>
      </c>
      <c r="U33" s="42">
        <v>47488</v>
      </c>
      <c r="V33" s="42">
        <v>201676</v>
      </c>
      <c r="W33" s="42">
        <v>0</v>
      </c>
      <c r="X33" s="42">
        <v>17133</v>
      </c>
      <c r="Y33" s="42">
        <v>0</v>
      </c>
      <c r="Z33" s="42">
        <v>0</v>
      </c>
      <c r="AA33" s="42">
        <v>0</v>
      </c>
      <c r="AB33" s="42">
        <v>0</v>
      </c>
      <c r="AC33" s="42">
        <v>443</v>
      </c>
      <c r="AD33" s="42">
        <v>150</v>
      </c>
      <c r="AE33" s="42">
        <f>45+297+495</f>
        <v>837</v>
      </c>
      <c r="AF33" s="42">
        <v>625</v>
      </c>
      <c r="AG33" s="42">
        <v>0</v>
      </c>
      <c r="AH33" s="42">
        <v>455</v>
      </c>
      <c r="AI33" s="42">
        <v>18657</v>
      </c>
      <c r="AJ33" s="42">
        <v>20237</v>
      </c>
      <c r="AK33" s="37">
        <f t="shared" si="7"/>
        <v>0.92192518653950684</v>
      </c>
      <c r="AL33" s="42">
        <v>0</v>
      </c>
      <c r="AM33" s="42">
        <v>35862</v>
      </c>
      <c r="AN33" s="42">
        <v>0</v>
      </c>
      <c r="AO33" s="42"/>
      <c r="AP33" s="42">
        <v>10</v>
      </c>
      <c r="AQ33" s="42">
        <v>0</v>
      </c>
      <c r="AR33" s="42">
        <v>0</v>
      </c>
      <c r="AS33" s="42">
        <v>0</v>
      </c>
      <c r="AT33" s="42">
        <v>52</v>
      </c>
      <c r="AU33" s="42">
        <v>10</v>
      </c>
      <c r="AV33" s="45">
        <v>0</v>
      </c>
      <c r="AW33" s="45">
        <v>0</v>
      </c>
      <c r="AX33" s="45">
        <v>-9</v>
      </c>
      <c r="AY33" s="45">
        <v>-14</v>
      </c>
      <c r="AZ33" s="45">
        <v>0</v>
      </c>
      <c r="BA33" s="33">
        <f t="shared" si="8"/>
        <v>39</v>
      </c>
      <c r="BB33" s="42">
        <v>1</v>
      </c>
      <c r="BC33" s="42">
        <v>2</v>
      </c>
      <c r="BD33" s="42">
        <v>0</v>
      </c>
      <c r="BE33" s="42">
        <v>10</v>
      </c>
      <c r="BF33" s="42">
        <v>2</v>
      </c>
      <c r="BG33" s="42">
        <v>0</v>
      </c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</row>
    <row r="34" spans="1:235" s="29" customFormat="1" ht="15.75" x14ac:dyDescent="0.25">
      <c r="A34" s="40">
        <v>13</v>
      </c>
      <c r="B34" s="41" t="s">
        <v>182</v>
      </c>
      <c r="C34" s="41" t="s">
        <v>122</v>
      </c>
      <c r="D34" s="77" t="s">
        <v>233</v>
      </c>
      <c r="E34" s="77"/>
      <c r="F34" s="77" t="s">
        <v>234</v>
      </c>
      <c r="G34" s="42" t="s">
        <v>17</v>
      </c>
      <c r="H34" s="42">
        <v>2102119</v>
      </c>
      <c r="I34" s="42">
        <v>2102217</v>
      </c>
      <c r="J34" s="42">
        <v>18096</v>
      </c>
      <c r="K34" s="42">
        <v>1709280</v>
      </c>
      <c r="L34" s="42">
        <v>1293</v>
      </c>
      <c r="M34" s="42">
        <v>93485</v>
      </c>
      <c r="N34" s="42">
        <v>29048</v>
      </c>
      <c r="O34" s="42">
        <v>1978672</v>
      </c>
      <c r="P34" s="43">
        <v>0.75</v>
      </c>
      <c r="Q34" s="42">
        <f>1978672-1853069</f>
        <v>125603</v>
      </c>
      <c r="R34" s="42">
        <v>1555976</v>
      </c>
      <c r="S34" s="42">
        <v>297093</v>
      </c>
      <c r="T34" s="44">
        <f>125611/1853069</f>
        <v>6.7785387376293055E-2</v>
      </c>
      <c r="U34" s="42">
        <v>125603</v>
      </c>
      <c r="V34" s="42">
        <v>0</v>
      </c>
      <c r="W34" s="42">
        <f>98+2</f>
        <v>100</v>
      </c>
      <c r="X34" s="42">
        <v>6497</v>
      </c>
      <c r="Y34" s="42">
        <v>0</v>
      </c>
      <c r="Z34" s="42">
        <v>0</v>
      </c>
      <c r="AA34" s="42">
        <v>0</v>
      </c>
      <c r="AB34" s="42">
        <v>4813</v>
      </c>
      <c r="AC34" s="42">
        <v>2400</v>
      </c>
      <c r="AD34" s="42">
        <v>0</v>
      </c>
      <c r="AE34" s="42">
        <f>1915+776+468</f>
        <v>3159</v>
      </c>
      <c r="AF34" s="42">
        <v>3684</v>
      </c>
      <c r="AG34" s="42">
        <v>0</v>
      </c>
      <c r="AH34" s="42">
        <v>1435</v>
      </c>
      <c r="AI34" s="42">
        <v>4208</v>
      </c>
      <c r="AJ34" s="42">
        <v>28860</v>
      </c>
      <c r="AK34" s="37">
        <f t="shared" si="7"/>
        <v>0.14580734580734581</v>
      </c>
      <c r="AL34" s="42">
        <v>0</v>
      </c>
      <c r="AM34" s="42">
        <v>99262</v>
      </c>
      <c r="AN34" s="42">
        <v>328</v>
      </c>
      <c r="AO34" s="42"/>
      <c r="AP34" s="42">
        <v>4213</v>
      </c>
      <c r="AQ34" s="42">
        <v>0</v>
      </c>
      <c r="AR34" s="42">
        <v>0</v>
      </c>
      <c r="AS34" s="42">
        <v>0</v>
      </c>
      <c r="AT34" s="42">
        <v>40</v>
      </c>
      <c r="AU34" s="42">
        <v>14</v>
      </c>
      <c r="AV34" s="45">
        <v>1</v>
      </c>
      <c r="AW34" s="45">
        <v>0</v>
      </c>
      <c r="AX34" s="45">
        <v>-3</v>
      </c>
      <c r="AY34" s="45">
        <v>-2</v>
      </c>
      <c r="AZ34" s="45">
        <v>0</v>
      </c>
      <c r="BA34" s="33">
        <f t="shared" si="8"/>
        <v>50</v>
      </c>
      <c r="BB34" s="42">
        <v>1</v>
      </c>
      <c r="BC34" s="42">
        <v>1</v>
      </c>
      <c r="BD34" s="42">
        <v>0</v>
      </c>
      <c r="BE34" s="42">
        <v>1</v>
      </c>
      <c r="BF34" s="42">
        <v>0</v>
      </c>
      <c r="BG34" s="42">
        <v>0</v>
      </c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</row>
    <row r="35" spans="1:235" ht="15.75" x14ac:dyDescent="0.25">
      <c r="A35" s="31">
        <v>17</v>
      </c>
      <c r="B35" s="32" t="s">
        <v>183</v>
      </c>
      <c r="C35" s="48" t="s">
        <v>151</v>
      </c>
      <c r="D35" s="77" t="s">
        <v>235</v>
      </c>
      <c r="E35" s="77"/>
      <c r="F35" s="77" t="s">
        <v>203</v>
      </c>
      <c r="G35" s="33" t="s">
        <v>26</v>
      </c>
      <c r="H35" s="33">
        <v>1395539</v>
      </c>
      <c r="I35" s="33">
        <v>1404749</v>
      </c>
      <c r="J35" s="33">
        <v>2638</v>
      </c>
      <c r="K35" s="33">
        <v>936464</v>
      </c>
      <c r="L35" s="33">
        <v>193810</v>
      </c>
      <c r="M35" s="33">
        <v>65487</v>
      </c>
      <c r="N35" s="33">
        <v>65965</v>
      </c>
      <c r="O35" s="33">
        <v>1366760</v>
      </c>
      <c r="P35" s="34">
        <v>0</v>
      </c>
      <c r="Q35" s="33">
        <f>1366760-1357550</f>
        <v>9210</v>
      </c>
      <c r="R35" s="33">
        <f>1103689+253861+92100</f>
        <v>1449650</v>
      </c>
      <c r="S35" s="33">
        <v>0</v>
      </c>
      <c r="T35" s="39">
        <f>105121/1195789</f>
        <v>8.7909321795065845E-2</v>
      </c>
      <c r="U35" s="33">
        <v>105034</v>
      </c>
      <c r="V35" s="33">
        <v>92100</v>
      </c>
      <c r="W35" s="33">
        <v>0</v>
      </c>
      <c r="X35" s="33">
        <v>0</v>
      </c>
      <c r="Y35" s="33">
        <v>0</v>
      </c>
      <c r="Z35" s="33">
        <v>0</v>
      </c>
      <c r="AA35" s="33">
        <v>1235</v>
      </c>
      <c r="AB35" s="33">
        <v>0</v>
      </c>
      <c r="AC35" s="33">
        <v>653</v>
      </c>
      <c r="AD35" s="33">
        <v>19000</v>
      </c>
      <c r="AE35" s="33">
        <f>2615+600+1862</f>
        <v>5077</v>
      </c>
      <c r="AF35" s="33">
        <v>250</v>
      </c>
      <c r="AG35" s="33">
        <v>865</v>
      </c>
      <c r="AH35" s="33">
        <v>0</v>
      </c>
      <c r="AI35" s="33">
        <v>1235</v>
      </c>
      <c r="AJ35" s="33">
        <v>28809</v>
      </c>
      <c r="AK35" s="37">
        <f t="shared" si="7"/>
        <v>4.2868548023187202E-2</v>
      </c>
      <c r="AL35" s="33">
        <v>0</v>
      </c>
      <c r="AM35" s="33">
        <v>70000</v>
      </c>
      <c r="AN35" s="33">
        <v>0</v>
      </c>
      <c r="AO35" s="33"/>
      <c r="AP35" s="33">
        <v>11048</v>
      </c>
      <c r="AQ35" s="33">
        <v>0</v>
      </c>
      <c r="AR35" s="33">
        <v>0</v>
      </c>
      <c r="AS35" s="33">
        <v>0</v>
      </c>
      <c r="AT35" s="33">
        <v>26</v>
      </c>
      <c r="AU35" s="33">
        <v>14</v>
      </c>
      <c r="AV35" s="38">
        <v>0</v>
      </c>
      <c r="AW35" s="38">
        <v>0</v>
      </c>
      <c r="AX35" s="38">
        <v>-6</v>
      </c>
      <c r="AY35" s="38">
        <v>-1</v>
      </c>
      <c r="AZ35" s="38">
        <v>0</v>
      </c>
      <c r="BA35" s="33">
        <f t="shared" si="8"/>
        <v>33</v>
      </c>
      <c r="BB35" s="33">
        <v>0</v>
      </c>
      <c r="BC35" s="33">
        <v>0</v>
      </c>
      <c r="BD35" s="33">
        <v>0</v>
      </c>
      <c r="BE35" s="33">
        <v>1</v>
      </c>
      <c r="BF35" s="33">
        <v>0</v>
      </c>
      <c r="BG35" s="33">
        <v>0</v>
      </c>
    </row>
    <row r="36" spans="1:235" s="29" customFormat="1" ht="15.75" x14ac:dyDescent="0.25">
      <c r="A36" s="40">
        <v>17</v>
      </c>
      <c r="B36" s="41" t="s">
        <v>184</v>
      </c>
      <c r="C36" s="41" t="s">
        <v>85</v>
      </c>
      <c r="D36" s="77" t="s">
        <v>236</v>
      </c>
      <c r="E36" s="77"/>
      <c r="F36" s="77" t="s">
        <v>237</v>
      </c>
      <c r="G36" s="42" t="s">
        <v>262</v>
      </c>
      <c r="H36" s="42">
        <v>1674695</v>
      </c>
      <c r="I36" s="42">
        <v>1674722</v>
      </c>
      <c r="J36" s="42">
        <v>11851</v>
      </c>
      <c r="K36" s="42">
        <v>1203948</v>
      </c>
      <c r="L36" s="42">
        <v>149902</v>
      </c>
      <c r="M36" s="42">
        <v>65759</v>
      </c>
      <c r="N36" s="42">
        <v>59173</v>
      </c>
      <c r="O36" s="42">
        <v>1597625</v>
      </c>
      <c r="P36" s="43">
        <v>1.66</v>
      </c>
      <c r="Q36" s="42">
        <f>1597625-1597625</f>
        <v>0</v>
      </c>
      <c r="R36" s="42">
        <v>1381160</v>
      </c>
      <c r="S36" s="49">
        <v>216465</v>
      </c>
      <c r="T36" s="50">
        <f>116987/1597625</f>
        <v>7.3225569204287619E-2</v>
      </c>
      <c r="U36" s="42">
        <v>118843</v>
      </c>
      <c r="V36" s="42">
        <v>0</v>
      </c>
      <c r="W36" s="42">
        <f>27+3</f>
        <v>30</v>
      </c>
      <c r="X36" s="42">
        <v>27015</v>
      </c>
      <c r="Y36" s="42">
        <v>3158</v>
      </c>
      <c r="Z36" s="42">
        <v>0</v>
      </c>
      <c r="AA36" s="42">
        <v>3570</v>
      </c>
      <c r="AB36" s="42">
        <v>754</v>
      </c>
      <c r="AC36" s="42">
        <v>100</v>
      </c>
      <c r="AD36" s="42">
        <v>0</v>
      </c>
      <c r="AE36" s="42">
        <f>1038+1762+2019</f>
        <v>4819</v>
      </c>
      <c r="AF36" s="42">
        <v>0</v>
      </c>
      <c r="AG36" s="42">
        <v>0</v>
      </c>
      <c r="AH36" s="42">
        <v>0</v>
      </c>
      <c r="AI36" s="42">
        <v>0</v>
      </c>
      <c r="AJ36" s="42">
        <v>45299</v>
      </c>
      <c r="AK36" s="37">
        <f t="shared" si="7"/>
        <v>0</v>
      </c>
      <c r="AL36" s="42">
        <v>0</v>
      </c>
      <c r="AM36" s="42">
        <v>83735</v>
      </c>
      <c r="AN36" s="42">
        <v>593</v>
      </c>
      <c r="AO36" s="42"/>
      <c r="AP36" s="42">
        <v>7781</v>
      </c>
      <c r="AQ36" s="42">
        <v>0</v>
      </c>
      <c r="AR36" s="42">
        <v>0</v>
      </c>
      <c r="AS36" s="42">
        <v>0</v>
      </c>
      <c r="AT36" s="42">
        <v>44</v>
      </c>
      <c r="AU36" s="42">
        <v>0</v>
      </c>
      <c r="AV36" s="45">
        <v>0</v>
      </c>
      <c r="AW36" s="45">
        <v>-1</v>
      </c>
      <c r="AX36" s="45">
        <v>-3</v>
      </c>
      <c r="AY36" s="45">
        <v>-5</v>
      </c>
      <c r="AZ36" s="45">
        <v>0</v>
      </c>
      <c r="BA36" s="33">
        <f t="shared" si="8"/>
        <v>35</v>
      </c>
      <c r="BB36" s="42">
        <v>0</v>
      </c>
      <c r="BC36" s="42">
        <v>1</v>
      </c>
      <c r="BD36" s="42">
        <v>0</v>
      </c>
      <c r="BE36" s="42">
        <v>4</v>
      </c>
      <c r="BF36" s="42">
        <v>0</v>
      </c>
      <c r="BG36" s="42">
        <v>0</v>
      </c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</row>
    <row r="37" spans="1:235" s="30" customFormat="1" ht="15.75" x14ac:dyDescent="0.25">
      <c r="A37" s="40">
        <v>17</v>
      </c>
      <c r="B37" s="41" t="s">
        <v>185</v>
      </c>
      <c r="C37" s="41" t="s">
        <v>77</v>
      </c>
      <c r="D37" s="77" t="s">
        <v>238</v>
      </c>
      <c r="E37" s="77"/>
      <c r="F37" s="77" t="s">
        <v>218</v>
      </c>
      <c r="G37" s="42" t="s">
        <v>26</v>
      </c>
      <c r="H37" s="42">
        <v>1328690</v>
      </c>
      <c r="I37" s="42">
        <v>1328690</v>
      </c>
      <c r="J37" s="42">
        <v>36076</v>
      </c>
      <c r="K37" s="42">
        <v>988181</v>
      </c>
      <c r="L37" s="42">
        <v>112027</v>
      </c>
      <c r="M37" s="42">
        <v>45412</v>
      </c>
      <c r="N37" s="42">
        <v>75518</v>
      </c>
      <c r="O37" s="42">
        <v>1314772</v>
      </c>
      <c r="P37" s="43">
        <v>2</v>
      </c>
      <c r="Q37" s="42">
        <f>1314772-1337630</f>
        <v>-22858</v>
      </c>
      <c r="R37" s="42">
        <v>1337630</v>
      </c>
      <c r="S37" s="51">
        <v>0</v>
      </c>
      <c r="T37" s="52">
        <f>93634/1337630</f>
        <v>6.9999925240911171E-2</v>
      </c>
      <c r="U37" s="42">
        <v>93634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2380</v>
      </c>
      <c r="AB37" s="42">
        <v>54</v>
      </c>
      <c r="AC37" s="42">
        <v>387</v>
      </c>
      <c r="AD37" s="42">
        <v>30387</v>
      </c>
      <c r="AE37" s="42">
        <f>885+795+122</f>
        <v>1802</v>
      </c>
      <c r="AF37" s="42">
        <v>0</v>
      </c>
      <c r="AG37" s="42">
        <v>470</v>
      </c>
      <c r="AH37" s="42">
        <v>0</v>
      </c>
      <c r="AI37" s="42">
        <v>34433</v>
      </c>
      <c r="AJ37" s="42">
        <v>35941</v>
      </c>
      <c r="AK37" s="37">
        <f t="shared" si="7"/>
        <v>0.95804234718010073</v>
      </c>
      <c r="AL37" s="42">
        <v>0</v>
      </c>
      <c r="AM37" s="42">
        <v>56447</v>
      </c>
      <c r="AN37" s="42">
        <v>0</v>
      </c>
      <c r="AO37" s="42"/>
      <c r="AP37" s="42">
        <v>8643</v>
      </c>
      <c r="AQ37" s="42">
        <v>0</v>
      </c>
      <c r="AR37" s="42">
        <v>0</v>
      </c>
      <c r="AS37" s="42">
        <v>0</v>
      </c>
      <c r="AT37" s="42">
        <v>49</v>
      </c>
      <c r="AU37" s="42">
        <v>12</v>
      </c>
      <c r="AV37" s="45">
        <v>0</v>
      </c>
      <c r="AW37" s="45">
        <v>-1</v>
      </c>
      <c r="AX37" s="45">
        <v>-21</v>
      </c>
      <c r="AY37" s="45">
        <v>-4</v>
      </c>
      <c r="AZ37" s="45">
        <v>0</v>
      </c>
      <c r="BA37" s="33">
        <f t="shared" si="8"/>
        <v>35</v>
      </c>
      <c r="BB37" s="42">
        <v>0</v>
      </c>
      <c r="BC37" s="42">
        <v>0</v>
      </c>
      <c r="BD37" s="42">
        <v>1</v>
      </c>
      <c r="BE37" s="42">
        <v>0</v>
      </c>
      <c r="BF37" s="42">
        <v>3</v>
      </c>
      <c r="BG37" s="42">
        <v>0</v>
      </c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</row>
    <row r="38" spans="1:235" s="30" customFormat="1" ht="15.75" x14ac:dyDescent="0.25">
      <c r="A38" s="40">
        <v>17</v>
      </c>
      <c r="B38" s="41" t="s">
        <v>261</v>
      </c>
      <c r="C38" s="41"/>
      <c r="D38" s="48" t="s">
        <v>236</v>
      </c>
      <c r="E38" s="48"/>
      <c r="F38" s="48" t="s">
        <v>218</v>
      </c>
      <c r="G38" s="42" t="s">
        <v>26</v>
      </c>
      <c r="H38" s="42">
        <v>33483</v>
      </c>
      <c r="I38" s="42">
        <v>36029</v>
      </c>
      <c r="J38" s="42">
        <v>0</v>
      </c>
      <c r="K38" s="42">
        <v>29380</v>
      </c>
      <c r="L38" s="42">
        <v>945</v>
      </c>
      <c r="M38" s="42">
        <v>0</v>
      </c>
      <c r="N38" s="42">
        <v>2101</v>
      </c>
      <c r="O38" s="42">
        <v>36029</v>
      </c>
      <c r="P38" s="43">
        <v>0</v>
      </c>
      <c r="Q38" s="42">
        <f>36029-36029</f>
        <v>0</v>
      </c>
      <c r="R38" s="42">
        <v>36029</v>
      </c>
      <c r="S38" s="51">
        <v>0</v>
      </c>
      <c r="T38" s="52">
        <f>3603/36029</f>
        <v>0.10000277554192456</v>
      </c>
      <c r="U38" s="42">
        <v>3603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450</v>
      </c>
      <c r="AB38" s="42">
        <v>0</v>
      </c>
      <c r="AC38" s="42">
        <v>754</v>
      </c>
      <c r="AD38" s="42">
        <v>0</v>
      </c>
      <c r="AE38" s="42">
        <f>256+271+775</f>
        <v>1302</v>
      </c>
      <c r="AF38" s="42">
        <v>250</v>
      </c>
      <c r="AG38" s="42">
        <v>0</v>
      </c>
      <c r="AH38" s="42">
        <v>1150</v>
      </c>
      <c r="AI38" s="42">
        <v>0</v>
      </c>
      <c r="AJ38" s="42">
        <v>5340</v>
      </c>
      <c r="AK38" s="37">
        <f t="shared" si="7"/>
        <v>0</v>
      </c>
      <c r="AL38" s="42">
        <v>0</v>
      </c>
      <c r="AM38" s="42">
        <v>0</v>
      </c>
      <c r="AN38" s="42">
        <v>0</v>
      </c>
      <c r="AO38" s="42"/>
      <c r="AP38" s="42">
        <v>263</v>
      </c>
      <c r="AQ38" s="42">
        <v>0</v>
      </c>
      <c r="AR38" s="42">
        <v>0</v>
      </c>
      <c r="AS38" s="42">
        <v>0</v>
      </c>
      <c r="AT38" s="42">
        <v>5</v>
      </c>
      <c r="AU38" s="42">
        <v>3</v>
      </c>
      <c r="AV38" s="45">
        <v>0</v>
      </c>
      <c r="AW38" s="45">
        <v>0</v>
      </c>
      <c r="AX38" s="45">
        <v>-2</v>
      </c>
      <c r="AY38" s="45">
        <v>0</v>
      </c>
      <c r="AZ38" s="45">
        <v>0</v>
      </c>
      <c r="BA38" s="33">
        <f t="shared" si="8"/>
        <v>6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</row>
    <row r="39" spans="1:235" s="29" customFormat="1" ht="15.75" x14ac:dyDescent="0.25">
      <c r="A39" s="40">
        <v>18</v>
      </c>
      <c r="B39" s="76" t="s">
        <v>186</v>
      </c>
      <c r="C39" s="76" t="s">
        <v>156</v>
      </c>
      <c r="D39" s="77" t="s">
        <v>239</v>
      </c>
      <c r="E39" s="77"/>
      <c r="F39" s="77" t="s">
        <v>211</v>
      </c>
      <c r="G39" s="42" t="s">
        <v>157</v>
      </c>
      <c r="H39" s="42">
        <v>3466402</v>
      </c>
      <c r="I39" s="42">
        <v>3586115</v>
      </c>
      <c r="J39" s="42">
        <v>10000</v>
      </c>
      <c r="K39" s="42">
        <v>1656785</v>
      </c>
      <c r="L39" s="42">
        <v>177868</v>
      </c>
      <c r="M39" s="42">
        <v>1091140</v>
      </c>
      <c r="N39" s="42">
        <v>158959</v>
      </c>
      <c r="O39" s="42">
        <v>3397729</v>
      </c>
      <c r="P39" s="43">
        <v>2.11</v>
      </c>
      <c r="Q39" s="42">
        <f>3397729-3278016</f>
        <v>119713</v>
      </c>
      <c r="R39" s="42">
        <f>979425+1479199</f>
        <v>2458624</v>
      </c>
      <c r="S39" s="42">
        <f>673654+145738</f>
        <v>819392</v>
      </c>
      <c r="T39" s="44">
        <f>148147/3278016</f>
        <v>4.5194105214861675E-2</v>
      </c>
      <c r="U39" s="42">
        <v>148017</v>
      </c>
      <c r="V39" s="42">
        <v>2528774</v>
      </c>
      <c r="W39" s="42">
        <v>0</v>
      </c>
      <c r="X39" s="42">
        <v>13440</v>
      </c>
      <c r="Y39" s="42">
        <v>0</v>
      </c>
      <c r="Z39" s="42">
        <v>0</v>
      </c>
      <c r="AA39" s="42">
        <v>0</v>
      </c>
      <c r="AB39" s="42">
        <v>18000</v>
      </c>
      <c r="AC39" s="42">
        <v>3800</v>
      </c>
      <c r="AD39" s="42">
        <v>0</v>
      </c>
      <c r="AE39" s="42">
        <f>33+18+525</f>
        <v>576</v>
      </c>
      <c r="AF39" s="42">
        <v>800</v>
      </c>
      <c r="AG39" s="42">
        <v>0</v>
      </c>
      <c r="AH39" s="42">
        <v>5265</v>
      </c>
      <c r="AI39" s="42">
        <v>13440</v>
      </c>
      <c r="AJ39" s="42">
        <v>46741</v>
      </c>
      <c r="AK39" s="37">
        <f t="shared" si="7"/>
        <v>0.28754198669262532</v>
      </c>
      <c r="AL39" s="42">
        <v>0</v>
      </c>
      <c r="AM39" s="42">
        <v>197785</v>
      </c>
      <c r="AN39" s="42">
        <v>0</v>
      </c>
      <c r="AO39" s="42">
        <v>4840</v>
      </c>
      <c r="AP39" s="42">
        <v>19234</v>
      </c>
      <c r="AQ39" s="42">
        <v>0</v>
      </c>
      <c r="AR39" s="42">
        <v>0</v>
      </c>
      <c r="AS39" s="42">
        <v>0</v>
      </c>
      <c r="AT39" s="42">
        <v>38</v>
      </c>
      <c r="AU39" s="42">
        <v>9</v>
      </c>
      <c r="AV39" s="45">
        <v>0</v>
      </c>
      <c r="AW39" s="45">
        <v>0</v>
      </c>
      <c r="AX39" s="45">
        <v>-3</v>
      </c>
      <c r="AY39" s="45">
        <v>-2</v>
      </c>
      <c r="AZ39" s="45">
        <v>0</v>
      </c>
      <c r="BA39" s="33">
        <f t="shared" si="8"/>
        <v>42</v>
      </c>
      <c r="BB39" s="42">
        <v>0</v>
      </c>
      <c r="BC39" s="42">
        <v>0</v>
      </c>
      <c r="BD39" s="42">
        <v>0</v>
      </c>
      <c r="BE39" s="42">
        <v>2</v>
      </c>
      <c r="BF39" s="42">
        <v>0</v>
      </c>
      <c r="BG39" s="42">
        <v>0</v>
      </c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</row>
    <row r="40" spans="1:235" s="29" customFormat="1" ht="15.75" x14ac:dyDescent="0.25">
      <c r="A40" s="40">
        <v>18</v>
      </c>
      <c r="B40" s="41" t="s">
        <v>187</v>
      </c>
      <c r="C40" s="41" t="s">
        <v>152</v>
      </c>
      <c r="D40" s="77" t="s">
        <v>240</v>
      </c>
      <c r="E40" s="77"/>
      <c r="F40" s="77" t="s">
        <v>218</v>
      </c>
      <c r="G40" s="42" t="s">
        <v>72</v>
      </c>
      <c r="H40" s="42">
        <v>351591</v>
      </c>
      <c r="I40" s="42">
        <v>438749</v>
      </c>
      <c r="J40" s="42">
        <v>67246</v>
      </c>
      <c r="K40" s="42">
        <v>179687</v>
      </c>
      <c r="L40" s="42">
        <v>1272</v>
      </c>
      <c r="M40" s="42">
        <v>29491</v>
      </c>
      <c r="N40" s="42">
        <v>2499</v>
      </c>
      <c r="O40" s="42">
        <v>383345</v>
      </c>
      <c r="P40" s="43">
        <v>1.0900000000000001</v>
      </c>
      <c r="Q40" s="42">
        <f>383345-296194</f>
        <v>87151</v>
      </c>
      <c r="R40" s="42">
        <f>170895+121448</f>
        <v>292343</v>
      </c>
      <c r="S40" s="42">
        <v>3851</v>
      </c>
      <c r="T40" s="44">
        <f>25706/296194</f>
        <v>8.6787713458071403E-2</v>
      </c>
      <c r="U40" s="42">
        <v>25706</v>
      </c>
      <c r="V40" s="42">
        <v>1392357</v>
      </c>
      <c r="W40" s="42">
        <f>17+7</f>
        <v>24</v>
      </c>
      <c r="X40" s="42">
        <v>7927</v>
      </c>
      <c r="Y40" s="42">
        <v>667</v>
      </c>
      <c r="Z40" s="42">
        <v>1073</v>
      </c>
      <c r="AA40" s="42">
        <v>2333</v>
      </c>
      <c r="AB40" s="42">
        <v>3345</v>
      </c>
      <c r="AC40" s="42">
        <v>1525</v>
      </c>
      <c r="AD40" s="42">
        <v>0</v>
      </c>
      <c r="AE40" s="42">
        <f>464+459+750</f>
        <v>1673</v>
      </c>
      <c r="AF40" s="42">
        <v>0</v>
      </c>
      <c r="AG40" s="42">
        <v>135</v>
      </c>
      <c r="AH40" s="42">
        <v>0</v>
      </c>
      <c r="AI40" s="42">
        <v>15396</v>
      </c>
      <c r="AJ40" s="42">
        <v>22410</v>
      </c>
      <c r="AK40" s="80">
        <f t="shared" si="7"/>
        <v>0.68701472556894239</v>
      </c>
      <c r="AL40" s="42">
        <v>0</v>
      </c>
      <c r="AM40" s="42">
        <v>84766</v>
      </c>
      <c r="AN40" s="42">
        <v>338</v>
      </c>
      <c r="AO40" s="42"/>
      <c r="AP40" s="42">
        <v>7409</v>
      </c>
      <c r="AQ40" s="42">
        <v>0</v>
      </c>
      <c r="AR40" s="42">
        <v>0</v>
      </c>
      <c r="AS40" s="42">
        <v>0</v>
      </c>
      <c r="AT40" s="42">
        <v>12</v>
      </c>
      <c r="AU40" s="42">
        <v>1</v>
      </c>
      <c r="AV40" s="45">
        <v>1</v>
      </c>
      <c r="AW40" s="45">
        <v>0</v>
      </c>
      <c r="AX40" s="45">
        <v>-6</v>
      </c>
      <c r="AY40" s="45">
        <v>-2</v>
      </c>
      <c r="AZ40" s="45">
        <v>0</v>
      </c>
      <c r="BA40" s="42">
        <f t="shared" si="8"/>
        <v>6</v>
      </c>
      <c r="BB40" s="42">
        <v>0</v>
      </c>
      <c r="BC40" s="42">
        <v>1</v>
      </c>
      <c r="BD40" s="42">
        <v>0</v>
      </c>
      <c r="BE40" s="42">
        <v>0</v>
      </c>
      <c r="BF40" s="42">
        <v>1</v>
      </c>
      <c r="BG40" s="42">
        <v>0</v>
      </c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</row>
    <row r="41" spans="1:235" ht="15.75" x14ac:dyDescent="0.25">
      <c r="A41" s="77">
        <v>18</v>
      </c>
      <c r="B41" s="79" t="s">
        <v>188</v>
      </c>
      <c r="C41" s="77" t="s">
        <v>43</v>
      </c>
      <c r="D41" s="77" t="s">
        <v>252</v>
      </c>
      <c r="E41" s="77" t="s">
        <v>94</v>
      </c>
      <c r="F41" s="78"/>
      <c r="G41" s="33" t="s">
        <v>94</v>
      </c>
      <c r="H41" s="33">
        <v>214101</v>
      </c>
      <c r="I41" s="33">
        <v>214102</v>
      </c>
      <c r="J41" s="33">
        <v>0</v>
      </c>
      <c r="K41" s="33">
        <v>156777</v>
      </c>
      <c r="L41" s="33">
        <v>0</v>
      </c>
      <c r="M41" s="33">
        <v>47898</v>
      </c>
      <c r="N41" s="33">
        <v>1000</v>
      </c>
      <c r="O41" s="33">
        <v>214102</v>
      </c>
      <c r="P41" s="34">
        <v>0</v>
      </c>
      <c r="Q41" s="33">
        <f>214102-214102</f>
        <v>0</v>
      </c>
      <c r="R41" s="33">
        <v>71223</v>
      </c>
      <c r="S41" s="33">
        <v>142879</v>
      </c>
      <c r="T41" s="39">
        <f>8560/214102</f>
        <v>3.9980943662366535E-2</v>
      </c>
      <c r="U41" s="33">
        <v>8427</v>
      </c>
      <c r="V41" s="33">
        <v>0</v>
      </c>
      <c r="W41" s="33">
        <f>1+8</f>
        <v>9</v>
      </c>
      <c r="X41" s="33">
        <v>0</v>
      </c>
      <c r="Y41" s="33">
        <v>0</v>
      </c>
      <c r="Z41" s="33">
        <v>0</v>
      </c>
      <c r="AA41" s="33">
        <v>48</v>
      </c>
      <c r="AB41" s="33">
        <v>0</v>
      </c>
      <c r="AC41" s="33">
        <v>0</v>
      </c>
      <c r="AD41" s="33">
        <v>2278</v>
      </c>
      <c r="AE41" s="33">
        <f>314+93</f>
        <v>407</v>
      </c>
      <c r="AF41" s="33">
        <v>0</v>
      </c>
      <c r="AG41" s="33">
        <v>0</v>
      </c>
      <c r="AH41" s="33">
        <v>0</v>
      </c>
      <c r="AI41" s="33">
        <v>926</v>
      </c>
      <c r="AJ41" s="33">
        <v>3219</v>
      </c>
      <c r="AK41" s="37">
        <f t="shared" si="7"/>
        <v>0.28766697732214974</v>
      </c>
      <c r="AL41" s="33">
        <v>0</v>
      </c>
      <c r="AM41" s="33">
        <v>10704</v>
      </c>
      <c r="AN41" s="33">
        <v>2277</v>
      </c>
      <c r="AO41" s="33"/>
      <c r="AP41" s="33">
        <v>-50</v>
      </c>
      <c r="AQ41" s="33">
        <v>0</v>
      </c>
      <c r="AR41" s="33">
        <v>0</v>
      </c>
      <c r="AS41" s="33">
        <v>0</v>
      </c>
      <c r="AT41" s="33">
        <v>5</v>
      </c>
      <c r="AU41" s="33">
        <v>0</v>
      </c>
      <c r="AV41" s="38">
        <v>0</v>
      </c>
      <c r="AW41" s="38">
        <v>0</v>
      </c>
      <c r="AX41" s="38">
        <v>0</v>
      </c>
      <c r="AY41" s="38">
        <v>-4</v>
      </c>
      <c r="AZ41" s="38">
        <v>0</v>
      </c>
      <c r="BA41" s="33">
        <f t="shared" ref="BA41:BA43" si="9">SUM(AT41:AZ41)</f>
        <v>1</v>
      </c>
      <c r="BB41" s="33">
        <v>0</v>
      </c>
      <c r="BC41" s="33">
        <v>0</v>
      </c>
      <c r="BD41" s="33">
        <v>0</v>
      </c>
      <c r="BE41" s="33">
        <v>2</v>
      </c>
      <c r="BF41" s="33">
        <v>1</v>
      </c>
      <c r="BG41" s="33">
        <v>1</v>
      </c>
    </row>
    <row r="42" spans="1:235" s="29" customFormat="1" ht="15.75" x14ac:dyDescent="0.25">
      <c r="A42" s="40">
        <v>18</v>
      </c>
      <c r="B42" s="41" t="s">
        <v>189</v>
      </c>
      <c r="C42" s="41" t="s">
        <v>61</v>
      </c>
      <c r="D42" s="77" t="s">
        <v>241</v>
      </c>
      <c r="E42" s="78"/>
      <c r="F42" s="42"/>
      <c r="G42" s="42" t="s">
        <v>72</v>
      </c>
      <c r="H42" s="42">
        <v>4154768</v>
      </c>
      <c r="I42" s="42">
        <v>4155992</v>
      </c>
      <c r="J42" s="42">
        <v>176043</v>
      </c>
      <c r="K42" s="42">
        <v>2755292</v>
      </c>
      <c r="L42" s="42">
        <v>117531</v>
      </c>
      <c r="M42" s="42">
        <v>263400</v>
      </c>
      <c r="N42" s="42">
        <v>90551</v>
      </c>
      <c r="O42" s="42">
        <v>3762285</v>
      </c>
      <c r="P42" s="43">
        <v>0.78</v>
      </c>
      <c r="Q42" s="42">
        <f>3762285-3226775</f>
        <v>535510</v>
      </c>
      <c r="R42" s="42">
        <v>1932110</v>
      </c>
      <c r="S42" s="42">
        <v>1294665</v>
      </c>
      <c r="T42" s="44">
        <f>232051/3226775</f>
        <v>7.1914217756118726E-2</v>
      </c>
      <c r="U42" s="42">
        <v>232050</v>
      </c>
      <c r="V42" s="42">
        <v>8789</v>
      </c>
      <c r="W42" s="42">
        <f>345+1</f>
        <v>346</v>
      </c>
      <c r="X42" s="42">
        <v>53972</v>
      </c>
      <c r="Y42" s="42">
        <v>5066</v>
      </c>
      <c r="Z42" s="42">
        <v>6655</v>
      </c>
      <c r="AA42" s="42">
        <v>0</v>
      </c>
      <c r="AB42" s="42">
        <v>0</v>
      </c>
      <c r="AC42" s="42">
        <v>490</v>
      </c>
      <c r="AD42" s="42">
        <v>0</v>
      </c>
      <c r="AE42" s="42">
        <f>3657+1515+4830</f>
        <v>10002</v>
      </c>
      <c r="AF42" s="42">
        <v>0</v>
      </c>
      <c r="AG42" s="42">
        <v>910</v>
      </c>
      <c r="AH42" s="42">
        <v>95</v>
      </c>
      <c r="AI42" s="42">
        <v>0</v>
      </c>
      <c r="AJ42" s="42">
        <v>84481</v>
      </c>
      <c r="AK42" s="80">
        <f t="shared" si="7"/>
        <v>0</v>
      </c>
      <c r="AL42" s="42">
        <v>0</v>
      </c>
      <c r="AM42" s="42">
        <v>147200</v>
      </c>
      <c r="AN42" s="42">
        <v>0</v>
      </c>
      <c r="AO42" s="42"/>
      <c r="AP42" s="42">
        <v>6771</v>
      </c>
      <c r="AQ42" s="42">
        <v>0</v>
      </c>
      <c r="AR42" s="42">
        <v>0</v>
      </c>
      <c r="AS42" s="42">
        <v>0</v>
      </c>
      <c r="AT42" s="42">
        <v>36</v>
      </c>
      <c r="AU42" s="42">
        <v>5</v>
      </c>
      <c r="AV42" s="45">
        <v>0</v>
      </c>
      <c r="AW42" s="45">
        <v>0</v>
      </c>
      <c r="AX42" s="45">
        <v>-2</v>
      </c>
      <c r="AY42" s="45">
        <v>-3</v>
      </c>
      <c r="AZ42" s="45">
        <v>0</v>
      </c>
      <c r="BA42" s="42">
        <f t="shared" si="9"/>
        <v>36</v>
      </c>
      <c r="BB42" s="42">
        <v>0</v>
      </c>
      <c r="BC42" s="42">
        <v>2</v>
      </c>
      <c r="BD42" s="42">
        <v>0</v>
      </c>
      <c r="BE42" s="42">
        <v>0</v>
      </c>
      <c r="BF42" s="42">
        <v>0</v>
      </c>
      <c r="BG42" s="42">
        <v>1</v>
      </c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</row>
    <row r="43" spans="1:235" ht="15.75" x14ac:dyDescent="0.25">
      <c r="A43" s="77">
        <v>18</v>
      </c>
      <c r="B43" s="79" t="s">
        <v>190</v>
      </c>
      <c r="C43" s="77" t="s">
        <v>76</v>
      </c>
      <c r="D43" s="77" t="s">
        <v>253</v>
      </c>
      <c r="E43" s="77"/>
      <c r="F43" s="77"/>
      <c r="G43" s="33" t="s">
        <v>94</v>
      </c>
      <c r="H43" s="33">
        <v>511123</v>
      </c>
      <c r="I43" s="33">
        <v>518333</v>
      </c>
      <c r="J43" s="33">
        <v>3667</v>
      </c>
      <c r="K43" s="33">
        <v>435888</v>
      </c>
      <c r="L43" s="33">
        <v>7069</v>
      </c>
      <c r="M43" s="33">
        <v>22666</v>
      </c>
      <c r="N43" s="33">
        <v>0</v>
      </c>
      <c r="O43" s="33">
        <v>513366</v>
      </c>
      <c r="P43" s="34">
        <v>7.0000000000000007E-2</v>
      </c>
      <c r="Q43" s="33">
        <f>513336-500441</f>
        <v>12895</v>
      </c>
      <c r="R43" s="33">
        <v>289413</v>
      </c>
      <c r="S43" s="33">
        <v>211028</v>
      </c>
      <c r="T43" s="39">
        <f>25143/500441</f>
        <v>5.0241686832213986E-2</v>
      </c>
      <c r="U43" s="33">
        <v>25666</v>
      </c>
      <c r="V43" s="33">
        <v>109356</v>
      </c>
      <c r="W43" s="33">
        <v>0</v>
      </c>
      <c r="X43" s="33">
        <v>0</v>
      </c>
      <c r="Y43" s="33">
        <v>0</v>
      </c>
      <c r="Z43" s="33">
        <v>0</v>
      </c>
      <c r="AA43" s="33">
        <v>2660</v>
      </c>
      <c r="AB43" s="33">
        <v>4169</v>
      </c>
      <c r="AC43" s="33">
        <v>40</v>
      </c>
      <c r="AD43" s="33">
        <v>1440</v>
      </c>
      <c r="AE43" s="33">
        <f>1087+555+480</f>
        <v>2122</v>
      </c>
      <c r="AF43" s="33">
        <v>0</v>
      </c>
      <c r="AG43" s="33">
        <v>0</v>
      </c>
      <c r="AH43" s="33">
        <v>0</v>
      </c>
      <c r="AI43" s="33">
        <v>2660</v>
      </c>
      <c r="AJ43" s="33">
        <v>12066</v>
      </c>
      <c r="AK43" s="37">
        <f t="shared" si="7"/>
        <v>0.22045416873860435</v>
      </c>
      <c r="AL43" s="33">
        <v>0</v>
      </c>
      <c r="AM43" s="33">
        <v>20811</v>
      </c>
      <c r="AN43" s="33">
        <v>2</v>
      </c>
      <c r="AO43" s="33"/>
      <c r="AP43" s="33">
        <v>100</v>
      </c>
      <c r="AQ43" s="33">
        <v>0</v>
      </c>
      <c r="AR43" s="33">
        <v>0</v>
      </c>
      <c r="AS43" s="33">
        <v>0</v>
      </c>
      <c r="AT43" s="33">
        <v>10</v>
      </c>
      <c r="AU43" s="33">
        <v>0</v>
      </c>
      <c r="AV43" s="38">
        <v>0</v>
      </c>
      <c r="AW43" s="38">
        <v>0</v>
      </c>
      <c r="AX43" s="38">
        <v>-1</v>
      </c>
      <c r="AY43" s="38">
        <v>-6</v>
      </c>
      <c r="AZ43" s="38">
        <v>0</v>
      </c>
      <c r="BA43" s="33">
        <f t="shared" si="9"/>
        <v>3</v>
      </c>
      <c r="BB43" s="33">
        <v>0</v>
      </c>
      <c r="BC43" s="33">
        <v>1</v>
      </c>
      <c r="BD43" s="33">
        <v>0</v>
      </c>
      <c r="BE43" s="33">
        <v>3</v>
      </c>
      <c r="BF43" s="33">
        <v>1</v>
      </c>
      <c r="BG43" s="33">
        <v>1</v>
      </c>
    </row>
    <row r="44" spans="1:235" s="29" customFormat="1" ht="15.75" x14ac:dyDescent="0.25">
      <c r="A44" s="40">
        <v>20</v>
      </c>
      <c r="B44" s="41" t="s">
        <v>191</v>
      </c>
      <c r="C44" s="41" t="s">
        <v>83</v>
      </c>
      <c r="D44" s="77" t="s">
        <v>242</v>
      </c>
      <c r="E44" s="77"/>
      <c r="F44" s="77" t="s">
        <v>237</v>
      </c>
      <c r="G44" s="42" t="s">
        <v>104</v>
      </c>
      <c r="H44" s="42">
        <v>299956</v>
      </c>
      <c r="I44" s="42">
        <v>328905</v>
      </c>
      <c r="J44" s="42">
        <v>124</v>
      </c>
      <c r="K44" s="42">
        <v>242466</v>
      </c>
      <c r="L44" s="42">
        <v>6313</v>
      </c>
      <c r="M44" s="42">
        <v>27233</v>
      </c>
      <c r="N44" s="42">
        <v>5966</v>
      </c>
      <c r="O44" s="42">
        <v>328772</v>
      </c>
      <c r="P44" s="43">
        <v>0</v>
      </c>
      <c r="Q44" s="42">
        <f>328772-299833</f>
        <v>28939</v>
      </c>
      <c r="R44" s="42">
        <f>130004+104836</f>
        <v>234840</v>
      </c>
      <c r="S44" s="42">
        <v>64993</v>
      </c>
      <c r="T44" s="44">
        <f>17864/299833</f>
        <v>5.9579832773577292E-2</v>
      </c>
      <c r="U44" s="42">
        <v>17865</v>
      </c>
      <c r="V44" s="42">
        <v>600000</v>
      </c>
      <c r="W44" s="42">
        <f>10+10</f>
        <v>20</v>
      </c>
      <c r="X44" s="42">
        <v>180</v>
      </c>
      <c r="Y44" s="42">
        <v>0</v>
      </c>
      <c r="Z44" s="42">
        <v>0</v>
      </c>
      <c r="AA44" s="42">
        <v>600</v>
      </c>
      <c r="AB44" s="42">
        <v>2700</v>
      </c>
      <c r="AC44" s="42">
        <v>0</v>
      </c>
      <c r="AD44" s="42">
        <v>0</v>
      </c>
      <c r="AE44" s="42">
        <f>360+138+940</f>
        <v>1438</v>
      </c>
      <c r="AF44" s="42">
        <v>250</v>
      </c>
      <c r="AG44" s="42">
        <v>300</v>
      </c>
      <c r="AH44" s="42">
        <v>0</v>
      </c>
      <c r="AI44" s="42">
        <v>0</v>
      </c>
      <c r="AJ44" s="42">
        <v>5793</v>
      </c>
      <c r="AK44" s="80">
        <f t="shared" si="7"/>
        <v>0</v>
      </c>
      <c r="AL44" s="42">
        <v>0</v>
      </c>
      <c r="AM44" s="42">
        <v>44992</v>
      </c>
      <c r="AN44" s="42">
        <v>0</v>
      </c>
      <c r="AO44" s="42"/>
      <c r="AP44" s="42">
        <v>5207</v>
      </c>
      <c r="AQ44" s="42">
        <v>0</v>
      </c>
      <c r="AR44" s="42">
        <v>0</v>
      </c>
      <c r="AS44" s="42">
        <v>0</v>
      </c>
      <c r="AT44" s="42">
        <v>10</v>
      </c>
      <c r="AU44" s="42">
        <v>2</v>
      </c>
      <c r="AV44" s="45">
        <v>0</v>
      </c>
      <c r="AW44" s="45">
        <v>-1</v>
      </c>
      <c r="AX44" s="45">
        <v>-1</v>
      </c>
      <c r="AY44" s="45">
        <v>0</v>
      </c>
      <c r="AZ44" s="45">
        <v>0</v>
      </c>
      <c r="BA44" s="42">
        <f t="shared" si="8"/>
        <v>10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</row>
    <row r="45" spans="1:235" s="29" customFormat="1" ht="15.75" x14ac:dyDescent="0.25">
      <c r="A45" s="40">
        <v>20</v>
      </c>
      <c r="B45" s="41" t="s">
        <v>192</v>
      </c>
      <c r="C45" s="41" t="s">
        <v>49</v>
      </c>
      <c r="D45" s="77" t="s">
        <v>243</v>
      </c>
      <c r="E45" s="77"/>
      <c r="F45" s="77"/>
      <c r="G45" s="42" t="s">
        <v>80</v>
      </c>
      <c r="H45" s="42">
        <v>951625</v>
      </c>
      <c r="I45" s="42">
        <v>976528</v>
      </c>
      <c r="J45" s="42">
        <v>0</v>
      </c>
      <c r="K45" s="42">
        <v>815538</v>
      </c>
      <c r="L45" s="42">
        <v>40895</v>
      </c>
      <c r="M45" s="42">
        <v>7915</v>
      </c>
      <c r="N45" s="42">
        <v>16425</v>
      </c>
      <c r="O45" s="42">
        <v>978428</v>
      </c>
      <c r="P45" s="43">
        <v>2</v>
      </c>
      <c r="Q45" s="42">
        <f>978428-953633</f>
        <v>24795</v>
      </c>
      <c r="R45" s="42">
        <v>669293</v>
      </c>
      <c r="S45" s="51">
        <v>284340</v>
      </c>
      <c r="T45" s="52">
        <f>75459/953633</f>
        <v>7.9127924474090131E-2</v>
      </c>
      <c r="U45" s="42">
        <v>75459</v>
      </c>
      <c r="V45" s="42">
        <v>222110</v>
      </c>
      <c r="W45" s="42">
        <v>56</v>
      </c>
      <c r="X45" s="42">
        <v>27586</v>
      </c>
      <c r="Y45" s="42">
        <v>3559</v>
      </c>
      <c r="Z45" s="42">
        <v>2574</v>
      </c>
      <c r="AA45" s="42">
        <v>10739</v>
      </c>
      <c r="AB45" s="42">
        <v>850</v>
      </c>
      <c r="AC45" s="42">
        <v>9600</v>
      </c>
      <c r="AD45" s="42">
        <v>0</v>
      </c>
      <c r="AE45" s="42">
        <f>1000+1275+1350</f>
        <v>3625</v>
      </c>
      <c r="AF45" s="42">
        <v>500</v>
      </c>
      <c r="AG45" s="42">
        <v>0</v>
      </c>
      <c r="AH45" s="42">
        <v>0</v>
      </c>
      <c r="AI45" s="42">
        <v>65109</v>
      </c>
      <c r="AJ45" s="42">
        <v>65109</v>
      </c>
      <c r="AK45" s="37">
        <f t="shared" si="7"/>
        <v>1</v>
      </c>
      <c r="AL45" s="42">
        <v>0</v>
      </c>
      <c r="AM45" s="42">
        <v>25938</v>
      </c>
      <c r="AN45" s="42">
        <v>0</v>
      </c>
      <c r="AO45" s="42"/>
      <c r="AP45" s="42">
        <v>14728</v>
      </c>
      <c r="AQ45" s="42">
        <v>0</v>
      </c>
      <c r="AR45" s="42">
        <v>0</v>
      </c>
      <c r="AS45" s="42">
        <v>0</v>
      </c>
      <c r="AT45" s="42">
        <v>30</v>
      </c>
      <c r="AU45" s="42">
        <v>3</v>
      </c>
      <c r="AV45" s="45">
        <v>0</v>
      </c>
      <c r="AW45" s="45">
        <v>0</v>
      </c>
      <c r="AX45" s="45">
        <v>-7</v>
      </c>
      <c r="AY45" s="45">
        <v>0</v>
      </c>
      <c r="AZ45" s="45">
        <v>0</v>
      </c>
      <c r="BA45" s="33">
        <f t="shared" si="8"/>
        <v>26</v>
      </c>
      <c r="BB45" s="42">
        <v>1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</row>
    <row r="46" spans="1:235" ht="15.75" x14ac:dyDescent="0.25">
      <c r="A46" s="31">
        <v>20</v>
      </c>
      <c r="B46" s="32" t="s">
        <v>193</v>
      </c>
      <c r="C46" s="32" t="s">
        <v>53</v>
      </c>
      <c r="D46" s="77" t="s">
        <v>244</v>
      </c>
      <c r="E46" s="77"/>
      <c r="F46" s="77"/>
      <c r="G46" s="33" t="s">
        <v>80</v>
      </c>
      <c r="H46" s="33">
        <v>583489</v>
      </c>
      <c r="I46" s="33">
        <v>586131</v>
      </c>
      <c r="J46" s="33">
        <v>340</v>
      </c>
      <c r="K46" s="33">
        <v>379533</v>
      </c>
      <c r="L46" s="33">
        <v>63759</v>
      </c>
      <c r="M46" s="33">
        <v>73461</v>
      </c>
      <c r="N46" s="33">
        <v>20045</v>
      </c>
      <c r="O46" s="33">
        <v>598652</v>
      </c>
      <c r="P46" s="34">
        <v>2</v>
      </c>
      <c r="Q46" s="33">
        <f>598652-596438</f>
        <v>2214</v>
      </c>
      <c r="R46" s="33">
        <v>596438</v>
      </c>
      <c r="S46" s="35">
        <v>0</v>
      </c>
      <c r="T46" s="36">
        <f>59644/596438</f>
        <v>0.10000033532404039</v>
      </c>
      <c r="U46" s="33">
        <v>59639</v>
      </c>
      <c r="V46" s="33">
        <v>19932</v>
      </c>
      <c r="W46" s="33">
        <f>27+1+6</f>
        <v>34</v>
      </c>
      <c r="X46" s="33">
        <v>35481</v>
      </c>
      <c r="Y46" s="33">
        <v>3549</v>
      </c>
      <c r="Z46" s="33">
        <v>0</v>
      </c>
      <c r="AA46" s="33">
        <v>7313</v>
      </c>
      <c r="AB46" s="33">
        <v>0</v>
      </c>
      <c r="AC46" s="33">
        <v>0</v>
      </c>
      <c r="AD46" s="33">
        <v>0</v>
      </c>
      <c r="AE46" s="33">
        <f>2000+800+2000</f>
        <v>4800</v>
      </c>
      <c r="AF46" s="33">
        <v>0</v>
      </c>
      <c r="AG46" s="33">
        <v>0</v>
      </c>
      <c r="AH46" s="33">
        <v>0</v>
      </c>
      <c r="AI46" s="33">
        <v>56068</v>
      </c>
      <c r="AJ46" s="33">
        <v>56460</v>
      </c>
      <c r="AK46" s="37">
        <f t="shared" si="7"/>
        <v>0.99305703152674463</v>
      </c>
      <c r="AL46" s="33">
        <v>0</v>
      </c>
      <c r="AM46" s="33">
        <v>5428</v>
      </c>
      <c r="AN46" s="33">
        <v>0</v>
      </c>
      <c r="AO46" s="33"/>
      <c r="AP46" s="33">
        <v>0</v>
      </c>
      <c r="AQ46" s="33">
        <v>0</v>
      </c>
      <c r="AR46" s="33">
        <v>0</v>
      </c>
      <c r="AS46" s="33">
        <v>0</v>
      </c>
      <c r="AT46" s="33">
        <v>32</v>
      </c>
      <c r="AU46" s="33">
        <v>8</v>
      </c>
      <c r="AV46" s="38">
        <v>0</v>
      </c>
      <c r="AW46" s="38">
        <v>-1</v>
      </c>
      <c r="AX46" s="38">
        <v>-5</v>
      </c>
      <c r="AY46" s="38">
        <v>-4</v>
      </c>
      <c r="AZ46" s="38">
        <v>0</v>
      </c>
      <c r="BA46" s="33">
        <f t="shared" si="8"/>
        <v>30</v>
      </c>
      <c r="BB46" s="33">
        <v>0</v>
      </c>
      <c r="BC46" s="33">
        <v>0</v>
      </c>
      <c r="BD46" s="33">
        <v>1</v>
      </c>
      <c r="BE46" s="33">
        <v>2</v>
      </c>
      <c r="BF46" s="33">
        <v>1</v>
      </c>
      <c r="BG46" s="33">
        <v>0</v>
      </c>
    </row>
    <row r="47" spans="1:235" s="29" customFormat="1" ht="15.75" x14ac:dyDescent="0.25">
      <c r="A47" s="40">
        <v>20</v>
      </c>
      <c r="B47" s="41" t="s">
        <v>194</v>
      </c>
      <c r="C47" s="41" t="s">
        <v>84</v>
      </c>
      <c r="D47" s="77" t="s">
        <v>245</v>
      </c>
      <c r="E47" s="77"/>
      <c r="F47" s="77" t="s">
        <v>211</v>
      </c>
      <c r="G47" s="42" t="s">
        <v>104</v>
      </c>
      <c r="H47" s="42">
        <v>822160</v>
      </c>
      <c r="I47" s="42">
        <v>822174</v>
      </c>
      <c r="J47" s="42">
        <v>8653</v>
      </c>
      <c r="K47" s="42">
        <v>676372</v>
      </c>
      <c r="L47" s="42">
        <v>3097</v>
      </c>
      <c r="M47" s="42">
        <v>6624</v>
      </c>
      <c r="N47" s="42">
        <v>18203</v>
      </c>
      <c r="O47" s="42">
        <v>765423</v>
      </c>
      <c r="P47" s="43">
        <v>0.37</v>
      </c>
      <c r="Q47" s="42">
        <f>765423-764808</f>
        <v>615</v>
      </c>
      <c r="R47" s="42">
        <v>764808</v>
      </c>
      <c r="S47" s="51">
        <v>0</v>
      </c>
      <c r="T47" s="52">
        <f>61185/764808</f>
        <v>8.0000470706373367E-2</v>
      </c>
      <c r="U47" s="42">
        <v>61127</v>
      </c>
      <c r="V47" s="42">
        <v>0</v>
      </c>
      <c r="W47" s="42">
        <f>12+1+18</f>
        <v>31</v>
      </c>
      <c r="X47" s="42">
        <v>13144</v>
      </c>
      <c r="Y47" s="42">
        <v>1054</v>
      </c>
      <c r="Z47" s="42">
        <v>0</v>
      </c>
      <c r="AA47" s="42">
        <v>12329</v>
      </c>
      <c r="AB47" s="42">
        <v>0</v>
      </c>
      <c r="AC47" s="42">
        <v>830</v>
      </c>
      <c r="AD47" s="42">
        <v>0</v>
      </c>
      <c r="AE47" s="42">
        <f>2176+693+1498</f>
        <v>4367</v>
      </c>
      <c r="AF47" s="42">
        <v>0</v>
      </c>
      <c r="AG47" s="42">
        <v>0</v>
      </c>
      <c r="AH47" s="42">
        <v>0</v>
      </c>
      <c r="AI47" s="42">
        <v>0</v>
      </c>
      <c r="AJ47" s="42">
        <v>40148</v>
      </c>
      <c r="AK47" s="37">
        <f t="shared" si="7"/>
        <v>0</v>
      </c>
      <c r="AL47" s="42">
        <v>0</v>
      </c>
      <c r="AM47" s="42">
        <v>40675</v>
      </c>
      <c r="AN47" s="42">
        <v>0</v>
      </c>
      <c r="AO47" s="42"/>
      <c r="AP47" s="42">
        <v>21343</v>
      </c>
      <c r="AQ47" s="42">
        <v>0</v>
      </c>
      <c r="AR47" s="42">
        <v>0</v>
      </c>
      <c r="AS47" s="42">
        <v>0</v>
      </c>
      <c r="AT47" s="42">
        <v>31</v>
      </c>
      <c r="AU47" s="42">
        <v>4</v>
      </c>
      <c r="AV47" s="45">
        <v>0</v>
      </c>
      <c r="AW47" s="45">
        <v>-2</v>
      </c>
      <c r="AX47" s="45">
        <v>-7</v>
      </c>
      <c r="AY47" s="45">
        <v>-4</v>
      </c>
      <c r="AZ47" s="45">
        <v>0</v>
      </c>
      <c r="BA47" s="33">
        <f t="shared" si="8"/>
        <v>22</v>
      </c>
      <c r="BB47" s="42">
        <v>0</v>
      </c>
      <c r="BC47" s="42">
        <v>0</v>
      </c>
      <c r="BD47" s="42">
        <v>0</v>
      </c>
      <c r="BE47" s="42">
        <v>2</v>
      </c>
      <c r="BF47" s="42">
        <v>0</v>
      </c>
      <c r="BG47" s="42">
        <v>2</v>
      </c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</row>
    <row r="48" spans="1:235" s="29" customFormat="1" ht="15.75" x14ac:dyDescent="0.25">
      <c r="A48" s="40">
        <v>21</v>
      </c>
      <c r="B48" s="41" t="s">
        <v>195</v>
      </c>
      <c r="C48" s="41" t="s">
        <v>154</v>
      </c>
      <c r="D48" s="77" t="s">
        <v>246</v>
      </c>
      <c r="E48" s="77"/>
      <c r="F48" s="77"/>
      <c r="G48" s="42" t="s">
        <v>112</v>
      </c>
      <c r="H48" s="42">
        <v>2757311</v>
      </c>
      <c r="I48" s="42">
        <v>2757311</v>
      </c>
      <c r="J48" s="42">
        <v>108031</v>
      </c>
      <c r="K48" s="42">
        <v>1962411</v>
      </c>
      <c r="L48" s="42">
        <v>191689</v>
      </c>
      <c r="M48" s="42">
        <v>153862</v>
      </c>
      <c r="N48" s="42">
        <v>181113</v>
      </c>
      <c r="O48" s="42">
        <v>2716198</v>
      </c>
      <c r="P48" s="43">
        <v>0.2</v>
      </c>
      <c r="Q48" s="42">
        <f>2716198-2716198</f>
        <v>0</v>
      </c>
      <c r="R48" s="42">
        <f>1974124+743153</f>
        <v>2717277</v>
      </c>
      <c r="S48" s="51">
        <v>0</v>
      </c>
      <c r="T48" s="52">
        <f>227139/2717277</f>
        <v>8.3590668157865394E-2</v>
      </c>
      <c r="U48" s="42">
        <v>227123</v>
      </c>
      <c r="V48" s="42">
        <v>0</v>
      </c>
      <c r="W48" s="42">
        <v>0</v>
      </c>
      <c r="X48" s="42">
        <v>71027</v>
      </c>
      <c r="Y48" s="42">
        <v>5434</v>
      </c>
      <c r="Z48" s="42">
        <v>0</v>
      </c>
      <c r="AA48" s="42">
        <v>2485</v>
      </c>
      <c r="AB48" s="42">
        <v>0</v>
      </c>
      <c r="AC48" s="42">
        <v>1603</v>
      </c>
      <c r="AD48" s="42">
        <v>0</v>
      </c>
      <c r="AE48" s="42">
        <f>200+600+1500</f>
        <v>2300</v>
      </c>
      <c r="AF48" s="42">
        <v>1798</v>
      </c>
      <c r="AG48" s="42">
        <v>0</v>
      </c>
      <c r="AH48" s="42">
        <v>0</v>
      </c>
      <c r="AI48" s="42">
        <v>0</v>
      </c>
      <c r="AJ48" s="42">
        <v>93851</v>
      </c>
      <c r="AK48" s="80">
        <f t="shared" si="7"/>
        <v>0</v>
      </c>
      <c r="AL48" s="42">
        <v>0</v>
      </c>
      <c r="AM48" s="42">
        <v>132464</v>
      </c>
      <c r="AN48" s="42">
        <v>0</v>
      </c>
      <c r="AO48" s="42"/>
      <c r="AP48" s="42">
        <v>41445</v>
      </c>
      <c r="AQ48" s="42">
        <v>0</v>
      </c>
      <c r="AR48" s="42">
        <v>0</v>
      </c>
      <c r="AS48" s="42">
        <v>0</v>
      </c>
      <c r="AT48" s="42">
        <v>97</v>
      </c>
      <c r="AU48" s="42">
        <v>27</v>
      </c>
      <c r="AV48" s="45">
        <v>0</v>
      </c>
      <c r="AW48" s="45">
        <v>0</v>
      </c>
      <c r="AX48" s="45">
        <v>-20</v>
      </c>
      <c r="AY48" s="45">
        <v>-3</v>
      </c>
      <c r="AZ48" s="45">
        <v>0</v>
      </c>
      <c r="BA48" s="42">
        <f t="shared" si="8"/>
        <v>101</v>
      </c>
      <c r="BB48" s="42">
        <v>0</v>
      </c>
      <c r="BC48" s="42">
        <v>1</v>
      </c>
      <c r="BD48" s="42">
        <v>0</v>
      </c>
      <c r="BE48" s="42">
        <v>2</v>
      </c>
      <c r="BF48" s="42">
        <v>0</v>
      </c>
      <c r="BG48" s="42">
        <v>0</v>
      </c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</row>
    <row r="49" spans="1:235" s="29" customFormat="1" ht="15.75" x14ac:dyDescent="0.25">
      <c r="A49" s="40">
        <v>21</v>
      </c>
      <c r="B49" s="41" t="s">
        <v>196</v>
      </c>
      <c r="C49" s="41" t="s">
        <v>148</v>
      </c>
      <c r="D49" s="77" t="s">
        <v>247</v>
      </c>
      <c r="E49" s="77"/>
      <c r="F49" s="77" t="s">
        <v>248</v>
      </c>
      <c r="G49" s="42" t="s">
        <v>60</v>
      </c>
      <c r="H49" s="42">
        <v>2534764</v>
      </c>
      <c r="I49" s="42">
        <v>2572789</v>
      </c>
      <c r="J49" s="42">
        <v>4796</v>
      </c>
      <c r="K49" s="42">
        <v>2044151</v>
      </c>
      <c r="L49" s="42">
        <v>80341</v>
      </c>
      <c r="M49" s="42">
        <v>192526</v>
      </c>
      <c r="N49" s="42">
        <v>39197</v>
      </c>
      <c r="O49" s="42">
        <v>2616155</v>
      </c>
      <c r="P49" s="43">
        <v>0</v>
      </c>
      <c r="Q49" s="42">
        <f>2616155-2549495</f>
        <v>66660</v>
      </c>
      <c r="R49" s="42">
        <v>2549495</v>
      </c>
      <c r="S49" s="42">
        <v>0</v>
      </c>
      <c r="T49" s="44">
        <f>203960/2549495</f>
        <v>8.0000156893816232E-2</v>
      </c>
      <c r="U49" s="42">
        <v>203960</v>
      </c>
      <c r="V49" s="42">
        <v>274697</v>
      </c>
      <c r="W49" s="42">
        <f>96+2+96</f>
        <v>194</v>
      </c>
      <c r="X49" s="42">
        <v>60818</v>
      </c>
      <c r="Y49" s="42">
        <v>10352</v>
      </c>
      <c r="Z49" s="42">
        <v>4135</v>
      </c>
      <c r="AA49" s="42">
        <v>10800</v>
      </c>
      <c r="AB49" s="42">
        <v>1058</v>
      </c>
      <c r="AC49" s="42">
        <v>6816</v>
      </c>
      <c r="AD49" s="42">
        <v>11254</v>
      </c>
      <c r="AE49" s="42">
        <f>2335+2513+2961</f>
        <v>7809</v>
      </c>
      <c r="AF49" s="42">
        <v>0</v>
      </c>
      <c r="AG49" s="42">
        <v>0</v>
      </c>
      <c r="AH49" s="42">
        <v>3623</v>
      </c>
      <c r="AI49" s="42">
        <v>0</v>
      </c>
      <c r="AJ49" s="42">
        <v>126462</v>
      </c>
      <c r="AK49" s="80">
        <f t="shared" si="7"/>
        <v>0</v>
      </c>
      <c r="AL49" s="42">
        <v>0</v>
      </c>
      <c r="AM49" s="42">
        <v>140587</v>
      </c>
      <c r="AN49" s="42">
        <v>0</v>
      </c>
      <c r="AO49" s="42"/>
      <c r="AP49" s="42">
        <v>65466</v>
      </c>
      <c r="AQ49" s="42">
        <v>0</v>
      </c>
      <c r="AR49" s="42">
        <v>0</v>
      </c>
      <c r="AS49" s="42">
        <v>0</v>
      </c>
      <c r="AT49" s="42">
        <v>67</v>
      </c>
      <c r="AU49" s="42">
        <v>12</v>
      </c>
      <c r="AV49" s="45">
        <v>0</v>
      </c>
      <c r="AW49" s="45">
        <v>-2</v>
      </c>
      <c r="AX49" s="45">
        <v>-12</v>
      </c>
      <c r="AY49" s="45">
        <v>-9</v>
      </c>
      <c r="AZ49" s="45">
        <v>0</v>
      </c>
      <c r="BA49" s="42">
        <f t="shared" si="8"/>
        <v>56</v>
      </c>
      <c r="BB49" s="42">
        <v>0</v>
      </c>
      <c r="BC49" s="42">
        <v>3</v>
      </c>
      <c r="BD49" s="42">
        <v>0</v>
      </c>
      <c r="BE49" s="42">
        <v>3</v>
      </c>
      <c r="BF49" s="42">
        <v>3</v>
      </c>
      <c r="BG49" s="42">
        <v>0</v>
      </c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</row>
    <row r="50" spans="1:235" s="29" customFormat="1" ht="15.75" x14ac:dyDescent="0.25">
      <c r="A50" s="40">
        <v>21</v>
      </c>
      <c r="B50" s="41" t="s">
        <v>197</v>
      </c>
      <c r="C50" s="41" t="s">
        <v>155</v>
      </c>
      <c r="D50" s="77" t="s">
        <v>249</v>
      </c>
      <c r="E50" s="77"/>
      <c r="F50" s="77" t="s">
        <v>91</v>
      </c>
      <c r="G50" s="42" t="s">
        <v>59</v>
      </c>
      <c r="H50" s="42">
        <v>155087</v>
      </c>
      <c r="I50" s="42">
        <v>155087</v>
      </c>
      <c r="J50" s="42">
        <v>2801</v>
      </c>
      <c r="K50" s="42">
        <v>94944</v>
      </c>
      <c r="L50" s="42">
        <v>0</v>
      </c>
      <c r="M50" s="42">
        <v>39523</v>
      </c>
      <c r="N50" s="42">
        <v>10376</v>
      </c>
      <c r="O50" s="42">
        <v>161186</v>
      </c>
      <c r="P50" s="43">
        <v>0.6</v>
      </c>
      <c r="Q50" s="42">
        <f>161186-161186</f>
        <v>0</v>
      </c>
      <c r="R50" s="42">
        <v>163987</v>
      </c>
      <c r="S50" s="42">
        <v>0</v>
      </c>
      <c r="T50" s="44">
        <f>16399/163987</f>
        <v>0.10000182941330715</v>
      </c>
      <c r="U50" s="42">
        <v>16343</v>
      </c>
      <c r="V50" s="42">
        <v>0</v>
      </c>
      <c r="W50" s="42">
        <v>0</v>
      </c>
      <c r="X50" s="42">
        <v>7498</v>
      </c>
      <c r="Y50" s="42">
        <v>0</v>
      </c>
      <c r="Z50" s="42">
        <v>0</v>
      </c>
      <c r="AA50" s="42">
        <v>350</v>
      </c>
      <c r="AB50" s="42">
        <v>0</v>
      </c>
      <c r="AC50" s="42">
        <v>250</v>
      </c>
      <c r="AD50" s="42">
        <v>0</v>
      </c>
      <c r="AE50" s="42">
        <v>399</v>
      </c>
      <c r="AF50" s="42">
        <v>250</v>
      </c>
      <c r="AG50" s="42">
        <v>0</v>
      </c>
      <c r="AH50" s="42">
        <v>0</v>
      </c>
      <c r="AI50" s="42">
        <v>0</v>
      </c>
      <c r="AJ50" s="42">
        <v>8922</v>
      </c>
      <c r="AK50" s="80">
        <f t="shared" si="7"/>
        <v>0</v>
      </c>
      <c r="AL50" s="42">
        <v>0</v>
      </c>
      <c r="AM50" s="42">
        <v>8171</v>
      </c>
      <c r="AN50" s="42">
        <v>0</v>
      </c>
      <c r="AO50" s="42"/>
      <c r="AP50" s="42">
        <v>250</v>
      </c>
      <c r="AQ50" s="42">
        <v>0</v>
      </c>
      <c r="AR50" s="42">
        <v>0</v>
      </c>
      <c r="AS50" s="42">
        <v>0</v>
      </c>
      <c r="AT50" s="42">
        <v>13</v>
      </c>
      <c r="AU50" s="42">
        <v>7</v>
      </c>
      <c r="AV50" s="45">
        <v>0</v>
      </c>
      <c r="AW50" s="45">
        <v>-1</v>
      </c>
      <c r="AX50" s="45">
        <v>-5</v>
      </c>
      <c r="AY50" s="45">
        <v>-4</v>
      </c>
      <c r="AZ50" s="45">
        <v>0</v>
      </c>
      <c r="BA50" s="42">
        <f t="shared" si="8"/>
        <v>10</v>
      </c>
      <c r="BB50" s="42">
        <v>0</v>
      </c>
      <c r="BC50" s="42">
        <v>1</v>
      </c>
      <c r="BD50" s="42">
        <v>0</v>
      </c>
      <c r="BE50" s="42">
        <v>1</v>
      </c>
      <c r="BF50" s="42">
        <v>0</v>
      </c>
      <c r="BG50" s="42">
        <v>2</v>
      </c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</row>
    <row r="51" spans="1:235" s="29" customFormat="1" ht="15.75" x14ac:dyDescent="0.25">
      <c r="A51" s="40">
        <v>21</v>
      </c>
      <c r="B51" s="41" t="s">
        <v>198</v>
      </c>
      <c r="C51" s="41" t="s">
        <v>18</v>
      </c>
      <c r="D51" s="77" t="s">
        <v>250</v>
      </c>
      <c r="E51" s="77"/>
      <c r="F51" s="77" t="s">
        <v>222</v>
      </c>
      <c r="G51" s="42" t="s">
        <v>65</v>
      </c>
      <c r="H51" s="42">
        <v>403637</v>
      </c>
      <c r="I51" s="42">
        <v>416486</v>
      </c>
      <c r="J51" s="42">
        <v>33015</v>
      </c>
      <c r="K51" s="42">
        <v>279469</v>
      </c>
      <c r="L51" s="42">
        <v>37473</v>
      </c>
      <c r="M51" s="42">
        <v>0</v>
      </c>
      <c r="N51" s="42">
        <v>0</v>
      </c>
      <c r="O51" s="42">
        <v>367106</v>
      </c>
      <c r="P51" s="43">
        <v>1</v>
      </c>
      <c r="Q51" s="42">
        <f>367106-352545</f>
        <v>14561</v>
      </c>
      <c r="R51" s="42">
        <v>352545</v>
      </c>
      <c r="S51" s="42">
        <v>0</v>
      </c>
      <c r="T51" s="44">
        <f>35255/352545</f>
        <v>0.10000141825866202</v>
      </c>
      <c r="U51" s="42">
        <v>35206</v>
      </c>
      <c r="V51" s="42">
        <v>127733</v>
      </c>
      <c r="W51" s="42">
        <v>0</v>
      </c>
      <c r="X51" s="42">
        <v>474</v>
      </c>
      <c r="Y51" s="42">
        <v>38</v>
      </c>
      <c r="Z51" s="42">
        <v>71</v>
      </c>
      <c r="AA51" s="42">
        <v>1008</v>
      </c>
      <c r="AB51" s="42">
        <v>7300</v>
      </c>
      <c r="AC51" s="42">
        <v>0</v>
      </c>
      <c r="AD51" s="42">
        <v>0</v>
      </c>
      <c r="AE51" s="42">
        <f>1812+168+1380</f>
        <v>3360</v>
      </c>
      <c r="AF51" s="42">
        <v>0</v>
      </c>
      <c r="AG51" s="42">
        <v>2052</v>
      </c>
      <c r="AH51" s="42">
        <v>0</v>
      </c>
      <c r="AI51" s="42">
        <v>0</v>
      </c>
      <c r="AJ51" s="42">
        <v>18933</v>
      </c>
      <c r="AK51" s="80">
        <f t="shared" si="7"/>
        <v>0</v>
      </c>
      <c r="AL51" s="42">
        <v>0</v>
      </c>
      <c r="AM51" s="42">
        <v>24920</v>
      </c>
      <c r="AN51" s="42">
        <v>2</v>
      </c>
      <c r="AO51" s="42"/>
      <c r="AP51" s="42">
        <v>18400</v>
      </c>
      <c r="AQ51" s="42">
        <v>0</v>
      </c>
      <c r="AR51" s="42">
        <v>0</v>
      </c>
      <c r="AS51" s="42">
        <v>0</v>
      </c>
      <c r="AT51" s="42">
        <v>21</v>
      </c>
      <c r="AU51" s="42">
        <v>1</v>
      </c>
      <c r="AV51" s="45">
        <v>0</v>
      </c>
      <c r="AW51" s="45">
        <v>0</v>
      </c>
      <c r="AX51" s="45">
        <v>0</v>
      </c>
      <c r="AY51" s="45">
        <v>-3</v>
      </c>
      <c r="AZ51" s="45">
        <v>0</v>
      </c>
      <c r="BA51" s="42">
        <f t="shared" si="8"/>
        <v>19</v>
      </c>
      <c r="BB51" s="42">
        <v>0</v>
      </c>
      <c r="BC51" s="42">
        <v>0</v>
      </c>
      <c r="BD51" s="42">
        <v>0</v>
      </c>
      <c r="BE51" s="42">
        <v>1</v>
      </c>
      <c r="BF51" s="42">
        <v>1</v>
      </c>
      <c r="BG51" s="42">
        <v>0</v>
      </c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</row>
    <row r="52" spans="1:235" ht="15.75" x14ac:dyDescent="0.25">
      <c r="A52" s="31">
        <v>21</v>
      </c>
      <c r="B52" s="32" t="s">
        <v>199</v>
      </c>
      <c r="C52" s="32" t="s">
        <v>153</v>
      </c>
      <c r="D52" s="77" t="s">
        <v>251</v>
      </c>
      <c r="E52" s="77"/>
      <c r="F52" s="77" t="s">
        <v>203</v>
      </c>
      <c r="G52" s="33" t="s">
        <v>65</v>
      </c>
      <c r="H52" s="33">
        <v>516219</v>
      </c>
      <c r="I52" s="33">
        <v>529916</v>
      </c>
      <c r="J52" s="33">
        <v>0</v>
      </c>
      <c r="K52" s="33">
        <v>309944</v>
      </c>
      <c r="L52" s="33">
        <v>7282</v>
      </c>
      <c r="M52" s="33">
        <v>3268</v>
      </c>
      <c r="N52" s="33">
        <v>73134</v>
      </c>
      <c r="O52" s="33">
        <v>518782</v>
      </c>
      <c r="P52" s="34">
        <v>1</v>
      </c>
      <c r="Q52" s="33">
        <f>518782-505085</f>
        <v>13697</v>
      </c>
      <c r="R52" s="33">
        <v>419389</v>
      </c>
      <c r="S52" s="33">
        <v>85697</v>
      </c>
      <c r="T52" s="39">
        <f>23540/505085</f>
        <v>4.6606016809051944E-2</v>
      </c>
      <c r="U52" s="33">
        <v>23627</v>
      </c>
      <c r="V52" s="33">
        <v>332062</v>
      </c>
      <c r="W52" s="33">
        <v>28</v>
      </c>
      <c r="X52" s="33">
        <v>10000</v>
      </c>
      <c r="Y52" s="33">
        <v>0</v>
      </c>
      <c r="Z52" s="33">
        <v>0</v>
      </c>
      <c r="AA52" s="33">
        <v>2000</v>
      </c>
      <c r="AB52" s="33">
        <v>0</v>
      </c>
      <c r="AC52" s="33">
        <v>1000</v>
      </c>
      <c r="AD52" s="33">
        <v>0</v>
      </c>
      <c r="AE52" s="33">
        <f>109+368+323</f>
        <v>800</v>
      </c>
      <c r="AF52" s="33">
        <v>732</v>
      </c>
      <c r="AG52" s="33">
        <v>0</v>
      </c>
      <c r="AH52" s="33">
        <v>0</v>
      </c>
      <c r="AI52" s="33">
        <v>0</v>
      </c>
      <c r="AJ52" s="33">
        <v>15962</v>
      </c>
      <c r="AK52" s="37">
        <f t="shared" si="7"/>
        <v>0</v>
      </c>
      <c r="AL52" s="33">
        <v>0</v>
      </c>
      <c r="AM52" s="33">
        <v>37764</v>
      </c>
      <c r="AN52" s="33">
        <v>440</v>
      </c>
      <c r="AO52" s="33"/>
      <c r="AP52" s="33">
        <v>13434</v>
      </c>
      <c r="AQ52" s="33">
        <v>0</v>
      </c>
      <c r="AR52" s="33">
        <v>0</v>
      </c>
      <c r="AS52" s="33">
        <v>0</v>
      </c>
      <c r="AT52" s="33">
        <v>18</v>
      </c>
      <c r="AU52" s="33">
        <v>10</v>
      </c>
      <c r="AV52" s="38">
        <v>0</v>
      </c>
      <c r="AW52" s="38">
        <v>-1</v>
      </c>
      <c r="AX52" s="38">
        <v>-6</v>
      </c>
      <c r="AY52" s="38">
        <v>-1</v>
      </c>
      <c r="AZ52" s="38">
        <v>0</v>
      </c>
      <c r="BA52" s="33">
        <f t="shared" si="8"/>
        <v>20</v>
      </c>
      <c r="BB52" s="33">
        <v>0</v>
      </c>
      <c r="BC52" s="33">
        <v>1</v>
      </c>
      <c r="BD52" s="33">
        <v>0</v>
      </c>
      <c r="BE52" s="33">
        <v>0</v>
      </c>
      <c r="BF52" s="33">
        <v>0</v>
      </c>
      <c r="BG52" s="33">
        <v>0</v>
      </c>
    </row>
    <row r="53" spans="1:235" x14ac:dyDescent="0.2">
      <c r="A53" s="14"/>
      <c r="B53" s="14"/>
      <c r="D53" s="14"/>
      <c r="E53" s="14"/>
      <c r="F53" s="14"/>
      <c r="G53" s="14"/>
      <c r="H53" s="21"/>
      <c r="I53" s="21"/>
      <c r="J53" s="21"/>
      <c r="K53" s="21"/>
      <c r="L53" s="21"/>
      <c r="M53" s="21"/>
      <c r="N53" s="21"/>
      <c r="O53" s="21"/>
      <c r="P53" s="26"/>
      <c r="Q53" s="26"/>
      <c r="R53" s="26"/>
      <c r="S53" s="25"/>
      <c r="T53" s="25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</row>
    <row r="54" spans="1:235" x14ac:dyDescent="0.2">
      <c r="A54" s="15"/>
      <c r="B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7"/>
      <c r="Q54" s="27"/>
      <c r="R54" s="27"/>
      <c r="S54" s="17"/>
      <c r="T54" s="17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235" x14ac:dyDescent="0.2">
      <c r="P55" s="9"/>
      <c r="Q55" s="9"/>
      <c r="R55" s="9"/>
      <c r="S55" s="10"/>
      <c r="T55" s="10"/>
    </row>
    <row r="56" spans="1:235" x14ac:dyDescent="0.2">
      <c r="P56" s="9"/>
      <c r="Q56" s="9"/>
      <c r="R56" s="9"/>
      <c r="S56" s="10"/>
      <c r="T56" s="10"/>
    </row>
    <row r="57" spans="1:235" x14ac:dyDescent="0.2">
      <c r="P57" s="9"/>
      <c r="Q57" s="9"/>
      <c r="R57" s="9"/>
      <c r="S57" s="10"/>
      <c r="T57" s="10"/>
    </row>
    <row r="58" spans="1:235" x14ac:dyDescent="0.2">
      <c r="P58" s="9"/>
      <c r="Q58" s="9"/>
      <c r="R58" s="9"/>
      <c r="S58" s="10"/>
      <c r="T58" s="10"/>
    </row>
    <row r="59" spans="1:235" x14ac:dyDescent="0.2">
      <c r="P59" s="9"/>
      <c r="Q59" s="9"/>
      <c r="R59" s="9"/>
      <c r="S59" s="10"/>
      <c r="T59" s="10"/>
    </row>
    <row r="60" spans="1:235" x14ac:dyDescent="0.2">
      <c r="P60" s="9"/>
      <c r="Q60" s="9"/>
      <c r="R60" s="9"/>
      <c r="S60" s="10"/>
      <c r="T60" s="10"/>
    </row>
    <row r="61" spans="1:235" x14ac:dyDescent="0.2">
      <c r="P61" s="9"/>
      <c r="Q61" s="9"/>
      <c r="R61" s="9"/>
      <c r="S61" s="10"/>
      <c r="T61" s="10"/>
    </row>
    <row r="62" spans="1:235" x14ac:dyDescent="0.2">
      <c r="P62" s="9"/>
      <c r="Q62" s="9"/>
      <c r="R62" s="9"/>
      <c r="S62" s="10"/>
      <c r="T62" s="10"/>
    </row>
    <row r="63" spans="1:235" x14ac:dyDescent="0.2">
      <c r="P63" s="9"/>
      <c r="Q63" s="9"/>
      <c r="R63" s="9"/>
      <c r="S63" s="10"/>
      <c r="T63" s="10"/>
    </row>
    <row r="64" spans="1:235" x14ac:dyDescent="0.2">
      <c r="P64" s="9"/>
      <c r="Q64" s="9"/>
      <c r="R64" s="9"/>
      <c r="S64" s="10"/>
      <c r="T64" s="10"/>
    </row>
    <row r="65" spans="16:20" x14ac:dyDescent="0.2">
      <c r="P65" s="9"/>
      <c r="Q65" s="9"/>
      <c r="R65" s="9"/>
      <c r="S65" s="10"/>
      <c r="T65" s="10"/>
    </row>
    <row r="66" spans="16:20" x14ac:dyDescent="0.2">
      <c r="P66" s="9"/>
      <c r="Q66" s="9"/>
      <c r="R66" s="9"/>
      <c r="S66" s="10"/>
      <c r="T66" s="10"/>
    </row>
    <row r="67" spans="16:20" x14ac:dyDescent="0.2">
      <c r="P67" s="9"/>
      <c r="Q67" s="9"/>
      <c r="R67" s="9"/>
      <c r="S67" s="10"/>
      <c r="T67" s="10"/>
    </row>
    <row r="68" spans="16:20" x14ac:dyDescent="0.2">
      <c r="P68" s="9"/>
      <c r="Q68" s="9"/>
      <c r="R68" s="9"/>
      <c r="S68" s="10"/>
      <c r="T68" s="10"/>
    </row>
    <row r="69" spans="16:20" x14ac:dyDescent="0.2">
      <c r="P69" s="9"/>
      <c r="Q69" s="9"/>
      <c r="R69" s="9"/>
      <c r="S69" s="10"/>
      <c r="T69" s="10"/>
    </row>
    <row r="70" spans="16:20" x14ac:dyDescent="0.2">
      <c r="P70" s="9"/>
      <c r="Q70" s="9"/>
      <c r="R70" s="9"/>
      <c r="S70" s="10"/>
      <c r="T70" s="10"/>
    </row>
    <row r="71" spans="16:20" x14ac:dyDescent="0.2">
      <c r="P71" s="9"/>
      <c r="Q71" s="9"/>
      <c r="R71" s="9"/>
      <c r="S71" s="10"/>
      <c r="T71" s="10"/>
    </row>
    <row r="72" spans="16:20" x14ac:dyDescent="0.2">
      <c r="P72" s="9"/>
      <c r="Q72" s="9"/>
      <c r="R72" s="9"/>
      <c r="S72" s="10"/>
      <c r="T72" s="10"/>
    </row>
    <row r="73" spans="16:20" x14ac:dyDescent="0.2">
      <c r="P73" s="9"/>
      <c r="Q73" s="9"/>
      <c r="R73" s="9"/>
      <c r="S73" s="10"/>
      <c r="T73" s="10"/>
    </row>
    <row r="74" spans="16:20" x14ac:dyDescent="0.2">
      <c r="P74" s="9"/>
      <c r="Q74" s="9"/>
      <c r="R74" s="9"/>
      <c r="S74" s="10"/>
      <c r="T74" s="10"/>
    </row>
    <row r="75" spans="16:20" x14ac:dyDescent="0.2">
      <c r="P75" s="9"/>
      <c r="Q75" s="9"/>
      <c r="R75" s="9"/>
      <c r="S75" s="10"/>
      <c r="T75" s="10"/>
    </row>
    <row r="76" spans="16:20" x14ac:dyDescent="0.2">
      <c r="P76" s="9"/>
      <c r="Q76" s="9"/>
      <c r="R76" s="9"/>
      <c r="S76" s="10"/>
      <c r="T76" s="10"/>
    </row>
    <row r="77" spans="16:20" x14ac:dyDescent="0.2">
      <c r="P77" s="9"/>
      <c r="Q77" s="9"/>
      <c r="R77" s="9"/>
      <c r="S77" s="10"/>
      <c r="T77" s="10"/>
    </row>
    <row r="78" spans="16:20" x14ac:dyDescent="0.2">
      <c r="P78" s="9"/>
      <c r="Q78" s="9"/>
      <c r="R78" s="9"/>
      <c r="S78" s="10"/>
      <c r="T78" s="10"/>
    </row>
    <row r="79" spans="16:20" x14ac:dyDescent="0.2">
      <c r="P79" s="9"/>
      <c r="Q79" s="9"/>
      <c r="R79" s="9"/>
      <c r="S79" s="10"/>
      <c r="T79" s="10"/>
    </row>
    <row r="80" spans="16:20" x14ac:dyDescent="0.2">
      <c r="P80" s="9"/>
      <c r="Q80" s="9"/>
      <c r="R80" s="9"/>
      <c r="S80" s="10"/>
      <c r="T80" s="10"/>
    </row>
    <row r="81" spans="16:18" x14ac:dyDescent="0.2">
      <c r="P81" s="9"/>
      <c r="Q81" s="9"/>
      <c r="R81" s="9"/>
    </row>
    <row r="82" spans="16:18" x14ac:dyDescent="0.2">
      <c r="P82" s="9"/>
      <c r="Q82" s="9"/>
      <c r="R82" s="9"/>
    </row>
    <row r="83" spans="16:18" x14ac:dyDescent="0.2">
      <c r="P83" s="9"/>
      <c r="Q83" s="9"/>
      <c r="R83" s="9"/>
    </row>
    <row r="84" spans="16:18" x14ac:dyDescent="0.2">
      <c r="P84" s="9"/>
      <c r="Q84" s="9"/>
      <c r="R84" s="9"/>
    </row>
    <row r="85" spans="16:18" x14ac:dyDescent="0.2">
      <c r="P85" s="9"/>
      <c r="Q85" s="9"/>
      <c r="R85" s="9"/>
    </row>
    <row r="86" spans="16:18" x14ac:dyDescent="0.2">
      <c r="P86" s="9"/>
      <c r="Q86" s="9"/>
      <c r="R86" s="9"/>
    </row>
    <row r="87" spans="16:18" x14ac:dyDescent="0.2">
      <c r="P87" s="9"/>
      <c r="Q87" s="9"/>
      <c r="R87" s="9"/>
    </row>
    <row r="88" spans="16:18" x14ac:dyDescent="0.2">
      <c r="P88" s="9"/>
      <c r="Q88" s="9"/>
      <c r="R88" s="9"/>
    </row>
  </sheetData>
  <mergeCells count="5">
    <mergeCell ref="O5:O7"/>
    <mergeCell ref="S5:S7"/>
    <mergeCell ref="R5:R7"/>
    <mergeCell ref="Q5:Q7"/>
    <mergeCell ref="E5:E7"/>
  </mergeCells>
  <phoneticPr fontId="2" type="noConversion"/>
  <pageMargins left="0.75" right="0.75" top="1" bottom="1" header="0.5" footer="0.5"/>
  <pageSetup orientation="portrait" r:id="rId1"/>
  <headerFooter alignWithMargins="0"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A</vt:lpstr>
      <vt:lpstr>_EXP13</vt:lpstr>
      <vt:lpstr>_EXP2</vt:lpstr>
      <vt:lpstr>_MT13</vt:lpstr>
      <vt:lpstr>_MTH2</vt:lpstr>
      <vt:lpstr>DISB</vt:lpstr>
      <vt:lpstr>DISB2</vt:lpstr>
      <vt:lpstr>EXP</vt:lpstr>
      <vt:lpstr>MTH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 12  STANDING TRUSTEE FY14 ANNUAL REPORTS</dc:title>
  <dc:creator>Finan, Debra  (USTP)</dc:creator>
  <cp:lastModifiedBy>Chery, Rose</cp:lastModifiedBy>
  <dcterms:created xsi:type="dcterms:W3CDTF">2007-10-30T12:54:55Z</dcterms:created>
  <dcterms:modified xsi:type="dcterms:W3CDTF">2014-12-23T18:19:11Z</dcterms:modified>
</cp:coreProperties>
</file>