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worksheets/sheet59.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932"/>
  </bookViews>
  <sheets>
    <sheet name="B. Summ of Reqs - S&amp;E " sheetId="45" r:id="rId1"/>
    <sheet name="C. Increases Offsets - S&amp;E " sheetId="21" r:id="rId2"/>
    <sheet name="D. Strat Goals &amp; Objs - S&amp;E" sheetId="57" r:id="rId3"/>
    <sheet name="E. ATB Justification - S&amp;E" sheetId="29" r:id="rId4"/>
    <sheet name="F. 2010 Crosswalk - S&amp;E" sheetId="2" r:id="rId5"/>
    <sheet name="G. 2011 Crosswalk - S&amp;E" sheetId="56" r:id="rId6"/>
    <sheet name="H. Reimb Resources - S&amp;E" sheetId="16" r:id="rId7"/>
    <sheet name="I. Perm Positions - S&amp;E" sheetId="10" r:id="rId8"/>
    <sheet name="J. Financial Analysis - S&amp;E" sheetId="36" r:id="rId9"/>
    <sheet name="K. Summ by Grade - S&amp;E" sheetId="6" r:id="rId10"/>
    <sheet name="L. Summ by Obj Class - S&amp;E" sheetId="14" r:id="rId11"/>
    <sheet name="M. Studies - S&amp;E" sheetId="47" r:id="rId12"/>
    <sheet name="N. Summary of Program Changes" sheetId="104" r:id="rId13"/>
    <sheet name="P. ATB by Decision Unit" sheetId="58" r:id="rId14"/>
    <sheet name="B. Summ of Requirements  - JA" sheetId="59" r:id="rId15"/>
    <sheet name="C. Increases Offsets - JA" sheetId="60" r:id="rId16"/>
    <sheet name="D. Strat Goals &amp; Objs - JA" sheetId="61" r:id="rId17"/>
    <sheet name="F. 2010 Crosswalk - JA" sheetId="62" r:id="rId18"/>
    <sheet name="G. 2011 Crosswalk - JA" sheetId="63" r:id="rId19"/>
    <sheet name="H. Reimbursable Resources - JA" sheetId="65" r:id="rId20"/>
    <sheet name="J. Financial Analysis - JA" sheetId="64" r:id="rId21"/>
    <sheet name="L. Summ by Object Class - JA" sheetId="66" r:id="rId22"/>
    <sheet name="B. Summ of Reqs - SLLEA " sheetId="67" r:id="rId23"/>
    <sheet name="C. Increases Offsets - SLLEA" sheetId="68" r:id="rId24"/>
    <sheet name="D. Strat Goals &amp; Objs - SLLEA" sheetId="69" r:id="rId25"/>
    <sheet name="F. 2010 Crosswalk - SLLEA" sheetId="70" r:id="rId26"/>
    <sheet name="G. 2011 Crosswalk - SLLEA" sheetId="71" r:id="rId27"/>
    <sheet name="H. Reimb Resources - SLLEA" sheetId="72" r:id="rId28"/>
    <sheet name="J. Finan Analysis - SLLEA" sheetId="73" r:id="rId29"/>
    <sheet name="L. Summ by Object Class - SLLEA" sheetId="74" r:id="rId30"/>
    <sheet name="B. Summ of Reqs - W&amp;S" sheetId="75" r:id="rId31"/>
    <sheet name="C. Increases Offsets - W&amp;S" sheetId="76" r:id="rId32"/>
    <sheet name="D. Strat Goals &amp; Objs - W&amp;S" sheetId="77" r:id="rId33"/>
    <sheet name="F. 2010 Crosswalk - W&amp;S" sheetId="78" r:id="rId34"/>
    <sheet name="G. 2011 Crosswalk - W&amp;S" sheetId="79" r:id="rId35"/>
    <sheet name="J. Financial Analysis - W&amp;S" sheetId="80" r:id="rId36"/>
    <sheet name="L. Summ by Object Class - W&amp;S" sheetId="81" r:id="rId37"/>
    <sheet name="B. Summ of Reqs - JJ" sheetId="82" r:id="rId38"/>
    <sheet name="C. Increases Offsets - JJ" sheetId="83" r:id="rId39"/>
    <sheet name="D. Strat Goals &amp; Objs - JJ" sheetId="84" r:id="rId40"/>
    <sheet name="F. 2010 Crosswalk - JJ" sheetId="85" r:id="rId41"/>
    <sheet name="G. 2011 Crosswalk - JJ" sheetId="86" r:id="rId42"/>
    <sheet name="H. Reimb Resources - JJ" sheetId="87" r:id="rId43"/>
    <sheet name="J. Financial Analysis - JJ" sheetId="88" r:id="rId44"/>
    <sheet name="L. Summ by Object Class - JJ" sheetId="89" r:id="rId45"/>
    <sheet name="B. Summ of Reqs - PSOB" sheetId="90" r:id="rId46"/>
    <sheet name="C. Increases Offsets - PSOB" sheetId="91" r:id="rId47"/>
    <sheet name="D. Strat Goals &amp; Objs - PSOB" sheetId="92" r:id="rId48"/>
    <sheet name="F. 2010 Crosswalk - PSOB" sheetId="93" r:id="rId49"/>
    <sheet name="G. 2011 Crosswalk - PSOB" sheetId="94" r:id="rId50"/>
    <sheet name="J. Financial Analysis - PSOB" sheetId="95" r:id="rId51"/>
    <sheet name="L. Summ by Object Class - PSOB" sheetId="96" r:id="rId52"/>
    <sheet name="B. Summ of Reqs - CVF" sheetId="97" r:id="rId53"/>
    <sheet name="C. Increases Offsets - CVF" sheetId="98" r:id="rId54"/>
    <sheet name="D. Strat Goals &amp; Objs - CVF" sheetId="99" r:id="rId55"/>
    <sheet name="F. 2010 Crosswalk - CVF" sheetId="100" r:id="rId56"/>
    <sheet name="G. 2011 Crosswalk - CVF" sheetId="101" r:id="rId57"/>
    <sheet name="J. Financial Analysis - CVF" sheetId="102" r:id="rId58"/>
    <sheet name="L. Summ by Object Class - CVF" sheetId="103" r:id="rId59"/>
    <sheet name="(N-2) Domestic Agent" sheetId="50" state="hidden" r:id="rId60"/>
    <sheet name="(N-3) Domestic Attorney" sheetId="49" state="hidden" r:id="rId61"/>
    <sheet name="(N-4) Domestic Prof Sup" sheetId="51" state="hidden" r:id="rId62"/>
    <sheet name="(N-5) Domestic Clerical" sheetId="52" state="hidden" r:id="rId63"/>
    <sheet name="(P) IT" sheetId="55" state="hidden" r:id="rId64"/>
  </sheets>
  <externalReferences>
    <externalReference r:id="rId65"/>
    <externalReference r:id="rId66"/>
    <externalReference r:id="rId67"/>
  </externalReferences>
  <definedNames>
    <definedName name="_10POS_BY_CAT" localSheetId="28">'[1]Summ Atty Agt'!#REF!</definedName>
    <definedName name="_10POS_BY_CAT" localSheetId="57">'[1]Summ Atty Agt'!#REF!</definedName>
    <definedName name="_10POS_BY_CAT" localSheetId="20">'[1]Summ Atty Agt'!#REF!</definedName>
    <definedName name="_10POS_BY_CAT" localSheetId="43">'[1]Summ Atty Agt'!#REF!</definedName>
    <definedName name="_10POS_BY_CAT" localSheetId="50">'[1]Summ Atty Agt'!#REF!</definedName>
    <definedName name="_10POS_BY_CAT" localSheetId="8">'[1]Summ Atty Agt'!#REF!</definedName>
    <definedName name="_10POS_BY_CAT" localSheetId="35">'[1]Summ Atty Agt'!#REF!</definedName>
    <definedName name="_11POS_BY_CAT" localSheetId="20">#REF!</definedName>
    <definedName name="_11POS_BY_CAT">#REF!</definedName>
    <definedName name="_1ATTORNEY_SUPP" localSheetId="52">#REF!</definedName>
    <definedName name="_1ATTORNEY_SUPP" localSheetId="37">#REF!</definedName>
    <definedName name="_1ATTORNEY_SUPP" localSheetId="45">#REF!</definedName>
    <definedName name="_1ATTORNEY_SUPP" localSheetId="0">#REF!</definedName>
    <definedName name="_1ATTORNEY_SUPP" localSheetId="22">#REF!</definedName>
    <definedName name="_1ATTORNEY_SUPP" localSheetId="30">#REF!</definedName>
    <definedName name="_1ATTORNEY_SUPP" localSheetId="14">#REF!</definedName>
    <definedName name="_2ATTORNEY_SUPP" localSheetId="20">#REF!</definedName>
    <definedName name="_2ATTORNEY_SUPP">#REF!</definedName>
    <definedName name="_3GA_ROLLUP" localSheetId="52">'B. Summ of Reqs - CVF'!#REF!</definedName>
    <definedName name="_3GA_ROLLUP" localSheetId="37">'B. Summ of Reqs - JJ'!#REF!</definedName>
    <definedName name="_3GA_ROLLUP" localSheetId="45">'B. Summ of Reqs - PSOB'!#REF!</definedName>
    <definedName name="_3GA_ROLLUP" localSheetId="0">'B. Summ of Reqs - S&amp;E '!#REF!</definedName>
    <definedName name="_3GA_ROLLUP" localSheetId="22">'B. Summ of Reqs - SLLEA '!#REF!</definedName>
    <definedName name="_3GA_ROLLUP" localSheetId="30">'B. Summ of Reqs - W&amp;S'!#REF!</definedName>
    <definedName name="_3GA_ROLLUP" localSheetId="14">'B. Summ of Requirements  - JA'!#REF!</definedName>
    <definedName name="_4GA_ROLLUP" localSheetId="54">#REF!</definedName>
    <definedName name="_4GA_ROLLUP" localSheetId="16">#REF!</definedName>
    <definedName name="_4GA_ROLLUP" localSheetId="39">#REF!</definedName>
    <definedName name="_4GA_ROLLUP" localSheetId="47">#REF!</definedName>
    <definedName name="_4GA_ROLLUP" localSheetId="2">#REF!</definedName>
    <definedName name="_4GA_ROLLUP" localSheetId="24">#REF!</definedName>
    <definedName name="_4GA_ROLLUP" localSheetId="32">#REF!</definedName>
    <definedName name="_5GA_ROLLUP" localSheetId="42">[2]SumReq!#REF!</definedName>
    <definedName name="_5GA_ROLLUP" localSheetId="6">[2]SumReq!#REF!</definedName>
    <definedName name="_5GA_ROLLUP" localSheetId="27">[2]SumReq!#REF!</definedName>
    <definedName name="_5GA_ROLLUP" localSheetId="19">[3]SumReq!#REF!</definedName>
    <definedName name="_6GA_ROLLUP" localSheetId="28">'[1]Sum of Req'!#REF!</definedName>
    <definedName name="_6GA_ROLLUP" localSheetId="57">'[1]Sum of Req'!#REF!</definedName>
    <definedName name="_6GA_ROLLUP" localSheetId="20">'[1]Sum of Req'!#REF!</definedName>
    <definedName name="_6GA_ROLLUP" localSheetId="43">'[1]Sum of Req'!#REF!</definedName>
    <definedName name="_6GA_ROLLUP" localSheetId="50">'[1]Sum of Req'!#REF!</definedName>
    <definedName name="_6GA_ROLLUP" localSheetId="8">'[1]Sum of Req'!#REF!</definedName>
    <definedName name="_6GA_ROLLUP" localSheetId="35">'[1]Sum of Req'!#REF!</definedName>
    <definedName name="_7GA_ROLLUP" localSheetId="20">#REF!</definedName>
    <definedName name="_7GA_ROLLUP">#REF!</definedName>
    <definedName name="_8POS_BY_CAT" localSheetId="52">#REF!</definedName>
    <definedName name="_8POS_BY_CAT" localSheetId="37">#REF!</definedName>
    <definedName name="_8POS_BY_CAT" localSheetId="45">#REF!</definedName>
    <definedName name="_8POS_BY_CAT" localSheetId="0">#REF!</definedName>
    <definedName name="_8POS_BY_CAT" localSheetId="22">#REF!</definedName>
    <definedName name="_8POS_BY_CAT" localSheetId="30">#REF!</definedName>
    <definedName name="_8POS_BY_CAT" localSheetId="14">#REF!</definedName>
    <definedName name="_9POS_BY_CAT" localSheetId="54">#REF!</definedName>
    <definedName name="_9POS_BY_CAT" localSheetId="16">#REF!</definedName>
    <definedName name="_9POS_BY_CAT" localSheetId="39">#REF!</definedName>
    <definedName name="_9POS_BY_CAT" localSheetId="47">#REF!</definedName>
    <definedName name="_9POS_BY_CAT" localSheetId="2">#REF!</definedName>
    <definedName name="_9POS_BY_CAT" localSheetId="24">#REF!</definedName>
    <definedName name="_9POS_BY_CAT" localSheetId="32">#REF!</definedName>
    <definedName name="_xlnm._FilterDatabase" localSheetId="63" hidden="1">'(P) IT'!$F$14:$G$14</definedName>
    <definedName name="DL" localSheetId="52">'B. Summ of Reqs - CVF'!$A$3:$X$50</definedName>
    <definedName name="DL" localSheetId="37">'B. Summ of Reqs - JJ'!$A$4:$Z$65</definedName>
    <definedName name="DL" localSheetId="45">'B. Summ of Reqs - PSOB'!$A$3:$X$52</definedName>
    <definedName name="DL" localSheetId="0">'B. Summ of Reqs - S&amp;E '!$A$3:$X$71</definedName>
    <definedName name="DL" localSheetId="22">'B. Summ of Reqs - SLLEA '!$A$3:$X$101</definedName>
    <definedName name="DL" localSheetId="30">'B. Summ of Reqs - W&amp;S'!$A$3:$X$50</definedName>
    <definedName name="DL" localSheetId="14">'B. Summ of Requirements  - JA'!$A$3:$X$70</definedName>
    <definedName name="DL" localSheetId="20">#REF!</definedName>
    <definedName name="DL">#REF!</definedName>
    <definedName name="EXECSUPP" localSheetId="52">'B. Summ of Reqs - CVF'!#REF!</definedName>
    <definedName name="EXECSUPP" localSheetId="37">'B. Summ of Reqs - JJ'!#REF!</definedName>
    <definedName name="EXECSUPP" localSheetId="45">'B. Summ of Reqs - PSOB'!#REF!</definedName>
    <definedName name="EXECSUPP" localSheetId="0">'B. Summ of Reqs - S&amp;E '!#REF!</definedName>
    <definedName name="EXECSUPP" localSheetId="22">'B. Summ of Reqs - SLLEA '!#REF!</definedName>
    <definedName name="EXECSUPP" localSheetId="30">'B. Summ of Reqs - W&amp;S'!#REF!</definedName>
    <definedName name="EXECSUPP" localSheetId="14">'B. Summ of Requirements  - JA'!#REF!</definedName>
    <definedName name="EXECSUPP" localSheetId="54">#REF!</definedName>
    <definedName name="EXECSUPP" localSheetId="16">#REF!</definedName>
    <definedName name="EXECSUPP" localSheetId="39">#REF!</definedName>
    <definedName name="EXECSUPP" localSheetId="47">#REF!</definedName>
    <definedName name="EXECSUPP" localSheetId="2">#REF!</definedName>
    <definedName name="EXECSUPP" localSheetId="24">#REF!</definedName>
    <definedName name="EXECSUPP" localSheetId="32">#REF!</definedName>
    <definedName name="EXECSUPP" localSheetId="28">'[1]Sum of Req'!#REF!</definedName>
    <definedName name="EXECSUPP" localSheetId="57">'[1]Sum of Req'!#REF!</definedName>
    <definedName name="EXECSUPP" localSheetId="20">'[1]Sum of Req'!#REF!</definedName>
    <definedName name="EXECSUPP" localSheetId="43">'[1]Sum of Req'!#REF!</definedName>
    <definedName name="EXECSUPP" localSheetId="50">'[1]Sum of Req'!#REF!</definedName>
    <definedName name="EXECSUPP" localSheetId="8">'[1]Sum of Req'!#REF!</definedName>
    <definedName name="EXECSUPP" localSheetId="35">'[1]Sum of Req'!#REF!</definedName>
    <definedName name="EXECSUPP">#REF!</definedName>
    <definedName name="FY0711.1" localSheetId="20">#REF!</definedName>
    <definedName name="FY0711.1">#REF!</definedName>
    <definedName name="FY0711.5" localSheetId="20">#REF!</definedName>
    <definedName name="FY0711.5">#REF!</definedName>
    <definedName name="FY0712.1" localSheetId="20">#REF!</definedName>
    <definedName name="FY0712.1">#REF!</definedName>
    <definedName name="FY0721.0" localSheetId="20">#REF!</definedName>
    <definedName name="FY0721.0">#REF!</definedName>
    <definedName name="FY0722.0" localSheetId="20">#REF!</definedName>
    <definedName name="FY0722.0">#REF!</definedName>
    <definedName name="FY0723.1" localSheetId="20">#REF!</definedName>
    <definedName name="FY0723.1">#REF!</definedName>
    <definedName name="FY0723.2" localSheetId="20">#REF!</definedName>
    <definedName name="FY0723.2">#REF!</definedName>
    <definedName name="FY0723.3" localSheetId="20">#REF!</definedName>
    <definedName name="FY0723.3">#REF!</definedName>
    <definedName name="FY0724.0" localSheetId="20">#REF!</definedName>
    <definedName name="FY0724.0">#REF!</definedName>
    <definedName name="FY0725.2" localSheetId="20">#REF!</definedName>
    <definedName name="FY0725.2">#REF!</definedName>
    <definedName name="FY0725.3" localSheetId="20">#REF!</definedName>
    <definedName name="FY0725.3">#REF!</definedName>
    <definedName name="FY0725.6" localSheetId="20">#REF!</definedName>
    <definedName name="FY0725.6">#REF!</definedName>
    <definedName name="FY0726.0" localSheetId="20">#REF!</definedName>
    <definedName name="FY0726.0">#REF!</definedName>
    <definedName name="FY0731.0" localSheetId="20">#REF!</definedName>
    <definedName name="FY0731.0">#REF!</definedName>
    <definedName name="FY0732.0" localSheetId="20">#REF!</definedName>
    <definedName name="FY0732.0">#REF!</definedName>
    <definedName name="FY07Ling" localSheetId="20">#REF!</definedName>
    <definedName name="FY07Ling">#REF!</definedName>
    <definedName name="FY07Mult" localSheetId="20">#REF!</definedName>
    <definedName name="FY07Mult">#REF!</definedName>
    <definedName name="FY07PEPI" localSheetId="20">#REF!</definedName>
    <definedName name="FY07PEPI">#REF!</definedName>
    <definedName name="FY07Tot" localSheetId="20">#REF!</definedName>
    <definedName name="FY07Tot">#REF!</definedName>
    <definedName name="FY07Train" localSheetId="20">#REF!</definedName>
    <definedName name="FY07Train">#REF!</definedName>
    <definedName name="FY0811.1" localSheetId="20">#REF!</definedName>
    <definedName name="FY0811.1">#REF!</definedName>
    <definedName name="FY0811.5" localSheetId="20">#REF!</definedName>
    <definedName name="FY0811.5">#REF!</definedName>
    <definedName name="FY0812.1" localSheetId="20">#REF!</definedName>
    <definedName name="FY0812.1">#REF!</definedName>
    <definedName name="FY0821.0" localSheetId="20">#REF!</definedName>
    <definedName name="FY0821.0">#REF!</definedName>
    <definedName name="FY0822.0" localSheetId="20">#REF!</definedName>
    <definedName name="FY0822.0">#REF!</definedName>
    <definedName name="FY0823.1" localSheetId="20">#REF!</definedName>
    <definedName name="FY0823.1">#REF!</definedName>
    <definedName name="FY0823.2" localSheetId="20">#REF!</definedName>
    <definedName name="FY0823.2">#REF!</definedName>
    <definedName name="FY0823.3" localSheetId="20">#REF!</definedName>
    <definedName name="FY0823.3">#REF!</definedName>
    <definedName name="FY0824.0" localSheetId="20">#REF!</definedName>
    <definedName name="FY0824.0">#REF!</definedName>
    <definedName name="FY0825.2" localSheetId="20">#REF!</definedName>
    <definedName name="FY0825.2">#REF!</definedName>
    <definedName name="FY0825.3" localSheetId="20">#REF!</definedName>
    <definedName name="FY0825.3">#REF!</definedName>
    <definedName name="FY0825.6" localSheetId="20">#REF!</definedName>
    <definedName name="FY0825.6">#REF!</definedName>
    <definedName name="FY0826.0" localSheetId="20">#REF!</definedName>
    <definedName name="FY0826.0">#REF!</definedName>
    <definedName name="FY0831.0" localSheetId="20">#REF!</definedName>
    <definedName name="FY0831.0">#REF!</definedName>
    <definedName name="FY0832.0" localSheetId="20">#REF!</definedName>
    <definedName name="FY0832.0">#REF!</definedName>
    <definedName name="FY08Ling" localSheetId="20">#REF!</definedName>
    <definedName name="FY08Ling">#REF!</definedName>
    <definedName name="FY08Mult" localSheetId="20">#REF!</definedName>
    <definedName name="FY08Mult">#REF!</definedName>
    <definedName name="FY08PEPI" localSheetId="20">#REF!</definedName>
    <definedName name="FY08PEPI">#REF!</definedName>
    <definedName name="FY08Tot" localSheetId="20">#REF!</definedName>
    <definedName name="FY08Tot">#REF!</definedName>
    <definedName name="FY08Train" localSheetId="20">#REF!</definedName>
    <definedName name="FY08Train">#REF!</definedName>
    <definedName name="FY0911.1" localSheetId="20">#REF!</definedName>
    <definedName name="FY0911.1">#REF!</definedName>
    <definedName name="FY0911.5" localSheetId="20">#REF!</definedName>
    <definedName name="FY0911.5">#REF!</definedName>
    <definedName name="FY0912.1" localSheetId="20">#REF!</definedName>
    <definedName name="FY0912.1">#REF!</definedName>
    <definedName name="FY0921.0" localSheetId="20">#REF!</definedName>
    <definedName name="FY0921.0">#REF!</definedName>
    <definedName name="FY0922.0" localSheetId="20">#REF!</definedName>
    <definedName name="FY0922.0">#REF!</definedName>
    <definedName name="FY0923.1" localSheetId="20">#REF!</definedName>
    <definedName name="FY0923.1">#REF!</definedName>
    <definedName name="FY0923.2" localSheetId="20">#REF!</definedName>
    <definedName name="FY0923.2">#REF!</definedName>
    <definedName name="FY0923.3" localSheetId="20">#REF!</definedName>
    <definedName name="FY0923.3">#REF!</definedName>
    <definedName name="FY0924.0" localSheetId="20">#REF!</definedName>
    <definedName name="FY0924.0">#REF!</definedName>
    <definedName name="FY0925.2" localSheetId="20">#REF!</definedName>
    <definedName name="FY0925.2">#REF!</definedName>
    <definedName name="FY0925.3" localSheetId="20">#REF!</definedName>
    <definedName name="FY0925.3">#REF!</definedName>
    <definedName name="FY0925.6" localSheetId="20">#REF!</definedName>
    <definedName name="FY0925.6">#REF!</definedName>
    <definedName name="FY0926.0" localSheetId="20">#REF!</definedName>
    <definedName name="FY0926.0">#REF!</definedName>
    <definedName name="FY0931.0" localSheetId="20">#REF!</definedName>
    <definedName name="FY0931.0">#REF!</definedName>
    <definedName name="FY0932.0" localSheetId="20">#REF!</definedName>
    <definedName name="FY0932.0">#REF!</definedName>
    <definedName name="FY09Ling" localSheetId="20">#REF!</definedName>
    <definedName name="FY09Ling">#REF!</definedName>
    <definedName name="FY09Mult" localSheetId="20">#REF!</definedName>
    <definedName name="FY09Mult">#REF!</definedName>
    <definedName name="FY09PEPI" localSheetId="20">#REF!</definedName>
    <definedName name="FY09PEPI">#REF!</definedName>
    <definedName name="FY09Tot" localSheetId="20">#REF!</definedName>
    <definedName name="FY09Tot">#REF!</definedName>
    <definedName name="FY09Train" localSheetId="20">#REF!</definedName>
    <definedName name="FY09Train">#REF!</definedName>
    <definedName name="hlhl0" localSheetId="3">'E. ATB Justification - S&amp;E'!#REF!</definedName>
    <definedName name="INTEL" localSheetId="52">'B. Summ of Reqs - CVF'!#REF!</definedName>
    <definedName name="INTEL" localSheetId="37">'B. Summ of Reqs - JJ'!#REF!</definedName>
    <definedName name="INTEL" localSheetId="45">'B. Summ of Reqs - PSOB'!#REF!</definedName>
    <definedName name="INTEL" localSheetId="0">'B. Summ of Reqs - S&amp;E '!#REF!</definedName>
    <definedName name="INTEL" localSheetId="22">'B. Summ of Reqs - SLLEA '!#REF!</definedName>
    <definedName name="INTEL" localSheetId="30">'B. Summ of Reqs - W&amp;S'!#REF!</definedName>
    <definedName name="INTEL" localSheetId="14">'B. Summ of Requirements  - JA'!#REF!</definedName>
    <definedName name="INTEL" localSheetId="54">#REF!</definedName>
    <definedName name="INTEL" localSheetId="16">#REF!</definedName>
    <definedName name="INTEL" localSheetId="39">#REF!</definedName>
    <definedName name="INTEL" localSheetId="47">#REF!</definedName>
    <definedName name="INTEL" localSheetId="2">#REF!</definedName>
    <definedName name="INTEL" localSheetId="24">#REF!</definedName>
    <definedName name="INTEL" localSheetId="32">#REF!</definedName>
    <definedName name="INTEL" localSheetId="28">'[1]Sum of Req'!#REF!</definedName>
    <definedName name="INTEL" localSheetId="57">'[1]Sum of Req'!#REF!</definedName>
    <definedName name="INTEL" localSheetId="20">'[1]Sum of Req'!#REF!</definedName>
    <definedName name="INTEL" localSheetId="43">'[1]Sum of Req'!#REF!</definedName>
    <definedName name="INTEL" localSheetId="50">'[1]Sum of Req'!#REF!</definedName>
    <definedName name="INTEL" localSheetId="8">'[1]Sum of Req'!#REF!</definedName>
    <definedName name="INTEL" localSheetId="35">'[1]Sum of Req'!#REF!</definedName>
    <definedName name="INTEL">#REF!</definedName>
    <definedName name="JMD" localSheetId="52">'B. Summ of Reqs - CVF'!#REF!</definedName>
    <definedName name="JMD" localSheetId="37">'B. Summ of Reqs - JJ'!#REF!</definedName>
    <definedName name="JMD" localSheetId="45">'B. Summ of Reqs - PSOB'!#REF!</definedName>
    <definedName name="JMD" localSheetId="0">'B. Summ of Reqs - S&amp;E '!#REF!</definedName>
    <definedName name="JMD" localSheetId="22">'B. Summ of Reqs - SLLEA '!#REF!</definedName>
    <definedName name="JMD" localSheetId="30">'B. Summ of Reqs - W&amp;S'!#REF!</definedName>
    <definedName name="JMD" localSheetId="14">'B. Summ of Requirements  - JA'!#REF!</definedName>
    <definedName name="JMD" localSheetId="54">#REF!</definedName>
    <definedName name="JMD" localSheetId="16">#REF!</definedName>
    <definedName name="JMD" localSheetId="39">#REF!</definedName>
    <definedName name="JMD" localSheetId="47">#REF!</definedName>
    <definedName name="JMD" localSheetId="2">#REF!</definedName>
    <definedName name="JMD" localSheetId="24">#REF!</definedName>
    <definedName name="JMD" localSheetId="32">#REF!</definedName>
    <definedName name="JMD" localSheetId="28">'[1]Sum of Req'!#REF!</definedName>
    <definedName name="JMD" localSheetId="57">'[1]Sum of Req'!#REF!</definedName>
    <definedName name="JMD" localSheetId="20">'[1]Sum of Req'!#REF!</definedName>
    <definedName name="JMD" localSheetId="43">'[1]Sum of Req'!#REF!</definedName>
    <definedName name="JMD" localSheetId="50">'[1]Sum of Req'!#REF!</definedName>
    <definedName name="JMD" localSheetId="8">'[1]Sum of Req'!#REF!</definedName>
    <definedName name="JMD" localSheetId="35">'[1]Sum of Req'!#REF!</definedName>
    <definedName name="JMD">#REF!</definedName>
    <definedName name="OLE_LINK7" localSheetId="3">'E. ATB Justification - S&amp;E'!#REF!</definedName>
    <definedName name="PART" localSheetId="20">#REF!</definedName>
    <definedName name="PART">#REF!</definedName>
    <definedName name="_xlnm.Print_Area" localSheetId="59">'(N-2) Domestic Agent'!$A$1:$J$69</definedName>
    <definedName name="_xlnm.Print_Area" localSheetId="60">'(N-3) Domestic Attorney'!$A$1:$H$53</definedName>
    <definedName name="_xlnm.Print_Area" localSheetId="61">'(N-4) Domestic Prof Sup'!$A$1:$J$53</definedName>
    <definedName name="_xlnm.Print_Area" localSheetId="62">'(N-5) Domestic Clerical'!$A$1:$H$52</definedName>
    <definedName name="_xlnm.Print_Area" localSheetId="63">'(P) IT'!$A$1:$H$32</definedName>
    <definedName name="_xlnm.Print_Area" localSheetId="52">'B. Summ of Reqs - CVF'!$A$1:$X$59</definedName>
    <definedName name="_xlnm.Print_Area" localSheetId="37">'B. Summ of Reqs - JJ'!$A$2:$Z$92</definedName>
    <definedName name="_xlnm.Print_Area" localSheetId="45">'B. Summ of Reqs - PSOB'!$A$1:$X$62</definedName>
    <definedName name="_xlnm.Print_Area" localSheetId="0">'B. Summ of Reqs - S&amp;E '!$A$1:$X$85</definedName>
    <definedName name="_xlnm.Print_Area" localSheetId="22">'B. Summ of Reqs - SLLEA '!$A$1:$X$197</definedName>
    <definedName name="_xlnm.Print_Area" localSheetId="30">'B. Summ of Reqs - W&amp;S'!$A$1:$X$61</definedName>
    <definedName name="_xlnm.Print_Area" localSheetId="14">'B. Summ of Requirements  - JA'!$A$1:$X$99</definedName>
    <definedName name="_xlnm.Print_Area" localSheetId="53">'C. Increases Offsets - CVF'!$A$1:$G$15</definedName>
    <definedName name="_xlnm.Print_Area" localSheetId="15">'C. Increases Offsets - JA'!$A$1:$G$33</definedName>
    <definedName name="_xlnm.Print_Area" localSheetId="38">'C. Increases Offsets - JJ'!$B$1:$H$27</definedName>
    <definedName name="_xlnm.Print_Area" localSheetId="46">'C. Increases Offsets - PSOB'!$A$1:$G$17</definedName>
    <definedName name="_xlnm.Print_Area" localSheetId="1">'C. Increases Offsets - S&amp;E '!$A$1:$G$23</definedName>
    <definedName name="_xlnm.Print_Area" localSheetId="23">'C. Increases Offsets - SLLEA'!$A$1:$G$53</definedName>
    <definedName name="_xlnm.Print_Area" localSheetId="31">'C. Increases Offsets - W&amp;S'!$A$1:$G$16</definedName>
    <definedName name="_xlnm.Print_Area" localSheetId="54">'D. Strat Goals &amp; Objs - CVF'!$A$1:$P$42</definedName>
    <definedName name="_xlnm.Print_Area" localSheetId="16">'D. Strat Goals &amp; Objs - JA'!$A$1:$P$45</definedName>
    <definedName name="_xlnm.Print_Area" localSheetId="39">'D. Strat Goals &amp; Objs - JJ'!$A$1:$P$43</definedName>
    <definedName name="_xlnm.Print_Area" localSheetId="47">'D. Strat Goals &amp; Objs - PSOB'!$A$1:$P$41</definedName>
    <definedName name="_xlnm.Print_Area" localSheetId="2">'D. Strat Goals &amp; Objs - S&amp;E'!$A$1:$P$41</definedName>
    <definedName name="_xlnm.Print_Area" localSheetId="24">'D. Strat Goals &amp; Objs - SLLEA'!$A$1:$P$46</definedName>
    <definedName name="_xlnm.Print_Area" localSheetId="32">'D. Strat Goals &amp; Objs - W&amp;S'!$A$1:$P$44</definedName>
    <definedName name="_xlnm.Print_Area" localSheetId="3">'E. ATB Justification - S&amp;E'!$A$1:$I$32</definedName>
    <definedName name="_xlnm.Print_Area" localSheetId="55">'F. 2010 Crosswalk - CVF'!$A$1:$O$27</definedName>
    <definedName name="_xlnm.Print_Area" localSheetId="17">'F. 2010 Crosswalk - JA'!$A$1:$O$38</definedName>
    <definedName name="_xlnm.Print_Area" localSheetId="40">'F. 2010 Crosswalk - JJ'!$A$1:$O$51</definedName>
    <definedName name="_xlnm.Print_Area" localSheetId="48">'F. 2010 Crosswalk - PSOB'!$A$1:$R$20</definedName>
    <definedName name="_xlnm.Print_Area" localSheetId="4">'F. 2010 Crosswalk - S&amp;E'!$A$1:$O$28</definedName>
    <definedName name="_xlnm.Print_Area" localSheetId="25">'F. 2010 Crosswalk - SLLEA'!$A$1:$O$93</definedName>
    <definedName name="_xlnm.Print_Area" localSheetId="33">'F. 2010 Crosswalk - W&amp;S'!$A$1:$O$27</definedName>
    <definedName name="_xlnm.Print_Area" localSheetId="56">'G. 2011 Crosswalk - CVF'!$A$1:$O$25</definedName>
    <definedName name="_xlnm.Print_Area" localSheetId="18">'G. 2011 Crosswalk - JA'!$A$1:$O$35</definedName>
    <definedName name="_xlnm.Print_Area" localSheetId="41">'G. 2011 Crosswalk - JJ'!$A$1:$O$41</definedName>
    <definedName name="_xlnm.Print_Area" localSheetId="49">'G. 2011 Crosswalk - PSOB'!$A$1:$O$20</definedName>
    <definedName name="_xlnm.Print_Area" localSheetId="5">'G. 2011 Crosswalk - S&amp;E'!$A$1:$O$19</definedName>
    <definedName name="_xlnm.Print_Area" localSheetId="26">'G. 2011 Crosswalk - SLLEA'!$A$1:$O$82</definedName>
    <definedName name="_xlnm.Print_Area" localSheetId="34">'G. 2011 Crosswalk - W&amp;S'!$A$1:$L$19</definedName>
    <definedName name="_xlnm.Print_Area" localSheetId="42">'H. Reimb Resources - JJ'!$A$1:$N$16</definedName>
    <definedName name="_xlnm.Print_Area" localSheetId="6">'H. Reimb Resources - S&amp;E'!$A$1:$N$15</definedName>
    <definedName name="_xlnm.Print_Area" localSheetId="27">'H. Reimb Resources - SLLEA'!$A$1:$N$20</definedName>
    <definedName name="_xlnm.Print_Area" localSheetId="19">'H. Reimbursable Resources - JA'!$A$1:$N$17</definedName>
    <definedName name="_xlnm.Print_Area" localSheetId="7">'I. Perm Positions - S&amp;E'!$A$1:$K$32</definedName>
    <definedName name="_xlnm.Print_Area" localSheetId="28">'J. Finan Analysis - SLLEA'!$A$1:$P$52</definedName>
    <definedName name="_xlnm.Print_Area" localSheetId="57">'J. Financial Analysis - CVF'!$A$1:$E$13</definedName>
    <definedName name="_xlnm.Print_Area" localSheetId="20">'J. Financial Analysis - JA'!$A$1:$K$30</definedName>
    <definedName name="_xlnm.Print_Area" localSheetId="43">'J. Financial Analysis - JJ'!$A$1:$O$22</definedName>
    <definedName name="_xlnm.Print_Area" localSheetId="50">'J. Financial Analysis - PSOB'!$A$1:$G$13</definedName>
    <definedName name="_xlnm.Print_Area" localSheetId="8">'J. Financial Analysis - S&amp;E'!$A$1:$K$44</definedName>
    <definedName name="_xlnm.Print_Area" localSheetId="35">'J. Financial Analysis - W&amp;S'!$A$1:$E$12</definedName>
    <definedName name="_xlnm.Print_Area" localSheetId="9">'K. Summ by Grade - S&amp;E'!$A$1:$I$30</definedName>
    <definedName name="_xlnm.Print_Area" localSheetId="10">'L. Summ by Obj Class - S&amp;E'!$A$1:$I$41</definedName>
    <definedName name="_xlnm.Print_Area" localSheetId="58">'L. Summ by Object Class - CVF'!$A$1:$K$45</definedName>
    <definedName name="_xlnm.Print_Area" localSheetId="21">'L. Summ by Object Class - JA'!$A$1:$K$46</definedName>
    <definedName name="_xlnm.Print_Area" localSheetId="44">'L. Summ by Object Class - JJ'!$A$1:$K$47</definedName>
    <definedName name="_xlnm.Print_Area" localSheetId="51">'L. Summ by Object Class - PSOB'!$A$1:$K$44</definedName>
    <definedName name="_xlnm.Print_Area" localSheetId="29">'L. Summ by Object Class - SLLEA'!$A$1:$K$47</definedName>
    <definedName name="_xlnm.Print_Area" localSheetId="36">'L. Summ by Object Class - W&amp;S'!$A$1:$K$46</definedName>
    <definedName name="_xlnm.Print_Area" localSheetId="11">'M. Studies - S&amp;E'!$A$1:$I$56</definedName>
    <definedName name="_xlnm.Print_Area" localSheetId="12">'N. Summary of Program Changes'!$A$1:$F$208</definedName>
    <definedName name="_xlnm.Print_Area" localSheetId="13">'P. ATB by Decision Unit'!$A$1:$F$29</definedName>
    <definedName name="_xlnm.Print_Area">#REF!</definedName>
    <definedName name="_xlnm.Print_Titles" localSheetId="59">'(N-2) Domestic Agent'!$1:$13</definedName>
    <definedName name="_xlnm.Print_Titles" localSheetId="60">'(N-3) Domestic Attorney'!$1:$13</definedName>
    <definedName name="_xlnm.Print_Titles" localSheetId="61">'(N-4) Domestic Prof Sup'!$1:$13</definedName>
    <definedName name="_xlnm.Print_Titles" localSheetId="62">'(N-5) Domestic Clerical'!$1:$13</definedName>
    <definedName name="_xlnm.Print_Titles" localSheetId="25">'F. 2010 Crosswalk - SLLEA'!$1:$11</definedName>
    <definedName name="_xlnm.Print_Titles" localSheetId="26">'G. 2011 Crosswalk - SLLEA'!$1:$11</definedName>
    <definedName name="_xlnm.Print_Titles" localSheetId="28">'J. Finan Analysis - SLLEA'!$1:$6</definedName>
    <definedName name="_xlnm.Print_Titles" localSheetId="11">'M. Studies - S&amp;E'!$4:$8</definedName>
    <definedName name="_xlnm.Print_Titles" localSheetId="12">'N. Summary of Program Changes'!$1:$1</definedName>
    <definedName name="REIMPRO" localSheetId="42">'H. Reimb Resources - JJ'!$A$1:$N$15</definedName>
    <definedName name="REIMPRO" localSheetId="6">'H. Reimb Resources - S&amp;E'!$A$1:$N$15</definedName>
    <definedName name="REIMPRO" localSheetId="27">'H. Reimb Resources - SLLEA'!$A$1:$N$19</definedName>
    <definedName name="REIMPRO" localSheetId="19">'H. Reimbursable Resources - JA'!$A$1:$N$18</definedName>
    <definedName name="REIMPRO" localSheetId="20">#REF!</definedName>
    <definedName name="REIMPRO">#REF!</definedName>
    <definedName name="REIMSOR" localSheetId="42">'H. Reimb Resources - JJ'!$P$18:$AF$31</definedName>
    <definedName name="REIMSOR" localSheetId="6">'H. Reimb Resources - S&amp;E'!$P$17:$AF$30</definedName>
    <definedName name="REIMSOR" localSheetId="27">'H. Reimb Resources - SLLEA'!#REF!</definedName>
    <definedName name="REIMSOR" localSheetId="19">'H. Reimbursable Resources - JA'!$P$21:$AF$34</definedName>
    <definedName name="REIMSOR" localSheetId="20">#REF!</definedName>
    <definedName name="REIMSOR">#REF!</definedName>
  </definedNames>
  <calcPr calcId="125725"/>
</workbook>
</file>

<file path=xl/calcChain.xml><?xml version="1.0" encoding="utf-8"?>
<calcChain xmlns="http://schemas.openxmlformats.org/spreadsheetml/2006/main">
  <c r="J39" i="69"/>
  <c r="J38"/>
  <c r="J33"/>
  <c r="J23"/>
  <c r="J22"/>
  <c r="E38" i="36"/>
  <c r="O72" i="71"/>
  <c r="O79" i="70"/>
  <c r="G26" i="14"/>
  <c r="O26" i="86"/>
  <c r="O21"/>
  <c r="O22"/>
  <c r="O23"/>
  <c r="O20"/>
  <c r="O24"/>
  <c r="O25"/>
  <c r="O27"/>
  <c r="O28"/>
  <c r="O30" i="85"/>
  <c r="O34"/>
  <c r="O26"/>
  <c r="O27"/>
  <c r="O28"/>
  <c r="O25"/>
  <c r="O29"/>
  <c r="O13"/>
  <c r="O14"/>
  <c r="O15"/>
  <c r="O16"/>
  <c r="O17"/>
  <c r="O18"/>
  <c r="O19"/>
  <c r="O20"/>
  <c r="O21"/>
  <c r="O22"/>
  <c r="O23"/>
  <c r="O24"/>
  <c r="D34"/>
  <c r="O32"/>
  <c r="O33"/>
  <c r="O31"/>
  <c r="I33" i="74"/>
  <c r="E48" i="73"/>
  <c r="D48"/>
  <c r="E49"/>
  <c r="C49"/>
  <c r="B49"/>
  <c r="O42"/>
  <c r="N42"/>
  <c r="M42"/>
  <c r="L42"/>
  <c r="K42"/>
  <c r="J42"/>
  <c r="I42"/>
  <c r="H42"/>
  <c r="G42"/>
  <c r="F42"/>
  <c r="E42"/>
  <c r="D42"/>
  <c r="C42"/>
  <c r="B42"/>
  <c r="O35"/>
  <c r="N35"/>
  <c r="M35"/>
  <c r="L35"/>
  <c r="K35"/>
  <c r="J35"/>
  <c r="I35"/>
  <c r="H35"/>
  <c r="G35"/>
  <c r="F35"/>
  <c r="E35"/>
  <c r="D35"/>
  <c r="C35"/>
  <c r="B35"/>
  <c r="O27"/>
  <c r="N27"/>
  <c r="M27"/>
  <c r="L27"/>
  <c r="K27"/>
  <c r="J27"/>
  <c r="I27"/>
  <c r="H27"/>
  <c r="G27"/>
  <c r="F27"/>
  <c r="E27"/>
  <c r="D27"/>
  <c r="C27"/>
  <c r="B27"/>
  <c r="O20"/>
  <c r="N20"/>
  <c r="M20"/>
  <c r="L20"/>
  <c r="K20"/>
  <c r="J20"/>
  <c r="I20"/>
  <c r="H20"/>
  <c r="G20"/>
  <c r="F20"/>
  <c r="E20"/>
  <c r="D20"/>
  <c r="C20"/>
  <c r="B20"/>
  <c r="O13"/>
  <c r="N13"/>
  <c r="M13"/>
  <c r="L13"/>
  <c r="K13"/>
  <c r="I13"/>
  <c r="H13"/>
  <c r="J13"/>
  <c r="G13"/>
  <c r="F13"/>
  <c r="E13"/>
  <c r="D13"/>
  <c r="N10" i="72"/>
  <c r="N10" i="65"/>
  <c r="O71" i="71"/>
  <c r="O12"/>
  <c r="K72"/>
  <c r="D72"/>
  <c r="P38" i="69"/>
  <c r="P22"/>
  <c r="K29" i="64"/>
  <c r="K30" s="1"/>
  <c r="J29"/>
  <c r="J30" s="1"/>
  <c r="I30"/>
  <c r="H30"/>
  <c r="G30"/>
  <c r="F30"/>
  <c r="E30"/>
  <c r="D30"/>
  <c r="C30"/>
  <c r="B30"/>
  <c r="I22"/>
  <c r="H22"/>
  <c r="F22"/>
  <c r="D22"/>
  <c r="B22"/>
  <c r="O24" i="63"/>
  <c r="F44" i="104"/>
  <c r="F104" s="1"/>
  <c r="E104"/>
  <c r="F79"/>
  <c r="W37" i="45"/>
  <c r="X37"/>
  <c r="V37"/>
  <c r="N38" i="69"/>
  <c r="N39"/>
  <c r="N22"/>
  <c r="L22"/>
  <c r="J40"/>
  <c r="X182" i="67"/>
  <c r="X183"/>
  <c r="X145"/>
  <c r="X143"/>
  <c r="X136"/>
  <c r="X133"/>
  <c r="X120"/>
  <c r="X121"/>
  <c r="X122"/>
  <c r="X123"/>
  <c r="X124"/>
  <c r="X112"/>
  <c r="X113"/>
  <c r="X114"/>
  <c r="X111"/>
  <c r="X104"/>
  <c r="X105"/>
  <c r="X107"/>
  <c r="X108"/>
  <c r="X103"/>
  <c r="X177"/>
  <c r="X176"/>
  <c r="X175"/>
  <c r="X174"/>
  <c r="X109"/>
  <c r="X110"/>
  <c r="X101"/>
  <c r="O37" i="70"/>
  <c r="O38"/>
  <c r="O39"/>
  <c r="O36"/>
  <c r="O41"/>
  <c r="O13"/>
  <c r="O14"/>
  <c r="O15"/>
  <c r="O16"/>
  <c r="O17"/>
  <c r="O18"/>
  <c r="O19"/>
  <c r="O21"/>
  <c r="O22"/>
  <c r="O23"/>
  <c r="O24"/>
  <c r="O25"/>
  <c r="O26"/>
  <c r="O27"/>
  <c r="O29"/>
  <c r="O30"/>
  <c r="O31"/>
  <c r="O32"/>
  <c r="O33"/>
  <c r="O34"/>
  <c r="O35"/>
  <c r="O40"/>
  <c r="O42"/>
  <c r="O44"/>
  <c r="O45"/>
  <c r="O47"/>
  <c r="O48"/>
  <c r="O49"/>
  <c r="O50"/>
  <c r="O51"/>
  <c r="O52"/>
  <c r="O53"/>
  <c r="O54"/>
  <c r="O55"/>
  <c r="O56"/>
  <c r="O57"/>
  <c r="O58"/>
  <c r="O59"/>
  <c r="O68"/>
  <c r="O69"/>
  <c r="O70"/>
  <c r="O71"/>
  <c r="O72"/>
  <c r="O73"/>
  <c r="O74"/>
  <c r="O75"/>
  <c r="O76"/>
  <c r="O77"/>
  <c r="O78"/>
  <c r="O12"/>
  <c r="O13" i="62"/>
  <c r="O14"/>
  <c r="O15"/>
  <c r="O16"/>
  <c r="O17"/>
  <c r="O18"/>
  <c r="O19"/>
  <c r="O20"/>
  <c r="O21"/>
  <c r="O22"/>
  <c r="O23"/>
  <c r="O12"/>
  <c r="O12" i="85"/>
  <c r="C34" i="103"/>
  <c r="O13" i="94" l="1"/>
  <c r="L79" i="70"/>
  <c r="C33" i="74"/>
  <c r="K79" i="70"/>
  <c r="E33" i="66"/>
  <c r="C24"/>
  <c r="O17" i="63"/>
  <c r="O23"/>
  <c r="O14"/>
  <c r="O15"/>
  <c r="O16"/>
  <c r="O18"/>
  <c r="O19"/>
  <c r="O20"/>
  <c r="O21"/>
  <c r="O13"/>
  <c r="X48" i="59" l="1"/>
  <c r="X42" i="67"/>
  <c r="X82"/>
  <c r="X28"/>
  <c r="O85" i="59"/>
  <c r="I85"/>
  <c r="F85"/>
  <c r="X85"/>
  <c r="X86"/>
  <c r="R87"/>
  <c r="R85"/>
  <c r="X38"/>
  <c r="U85"/>
  <c r="L85"/>
  <c r="J22" i="61"/>
  <c r="N22"/>
  <c r="O76" i="59"/>
  <c r="O77"/>
  <c r="O74"/>
  <c r="O70"/>
  <c r="X24"/>
  <c r="E34" i="96"/>
  <c r="O12" i="94"/>
  <c r="R13" i="93"/>
  <c r="E35" i="89"/>
  <c r="P43" i="84"/>
  <c r="C33" i="81"/>
  <c r="E26" i="14" l="1"/>
  <c r="C26"/>
  <c r="I30"/>
  <c r="F10"/>
  <c r="F11"/>
  <c r="H11" s="1"/>
  <c r="H12"/>
  <c r="H10"/>
  <c r="I33"/>
  <c r="I32"/>
  <c r="O12" i="56"/>
  <c r="I32" i="29"/>
  <c r="H32"/>
  <c r="G32"/>
  <c r="I38" i="57"/>
  <c r="I37"/>
  <c r="I23"/>
  <c r="I21"/>
  <c r="F14" i="21"/>
  <c r="R74" i="45"/>
  <c r="X41"/>
  <c r="C21" i="36"/>
  <c r="C19"/>
  <c r="C17"/>
  <c r="C15"/>
  <c r="K26"/>
  <c r="J26"/>
  <c r="J25"/>
  <c r="J24"/>
  <c r="K43"/>
  <c r="J43"/>
  <c r="K42"/>
  <c r="J42"/>
  <c r="K39"/>
  <c r="J39"/>
  <c r="K38"/>
  <c r="J38"/>
  <c r="K36"/>
  <c r="J36"/>
  <c r="K35"/>
  <c r="J35"/>
  <c r="K33"/>
  <c r="J33"/>
  <c r="K32"/>
  <c r="J32"/>
  <c r="K31"/>
  <c r="J31"/>
  <c r="J29"/>
  <c r="K21"/>
  <c r="J21"/>
  <c r="K19"/>
  <c r="J19"/>
  <c r="K17"/>
  <c r="J17"/>
  <c r="K15"/>
  <c r="J15"/>
  <c r="C42"/>
  <c r="C38"/>
  <c r="C36"/>
  <c r="C35"/>
  <c r="C33"/>
  <c r="C32"/>
  <c r="C31"/>
  <c r="H16" i="14" l="1"/>
  <c r="C24" i="36"/>
  <c r="K24" s="1"/>
  <c r="C43" l="1"/>
  <c r="C39" l="1"/>
  <c r="E11" i="80"/>
  <c r="D11"/>
  <c r="O22" i="69"/>
  <c r="O23"/>
  <c r="O24"/>
  <c r="E13" i="58"/>
  <c r="J44" i="36" l="1"/>
  <c r="E44"/>
  <c r="B19"/>
  <c r="B15"/>
  <c r="X27" i="45"/>
  <c r="E24" i="36"/>
  <c r="B24" l="1"/>
  <c r="C25" l="1"/>
  <c r="K25" s="1"/>
  <c r="B25"/>
  <c r="B29" s="1"/>
  <c r="B44" s="1"/>
  <c r="C29" l="1"/>
  <c r="J38" i="57"/>
  <c r="J37"/>
  <c r="J26"/>
  <c r="J23"/>
  <c r="J21"/>
  <c r="F16" i="21"/>
  <c r="E16"/>
  <c r="D16"/>
  <c r="C16"/>
  <c r="G14"/>
  <c r="G16" s="1"/>
  <c r="C44" i="36" l="1"/>
  <c r="K29"/>
  <c r="K44" s="1"/>
  <c r="D44"/>
  <c r="L71" i="45" l="1"/>
  <c r="X75"/>
  <c r="W76"/>
  <c r="V76"/>
  <c r="O76"/>
  <c r="X76" s="1"/>
  <c r="O72"/>
  <c r="O73"/>
  <c r="O74"/>
  <c r="X74" s="1"/>
  <c r="W74"/>
  <c r="V74"/>
  <c r="V42"/>
  <c r="W42"/>
  <c r="W46"/>
  <c r="V46"/>
  <c r="X46"/>
  <c r="X42"/>
  <c r="X47" s="1"/>
  <c r="D163" i="104"/>
  <c r="E163"/>
  <c r="C163"/>
  <c r="D157"/>
  <c r="E157"/>
  <c r="F157" s="1"/>
  <c r="C157"/>
  <c r="F155"/>
  <c r="F154"/>
  <c r="F145"/>
  <c r="F136"/>
  <c r="E133"/>
  <c r="E128"/>
  <c r="D128"/>
  <c r="C128"/>
  <c r="D104"/>
  <c r="C104"/>
  <c r="E33"/>
  <c r="D33"/>
  <c r="D136" s="1"/>
  <c r="D159" s="1"/>
  <c r="D165" s="1"/>
  <c r="C33"/>
  <c r="C136" s="1"/>
  <c r="C159" s="1"/>
  <c r="C165" s="1"/>
  <c r="F163" l="1"/>
  <c r="E136"/>
  <c r="E159" s="1"/>
  <c r="F159" s="1"/>
  <c r="W47" i="45"/>
  <c r="V47"/>
  <c r="I44" i="103"/>
  <c r="I43"/>
  <c r="I42"/>
  <c r="L32"/>
  <c r="L31"/>
  <c r="L30"/>
  <c r="L29"/>
  <c r="L28"/>
  <c r="L27"/>
  <c r="L24"/>
  <c r="L23"/>
  <c r="L22"/>
  <c r="L21"/>
  <c r="J21"/>
  <c r="L20"/>
  <c r="L19"/>
  <c r="L18"/>
  <c r="K18"/>
  <c r="K16"/>
  <c r="K34" s="1"/>
  <c r="J16"/>
  <c r="J34" s="1"/>
  <c r="I16"/>
  <c r="H16"/>
  <c r="G16"/>
  <c r="F16"/>
  <c r="E16"/>
  <c r="E34" s="1"/>
  <c r="D16"/>
  <c r="C16"/>
  <c r="B16"/>
  <c r="A5"/>
  <c r="A4"/>
  <c r="C13" i="102"/>
  <c r="B13"/>
  <c r="E12"/>
  <c r="E13" s="1"/>
  <c r="D12"/>
  <c r="D13" s="1"/>
  <c r="A5"/>
  <c r="A4"/>
  <c r="L13" i="101"/>
  <c r="K13"/>
  <c r="J13"/>
  <c r="I13"/>
  <c r="I15" s="1"/>
  <c r="I19" s="1"/>
  <c r="H13"/>
  <c r="G13"/>
  <c r="F13"/>
  <c r="F15" s="1"/>
  <c r="F19" s="1"/>
  <c r="E13"/>
  <c r="D13"/>
  <c r="C13"/>
  <c r="C15" s="1"/>
  <c r="C19" s="1"/>
  <c r="B13"/>
  <c r="O12"/>
  <c r="O13" s="1"/>
  <c r="N12"/>
  <c r="N13" s="1"/>
  <c r="N15" s="1"/>
  <c r="N19" s="1"/>
  <c r="M12"/>
  <c r="M13" s="1"/>
  <c r="A5"/>
  <c r="A4"/>
  <c r="L13" i="100"/>
  <c r="K13"/>
  <c r="J13"/>
  <c r="I13"/>
  <c r="I15" s="1"/>
  <c r="I19" s="1"/>
  <c r="H13"/>
  <c r="G13"/>
  <c r="F13"/>
  <c r="F15" s="1"/>
  <c r="F19" s="1"/>
  <c r="E13"/>
  <c r="D13"/>
  <c r="C13"/>
  <c r="C15" s="1"/>
  <c r="C19" s="1"/>
  <c r="B13"/>
  <c r="O12"/>
  <c r="O13" s="1"/>
  <c r="N12"/>
  <c r="N13" s="1"/>
  <c r="N15" s="1"/>
  <c r="N19" s="1"/>
  <c r="M12"/>
  <c r="M13" s="1"/>
  <c r="A5"/>
  <c r="A4"/>
  <c r="N40" i="99"/>
  <c r="M40"/>
  <c r="L40"/>
  <c r="K40"/>
  <c r="J40"/>
  <c r="I40"/>
  <c r="G40"/>
  <c r="F40"/>
  <c r="D40"/>
  <c r="C40"/>
  <c r="P39"/>
  <c r="P40" s="1"/>
  <c r="O39"/>
  <c r="O40" s="1"/>
  <c r="P30"/>
  <c r="O30"/>
  <c r="N30"/>
  <c r="M30"/>
  <c r="L30"/>
  <c r="K30"/>
  <c r="J30"/>
  <c r="I30"/>
  <c r="G30"/>
  <c r="F30"/>
  <c r="D30"/>
  <c r="C30"/>
  <c r="P19"/>
  <c r="P42" s="1"/>
  <c r="O19"/>
  <c r="O42" s="1"/>
  <c r="N19"/>
  <c r="N42" s="1"/>
  <c r="M19"/>
  <c r="M42" s="1"/>
  <c r="L19"/>
  <c r="L42" s="1"/>
  <c r="K19"/>
  <c r="K42" s="1"/>
  <c r="J19"/>
  <c r="J42" s="1"/>
  <c r="I19"/>
  <c r="I42" s="1"/>
  <c r="G19"/>
  <c r="G42" s="1"/>
  <c r="F19"/>
  <c r="F42" s="1"/>
  <c r="D19"/>
  <c r="D42" s="1"/>
  <c r="C19"/>
  <c r="C42" s="1"/>
  <c r="A5"/>
  <c r="A4"/>
  <c r="F15" i="98"/>
  <c r="E15"/>
  <c r="D15"/>
  <c r="C15"/>
  <c r="G13"/>
  <c r="G15" s="1"/>
  <c r="W51" i="97"/>
  <c r="W54" s="1"/>
  <c r="W59" s="1"/>
  <c r="V51"/>
  <c r="U51"/>
  <c r="T51"/>
  <c r="T54" s="1"/>
  <c r="T59" s="1"/>
  <c r="S51"/>
  <c r="R51"/>
  <c r="Q51"/>
  <c r="Q54" s="1"/>
  <c r="Q59" s="1"/>
  <c r="P51"/>
  <c r="N51"/>
  <c r="N54" s="1"/>
  <c r="N59" s="1"/>
  <c r="M51"/>
  <c r="L51"/>
  <c r="K51"/>
  <c r="K54" s="1"/>
  <c r="K59" s="1"/>
  <c r="J51"/>
  <c r="I51"/>
  <c r="H51"/>
  <c r="H54" s="1"/>
  <c r="H59" s="1"/>
  <c r="G51"/>
  <c r="F51"/>
  <c r="E51"/>
  <c r="E54" s="1"/>
  <c r="E59" s="1"/>
  <c r="D51"/>
  <c r="O50"/>
  <c r="X50" s="1"/>
  <c r="X51" s="1"/>
  <c r="A40"/>
  <c r="A6" i="98" s="1"/>
  <c r="A39" i="97"/>
  <c r="A5" i="98" s="1"/>
  <c r="X25" i="97"/>
  <c r="X26" s="1"/>
  <c r="W25"/>
  <c r="W26" s="1"/>
  <c r="V25"/>
  <c r="V26" s="1"/>
  <c r="V21"/>
  <c r="X19"/>
  <c r="X21" s="1"/>
  <c r="X27" s="1"/>
  <c r="W19"/>
  <c r="W21" s="1"/>
  <c r="W27" s="1"/>
  <c r="V19"/>
  <c r="X16"/>
  <c r="W16"/>
  <c r="V16"/>
  <c r="E165" i="104" l="1"/>
  <c r="F165" s="1"/>
  <c r="W28" i="97"/>
  <c r="X28"/>
  <c r="V27"/>
  <c r="V28" s="1"/>
  <c r="G26" i="103"/>
  <c r="I26" s="1"/>
  <c r="C39"/>
  <c r="G33"/>
  <c r="G25"/>
  <c r="I25" s="1"/>
  <c r="E39"/>
  <c r="O51" i="97"/>
  <c r="L16" i="103"/>
  <c r="G34" l="1"/>
  <c r="G39" s="1"/>
  <c r="L25"/>
  <c r="L34"/>
  <c r="I33"/>
  <c r="L33"/>
  <c r="L26"/>
  <c r="I34" l="1"/>
  <c r="I44" i="96" l="1"/>
  <c r="I43"/>
  <c r="I42"/>
  <c r="H42"/>
  <c r="L32"/>
  <c r="L31"/>
  <c r="L30"/>
  <c r="L29"/>
  <c r="L28"/>
  <c r="L27"/>
  <c r="L25"/>
  <c r="L24"/>
  <c r="L23"/>
  <c r="L22"/>
  <c r="L21"/>
  <c r="J21"/>
  <c r="L20"/>
  <c r="L19"/>
  <c r="L18"/>
  <c r="K18"/>
  <c r="K16"/>
  <c r="K35" s="1"/>
  <c r="J16"/>
  <c r="J35" s="1"/>
  <c r="I16"/>
  <c r="H16"/>
  <c r="G16"/>
  <c r="F16"/>
  <c r="E16"/>
  <c r="L16" s="1"/>
  <c r="D16"/>
  <c r="C16"/>
  <c r="C35" s="1"/>
  <c r="B16"/>
  <c r="A5"/>
  <c r="A4"/>
  <c r="E13" i="95"/>
  <c r="D13"/>
  <c r="C13"/>
  <c r="B13"/>
  <c r="G12"/>
  <c r="G13" s="1"/>
  <c r="F12"/>
  <c r="F13" s="1"/>
  <c r="A5"/>
  <c r="A4"/>
  <c r="L14" i="94"/>
  <c r="K14"/>
  <c r="J14"/>
  <c r="I14"/>
  <c r="I16" s="1"/>
  <c r="I20" s="1"/>
  <c r="H14"/>
  <c r="G14"/>
  <c r="F14"/>
  <c r="F16" s="1"/>
  <c r="F20" s="1"/>
  <c r="E14"/>
  <c r="C14"/>
  <c r="C16" s="1"/>
  <c r="C20" s="1"/>
  <c r="B14"/>
  <c r="D13"/>
  <c r="D14" s="1"/>
  <c r="N14"/>
  <c r="N16" s="1"/>
  <c r="N20" s="1"/>
  <c r="M14"/>
  <c r="A5"/>
  <c r="A4"/>
  <c r="Q14" i="93"/>
  <c r="Q16" s="1"/>
  <c r="Q20" s="1"/>
  <c r="P14"/>
  <c r="O14"/>
  <c r="N14"/>
  <c r="M14"/>
  <c r="L14"/>
  <c r="L16" s="1"/>
  <c r="L20" s="1"/>
  <c r="K14"/>
  <c r="J14"/>
  <c r="I14"/>
  <c r="I16" s="1"/>
  <c r="I20" s="1"/>
  <c r="H14"/>
  <c r="G14"/>
  <c r="F14"/>
  <c r="F16" s="1"/>
  <c r="F20" s="1"/>
  <c r="E14"/>
  <c r="C14"/>
  <c r="C16" s="1"/>
  <c r="C20" s="1"/>
  <c r="B14"/>
  <c r="D13"/>
  <c r="D14" s="1"/>
  <c r="R12"/>
  <c r="A5"/>
  <c r="A4"/>
  <c r="P39" i="92"/>
  <c r="O39"/>
  <c r="N39"/>
  <c r="M39"/>
  <c r="L39"/>
  <c r="K39"/>
  <c r="J39"/>
  <c r="I39"/>
  <c r="G39"/>
  <c r="F39"/>
  <c r="D39"/>
  <c r="C39"/>
  <c r="N29"/>
  <c r="M29"/>
  <c r="K29"/>
  <c r="J29"/>
  <c r="I29"/>
  <c r="G29"/>
  <c r="F29"/>
  <c r="D29"/>
  <c r="C29"/>
  <c r="O21"/>
  <c r="O29" s="1"/>
  <c r="L21"/>
  <c r="L29" s="1"/>
  <c r="P18"/>
  <c r="O18"/>
  <c r="O41" s="1"/>
  <c r="N18"/>
  <c r="N41" s="1"/>
  <c r="M18"/>
  <c r="M41" s="1"/>
  <c r="L18"/>
  <c r="L41" s="1"/>
  <c r="K18"/>
  <c r="K41" s="1"/>
  <c r="J18"/>
  <c r="J41" s="1"/>
  <c r="I18"/>
  <c r="I41" s="1"/>
  <c r="G18"/>
  <c r="G41" s="1"/>
  <c r="F18"/>
  <c r="F41" s="1"/>
  <c r="D18"/>
  <c r="D41" s="1"/>
  <c r="C18"/>
  <c r="C41" s="1"/>
  <c r="A5"/>
  <c r="A4"/>
  <c r="F16" i="91"/>
  <c r="E16"/>
  <c r="D16"/>
  <c r="C16"/>
  <c r="G14"/>
  <c r="G13"/>
  <c r="G16" s="1"/>
  <c r="W54" i="90"/>
  <c r="W57" s="1"/>
  <c r="W62" s="1"/>
  <c r="V54"/>
  <c r="U54"/>
  <c r="T54"/>
  <c r="T57" s="1"/>
  <c r="T62" s="1"/>
  <c r="S54"/>
  <c r="R54"/>
  <c r="Q54"/>
  <c r="Q57" s="1"/>
  <c r="Q62" s="1"/>
  <c r="P54"/>
  <c r="N54"/>
  <c r="N57" s="1"/>
  <c r="N62" s="1"/>
  <c r="M54"/>
  <c r="L54"/>
  <c r="K54"/>
  <c r="K57" s="1"/>
  <c r="K62" s="1"/>
  <c r="J54"/>
  <c r="H54"/>
  <c r="H57" s="1"/>
  <c r="H62" s="1"/>
  <c r="G54"/>
  <c r="E54"/>
  <c r="E57" s="1"/>
  <c r="E62" s="1"/>
  <c r="D54"/>
  <c r="I53"/>
  <c r="O53" s="1"/>
  <c r="F53"/>
  <c r="F54" s="1"/>
  <c r="X52"/>
  <c r="O52"/>
  <c r="A42"/>
  <c r="A6" i="91" s="1"/>
  <c r="A41" i="90"/>
  <c r="A5" i="91" s="1"/>
  <c r="X28" i="90"/>
  <c r="V28"/>
  <c r="X26"/>
  <c r="W26"/>
  <c r="W28" s="1"/>
  <c r="V26"/>
  <c r="X21"/>
  <c r="X29" s="1"/>
  <c r="W19"/>
  <c r="W21" s="1"/>
  <c r="W29" s="1"/>
  <c r="W30" s="1"/>
  <c r="V19"/>
  <c r="V21" s="1"/>
  <c r="V29" s="1"/>
  <c r="V30" s="1"/>
  <c r="X16"/>
  <c r="W16"/>
  <c r="V16"/>
  <c r="X30" l="1"/>
  <c r="O54"/>
  <c r="X53"/>
  <c r="G33" i="96"/>
  <c r="I33" s="1"/>
  <c r="C39"/>
  <c r="G34"/>
  <c r="I34" s="1"/>
  <c r="G26"/>
  <c r="I26" s="1"/>
  <c r="X54" i="90"/>
  <c r="I54"/>
  <c r="P21" i="92"/>
  <c r="P29" s="1"/>
  <c r="P41" s="1"/>
  <c r="O14" i="94"/>
  <c r="E35" i="96"/>
  <c r="R14" i="93"/>
  <c r="L34" i="96" l="1"/>
  <c r="L33"/>
  <c r="E39"/>
  <c r="I35"/>
  <c r="L26"/>
  <c r="G35"/>
  <c r="G39" s="1"/>
  <c r="L35" l="1"/>
  <c r="I46" i="89" l="1"/>
  <c r="I45"/>
  <c r="I44"/>
  <c r="E41"/>
  <c r="C35"/>
  <c r="C41" s="1"/>
  <c r="L33"/>
  <c r="L32"/>
  <c r="L31"/>
  <c r="L30"/>
  <c r="L29"/>
  <c r="G27"/>
  <c r="L25"/>
  <c r="L24"/>
  <c r="L23"/>
  <c r="L22"/>
  <c r="J22"/>
  <c r="L21"/>
  <c r="L20"/>
  <c r="L19"/>
  <c r="K19"/>
  <c r="K17"/>
  <c r="K35" s="1"/>
  <c r="J17"/>
  <c r="J35" s="1"/>
  <c r="I17"/>
  <c r="H17"/>
  <c r="G17"/>
  <c r="F17"/>
  <c r="E17"/>
  <c r="L17" s="1"/>
  <c r="D17"/>
  <c r="C17"/>
  <c r="B17"/>
  <c r="A5"/>
  <c r="A4"/>
  <c r="I21" i="88"/>
  <c r="G21"/>
  <c r="E21"/>
  <c r="C21"/>
  <c r="K20"/>
  <c r="K21" s="1"/>
  <c r="O14"/>
  <c r="M14"/>
  <c r="K14"/>
  <c r="I14"/>
  <c r="G14"/>
  <c r="E14"/>
  <c r="C14"/>
  <c r="A5"/>
  <c r="A4"/>
  <c r="M13" i="87"/>
  <c r="L13"/>
  <c r="K13"/>
  <c r="J13"/>
  <c r="I13"/>
  <c r="H13"/>
  <c r="G13"/>
  <c r="F13"/>
  <c r="E13"/>
  <c r="D13"/>
  <c r="C13"/>
  <c r="N11"/>
  <c r="N10"/>
  <c r="N13" s="1"/>
  <c r="A5"/>
  <c r="A4"/>
  <c r="N30" i="86"/>
  <c r="N32" s="1"/>
  <c r="N36" s="1"/>
  <c r="M30"/>
  <c r="L30"/>
  <c r="K30"/>
  <c r="J30"/>
  <c r="I30"/>
  <c r="I32" s="1"/>
  <c r="I36" s="1"/>
  <c r="H30"/>
  <c r="G30"/>
  <c r="F30"/>
  <c r="F32" s="1"/>
  <c r="F36" s="1"/>
  <c r="E30"/>
  <c r="D30"/>
  <c r="C30"/>
  <c r="C32" s="1"/>
  <c r="C36" s="1"/>
  <c r="B30"/>
  <c r="O29"/>
  <c r="O19"/>
  <c r="O18"/>
  <c r="O17"/>
  <c r="O16"/>
  <c r="O15"/>
  <c r="O14"/>
  <c r="O13"/>
  <c r="O30" s="1"/>
  <c r="O12"/>
  <c r="A5"/>
  <c r="A4"/>
  <c r="N34" i="85"/>
  <c r="N36" s="1"/>
  <c r="N40" s="1"/>
  <c r="M34"/>
  <c r="L34"/>
  <c r="K34"/>
  <c r="J34"/>
  <c r="I34"/>
  <c r="I36" s="1"/>
  <c r="I40" s="1"/>
  <c r="H34"/>
  <c r="G34"/>
  <c r="F34"/>
  <c r="F36" s="1"/>
  <c r="F40" s="1"/>
  <c r="E34"/>
  <c r="C34"/>
  <c r="C36" s="1"/>
  <c r="C40" s="1"/>
  <c r="B34"/>
  <c r="A5"/>
  <c r="A4"/>
  <c r="P39" i="84"/>
  <c r="O39"/>
  <c r="N39"/>
  <c r="M39"/>
  <c r="L39"/>
  <c r="K39"/>
  <c r="J39"/>
  <c r="I39"/>
  <c r="G39"/>
  <c r="F39"/>
  <c r="D39"/>
  <c r="C39"/>
  <c r="O29"/>
  <c r="N29"/>
  <c r="M29"/>
  <c r="L29"/>
  <c r="K29"/>
  <c r="I29"/>
  <c r="G29"/>
  <c r="F29"/>
  <c r="D29"/>
  <c r="C29"/>
  <c r="J21"/>
  <c r="J29" s="1"/>
  <c r="P18"/>
  <c r="O18"/>
  <c r="O43" s="1"/>
  <c r="N18"/>
  <c r="N40" s="1"/>
  <c r="M18"/>
  <c r="M43" s="1"/>
  <c r="L18"/>
  <c r="L43" s="1"/>
  <c r="K18"/>
  <c r="K43" s="1"/>
  <c r="J18"/>
  <c r="I18"/>
  <c r="I43" s="1"/>
  <c r="G18"/>
  <c r="G43" s="1"/>
  <c r="F18"/>
  <c r="F43" s="1"/>
  <c r="D18"/>
  <c r="D40" s="1"/>
  <c r="C18"/>
  <c r="C43" s="1"/>
  <c r="A5"/>
  <c r="A4"/>
  <c r="G27" i="83"/>
  <c r="F27"/>
  <c r="E27"/>
  <c r="D27"/>
  <c r="H26"/>
  <c r="H25"/>
  <c r="H24"/>
  <c r="H23"/>
  <c r="H22"/>
  <c r="H21"/>
  <c r="H20"/>
  <c r="H27" s="1"/>
  <c r="G16"/>
  <c r="F16"/>
  <c r="E16"/>
  <c r="D16"/>
  <c r="H15"/>
  <c r="H14"/>
  <c r="H13"/>
  <c r="H12"/>
  <c r="H16" s="1"/>
  <c r="Y85" i="82"/>
  <c r="Y87" s="1"/>
  <c r="Y92" s="1"/>
  <c r="X85"/>
  <c r="T85"/>
  <c r="T87" s="1"/>
  <c r="T92" s="1"/>
  <c r="S85"/>
  <c r="Q85"/>
  <c r="Q87" s="1"/>
  <c r="Q92" s="1"/>
  <c r="P85"/>
  <c r="N85"/>
  <c r="N87" s="1"/>
  <c r="N92" s="1"/>
  <c r="M85"/>
  <c r="L85"/>
  <c r="K85"/>
  <c r="K87" s="1"/>
  <c r="K92" s="1"/>
  <c r="J85"/>
  <c r="H85"/>
  <c r="H87" s="1"/>
  <c r="H92" s="1"/>
  <c r="G85"/>
  <c r="E85"/>
  <c r="E87" s="1"/>
  <c r="E92" s="1"/>
  <c r="D85"/>
  <c r="W82"/>
  <c r="W85" s="1"/>
  <c r="R82"/>
  <c r="R85" s="1"/>
  <c r="I82"/>
  <c r="I85" s="1"/>
  <c r="F82"/>
  <c r="F85" s="1"/>
  <c r="O81"/>
  <c r="O80"/>
  <c r="Z80" s="1"/>
  <c r="O78"/>
  <c r="Z78" s="1"/>
  <c r="O73"/>
  <c r="Z73" s="1"/>
  <c r="O72"/>
  <c r="Z72" s="1"/>
  <c r="O71"/>
  <c r="Z71" s="1"/>
  <c r="O70"/>
  <c r="Z70" s="1"/>
  <c r="O69"/>
  <c r="Z69" s="1"/>
  <c r="O68"/>
  <c r="Z68" s="1"/>
  <c r="O67"/>
  <c r="Z67" s="1"/>
  <c r="O66"/>
  <c r="Z66" s="1"/>
  <c r="O65"/>
  <c r="O82" s="1"/>
  <c r="O85" s="1"/>
  <c r="A55"/>
  <c r="B6" i="83" s="1"/>
  <c r="A54" i="82"/>
  <c r="B5" i="83" s="1"/>
  <c r="Z41" i="82"/>
  <c r="Z32"/>
  <c r="Y32"/>
  <c r="Y41" s="1"/>
  <c r="X32"/>
  <c r="X41" s="1"/>
  <c r="Z21"/>
  <c r="Z25" s="1"/>
  <c r="Y21"/>
  <c r="Y42" s="1"/>
  <c r="X21"/>
  <c r="X42" s="1"/>
  <c r="Z18"/>
  <c r="Y18"/>
  <c r="X18"/>
  <c r="L27" i="89" l="1"/>
  <c r="I27"/>
  <c r="G28"/>
  <c r="G34"/>
  <c r="I34" s="1"/>
  <c r="G35"/>
  <c r="G41" s="1"/>
  <c r="Z42" i="82"/>
  <c r="Z44" s="1"/>
  <c r="Z45" s="1"/>
  <c r="Y44"/>
  <c r="Y45" s="1"/>
  <c r="Y43"/>
  <c r="J40" i="84"/>
  <c r="X44" i="82"/>
  <c r="X45" s="1"/>
  <c r="X43"/>
  <c r="P21" i="84"/>
  <c r="P29" s="1"/>
  <c r="G40"/>
  <c r="L40"/>
  <c r="D43"/>
  <c r="J43"/>
  <c r="N43"/>
  <c r="Z65" i="82"/>
  <c r="Z82" s="1"/>
  <c r="Z85" s="1"/>
  <c r="L26" i="89"/>
  <c r="L35"/>
  <c r="L28" l="1"/>
  <c r="I28"/>
  <c r="I35" s="1"/>
  <c r="P40" i="84"/>
  <c r="E34" i="81" l="1"/>
  <c r="E40" s="1"/>
  <c r="C34"/>
  <c r="C40" s="1"/>
  <c r="L32"/>
  <c r="L31"/>
  <c r="L30"/>
  <c r="L29"/>
  <c r="L28"/>
  <c r="L27"/>
  <c r="L25"/>
  <c r="L24"/>
  <c r="L23"/>
  <c r="L22"/>
  <c r="L21"/>
  <c r="J21"/>
  <c r="L20"/>
  <c r="L19"/>
  <c r="L18"/>
  <c r="K18"/>
  <c r="L16"/>
  <c r="K16"/>
  <c r="K34" s="1"/>
  <c r="J16"/>
  <c r="J34" s="1"/>
  <c r="I10"/>
  <c r="H10"/>
  <c r="A5"/>
  <c r="A4"/>
  <c r="C12" i="80"/>
  <c r="B12"/>
  <c r="E12"/>
  <c r="D12"/>
  <c r="A5"/>
  <c r="A4"/>
  <c r="I13" i="79"/>
  <c r="H13"/>
  <c r="G13"/>
  <c r="F13"/>
  <c r="F15" s="1"/>
  <c r="F19" s="1"/>
  <c r="E13"/>
  <c r="D13"/>
  <c r="C13"/>
  <c r="C15" s="1"/>
  <c r="C19" s="1"/>
  <c r="B13"/>
  <c r="L12"/>
  <c r="L13" s="1"/>
  <c r="K12"/>
  <c r="K13" s="1"/>
  <c r="J12"/>
  <c r="J13" s="1"/>
  <c r="A5"/>
  <c r="A4"/>
  <c r="L13" i="78"/>
  <c r="K13"/>
  <c r="J13"/>
  <c r="I13"/>
  <c r="I15" s="1"/>
  <c r="I19" s="1"/>
  <c r="H13"/>
  <c r="G13"/>
  <c r="F13"/>
  <c r="F15" s="1"/>
  <c r="F19" s="1"/>
  <c r="E13"/>
  <c r="D13"/>
  <c r="C13"/>
  <c r="C15" s="1"/>
  <c r="C19" s="1"/>
  <c r="B13"/>
  <c r="O12"/>
  <c r="O13" s="1"/>
  <c r="N13"/>
  <c r="N15" s="1"/>
  <c r="N19" s="1"/>
  <c r="M13"/>
  <c r="A5"/>
  <c r="A4"/>
  <c r="P41" i="77"/>
  <c r="O41"/>
  <c r="N41"/>
  <c r="M41"/>
  <c r="L41"/>
  <c r="K41"/>
  <c r="J41"/>
  <c r="I41"/>
  <c r="G41"/>
  <c r="F41"/>
  <c r="C41"/>
  <c r="P39"/>
  <c r="P42" s="1"/>
  <c r="O39"/>
  <c r="O42" s="1"/>
  <c r="N39"/>
  <c r="N42" s="1"/>
  <c r="M39"/>
  <c r="M42" s="1"/>
  <c r="L39"/>
  <c r="L42" s="1"/>
  <c r="K39"/>
  <c r="K42" s="1"/>
  <c r="J39"/>
  <c r="J42" s="1"/>
  <c r="I39"/>
  <c r="I42" s="1"/>
  <c r="G39"/>
  <c r="G42" s="1"/>
  <c r="F39"/>
  <c r="F42" s="1"/>
  <c r="D39"/>
  <c r="C39"/>
  <c r="C42" s="1"/>
  <c r="O29"/>
  <c r="N29"/>
  <c r="M29"/>
  <c r="L29"/>
  <c r="K29"/>
  <c r="J29"/>
  <c r="I29"/>
  <c r="G29"/>
  <c r="F29"/>
  <c r="D29"/>
  <c r="C29"/>
  <c r="P21"/>
  <c r="P29" s="1"/>
  <c r="P18"/>
  <c r="O18"/>
  <c r="O40" s="1"/>
  <c r="O44" s="1"/>
  <c r="N18"/>
  <c r="N40" s="1"/>
  <c r="N44" s="1"/>
  <c r="M18"/>
  <c r="M40" s="1"/>
  <c r="M44" s="1"/>
  <c r="L18"/>
  <c r="L40" s="1"/>
  <c r="L44" s="1"/>
  <c r="K18"/>
  <c r="K40" s="1"/>
  <c r="K44" s="1"/>
  <c r="J18"/>
  <c r="J40" s="1"/>
  <c r="J44" s="1"/>
  <c r="I18"/>
  <c r="I40" s="1"/>
  <c r="I44" s="1"/>
  <c r="G18"/>
  <c r="G40" s="1"/>
  <c r="G44" s="1"/>
  <c r="F18"/>
  <c r="F40" s="1"/>
  <c r="F44" s="1"/>
  <c r="D18"/>
  <c r="D40" s="1"/>
  <c r="D44" s="1"/>
  <c r="C18"/>
  <c r="C40" s="1"/>
  <c r="C44" s="1"/>
  <c r="A5"/>
  <c r="A4"/>
  <c r="F16" i="76"/>
  <c r="E16"/>
  <c r="D16"/>
  <c r="C16"/>
  <c r="G14"/>
  <c r="G16"/>
  <c r="T53" i="75"/>
  <c r="T56" s="1"/>
  <c r="T61" s="1"/>
  <c r="S53"/>
  <c r="Q53"/>
  <c r="Q56" s="1"/>
  <c r="Q61" s="1"/>
  <c r="P53"/>
  <c r="N53"/>
  <c r="N56" s="1"/>
  <c r="N61" s="1"/>
  <c r="M53"/>
  <c r="K53"/>
  <c r="K56" s="1"/>
  <c r="K61" s="1"/>
  <c r="J53"/>
  <c r="H53"/>
  <c r="H56" s="1"/>
  <c r="H61" s="1"/>
  <c r="G53"/>
  <c r="E53"/>
  <c r="E56" s="1"/>
  <c r="E61" s="1"/>
  <c r="D53"/>
  <c r="O52"/>
  <c r="X52" s="1"/>
  <c r="U51"/>
  <c r="U53" s="1"/>
  <c r="R51"/>
  <c r="R53" s="1"/>
  <c r="L51"/>
  <c r="L53" s="1"/>
  <c r="I51"/>
  <c r="I53" s="1"/>
  <c r="F51"/>
  <c r="F53" s="1"/>
  <c r="W53"/>
  <c r="W56" s="1"/>
  <c r="W61" s="1"/>
  <c r="V53"/>
  <c r="O50"/>
  <c r="O51" s="1"/>
  <c r="O53" s="1"/>
  <c r="A40"/>
  <c r="A6" i="76" s="1"/>
  <c r="A39" i="75"/>
  <c r="A5" i="76" s="1"/>
  <c r="X25" i="75"/>
  <c r="X26" s="1"/>
  <c r="W25"/>
  <c r="W26" s="1"/>
  <c r="V25"/>
  <c r="V26" s="1"/>
  <c r="X20"/>
  <c r="X21" s="1"/>
  <c r="X27" s="1"/>
  <c r="X28" s="1"/>
  <c r="W20"/>
  <c r="W21" s="1"/>
  <c r="V20"/>
  <c r="V21" s="1"/>
  <c r="V27" s="1"/>
  <c r="V28" s="1"/>
  <c r="X17"/>
  <c r="W17"/>
  <c r="V17"/>
  <c r="I33" i="81" l="1"/>
  <c r="G34"/>
  <c r="G40" s="1"/>
  <c r="P40" i="77"/>
  <c r="P44" s="1"/>
  <c r="W27" i="75"/>
  <c r="W28" s="1"/>
  <c r="I34" i="81"/>
  <c r="L33"/>
  <c r="X50" i="75"/>
  <c r="X51" s="1"/>
  <c r="X53" s="1"/>
  <c r="L26" i="81"/>
  <c r="L34"/>
  <c r="I46" i="74" l="1"/>
  <c r="I45"/>
  <c r="I44"/>
  <c r="H44"/>
  <c r="I40"/>
  <c r="I39"/>
  <c r="I38"/>
  <c r="I37"/>
  <c r="I36"/>
  <c r="I35"/>
  <c r="E33"/>
  <c r="L32"/>
  <c r="L31"/>
  <c r="L30"/>
  <c r="L29"/>
  <c r="L28"/>
  <c r="L25"/>
  <c r="L24"/>
  <c r="L23"/>
  <c r="L22"/>
  <c r="L21"/>
  <c r="J21"/>
  <c r="L20"/>
  <c r="L19"/>
  <c r="L18"/>
  <c r="K18"/>
  <c r="K16"/>
  <c r="K34" s="1"/>
  <c r="J16"/>
  <c r="J34" s="1"/>
  <c r="I16"/>
  <c r="H16"/>
  <c r="H34" s="1"/>
  <c r="H41" s="1"/>
  <c r="G16"/>
  <c r="F16"/>
  <c r="F34" s="1"/>
  <c r="F41" s="1"/>
  <c r="E16"/>
  <c r="E34" s="1"/>
  <c r="D16"/>
  <c r="D34" s="1"/>
  <c r="D41" s="1"/>
  <c r="C16"/>
  <c r="C34" s="1"/>
  <c r="B16"/>
  <c r="B34" s="1"/>
  <c r="B41" s="1"/>
  <c r="A4"/>
  <c r="C13" i="73"/>
  <c r="B13"/>
  <c r="A4"/>
  <c r="M17" i="72"/>
  <c r="L17"/>
  <c r="K17"/>
  <c r="J17"/>
  <c r="I17"/>
  <c r="H17"/>
  <c r="G17"/>
  <c r="F17"/>
  <c r="E17"/>
  <c r="D17"/>
  <c r="C17"/>
  <c r="N15"/>
  <c r="N14"/>
  <c r="N13"/>
  <c r="N12"/>
  <c r="N11"/>
  <c r="N17"/>
  <c r="A4"/>
  <c r="L72" i="71"/>
  <c r="J72"/>
  <c r="I72"/>
  <c r="I74" s="1"/>
  <c r="I78" s="1"/>
  <c r="H72"/>
  <c r="G72"/>
  <c r="F72"/>
  <c r="F74" s="1"/>
  <c r="F78" s="1"/>
  <c r="E72"/>
  <c r="C72"/>
  <c r="C74" s="1"/>
  <c r="C78" s="1"/>
  <c r="B72"/>
  <c r="O70"/>
  <c r="O69"/>
  <c r="O68"/>
  <c r="O67"/>
  <c r="O66"/>
  <c r="O65"/>
  <c r="O64"/>
  <c r="O63"/>
  <c r="O62"/>
  <c r="O61"/>
  <c r="O52"/>
  <c r="O51"/>
  <c r="O50"/>
  <c r="O49"/>
  <c r="O48"/>
  <c r="O47"/>
  <c r="O46"/>
  <c r="O45"/>
  <c r="O44"/>
  <c r="O43"/>
  <c r="O42"/>
  <c r="O41"/>
  <c r="O38"/>
  <c r="O37"/>
  <c r="O36"/>
  <c r="O31"/>
  <c r="O30"/>
  <c r="O29"/>
  <c r="O28"/>
  <c r="O27"/>
  <c r="O26"/>
  <c r="O25"/>
  <c r="O23"/>
  <c r="O22"/>
  <c r="O21"/>
  <c r="O20"/>
  <c r="O18"/>
  <c r="O17"/>
  <c r="O16"/>
  <c r="O15"/>
  <c r="O14"/>
  <c r="O13"/>
  <c r="N12"/>
  <c r="N72" s="1"/>
  <c r="N74" s="1"/>
  <c r="N78" s="1"/>
  <c r="M12"/>
  <c r="M72" s="1"/>
  <c r="A4"/>
  <c r="J79" i="70"/>
  <c r="I79"/>
  <c r="I81" s="1"/>
  <c r="I85" s="1"/>
  <c r="H79"/>
  <c r="G79"/>
  <c r="F79"/>
  <c r="F81" s="1"/>
  <c r="F85" s="1"/>
  <c r="E79"/>
  <c r="D79"/>
  <c r="C79"/>
  <c r="C81" s="1"/>
  <c r="C85" s="1"/>
  <c r="B79"/>
  <c r="N79"/>
  <c r="N81" s="1"/>
  <c r="N85" s="1"/>
  <c r="M79"/>
  <c r="A4"/>
  <c r="P44" i="69"/>
  <c r="P43"/>
  <c r="D43"/>
  <c r="P42"/>
  <c r="M40"/>
  <c r="K40"/>
  <c r="I40"/>
  <c r="G40"/>
  <c r="F40"/>
  <c r="D40"/>
  <c r="C40"/>
  <c r="O39"/>
  <c r="P39"/>
  <c r="O38"/>
  <c r="L38"/>
  <c r="L40" s="1"/>
  <c r="O33"/>
  <c r="O40" s="1"/>
  <c r="N40"/>
  <c r="M30"/>
  <c r="K30"/>
  <c r="J30"/>
  <c r="I30"/>
  <c r="G30"/>
  <c r="F30"/>
  <c r="D30"/>
  <c r="C30"/>
  <c r="L24"/>
  <c r="P24" s="1"/>
  <c r="P23"/>
  <c r="O30"/>
  <c r="N30"/>
  <c r="L30"/>
  <c r="P19"/>
  <c r="O19"/>
  <c r="O41" s="1"/>
  <c r="O46" s="1"/>
  <c r="N19"/>
  <c r="N41" s="1"/>
  <c r="N46" s="1"/>
  <c r="M19"/>
  <c r="M41" s="1"/>
  <c r="M46" s="1"/>
  <c r="L19"/>
  <c r="K19"/>
  <c r="K41" s="1"/>
  <c r="K46" s="1"/>
  <c r="J19"/>
  <c r="I19"/>
  <c r="I41" s="1"/>
  <c r="I46" s="1"/>
  <c r="G19"/>
  <c r="G41" s="1"/>
  <c r="G46" s="1"/>
  <c r="F19"/>
  <c r="F41" s="1"/>
  <c r="F46" s="1"/>
  <c r="D19"/>
  <c r="D41" s="1"/>
  <c r="D46" s="1"/>
  <c r="C19"/>
  <c r="C46" s="1"/>
  <c r="F52" i="68"/>
  <c r="E52"/>
  <c r="D52"/>
  <c r="C52"/>
  <c r="G51"/>
  <c r="G50"/>
  <c r="G49"/>
  <c r="G48"/>
  <c r="G47"/>
  <c r="G46"/>
  <c r="G45"/>
  <c r="G44"/>
  <c r="G42"/>
  <c r="G41"/>
  <c r="G40"/>
  <c r="G39"/>
  <c r="G38"/>
  <c r="G37"/>
  <c r="G36"/>
  <c r="G35"/>
  <c r="G34"/>
  <c r="G33"/>
  <c r="G32"/>
  <c r="G31"/>
  <c r="G29"/>
  <c r="G28"/>
  <c r="G27"/>
  <c r="G26"/>
  <c r="F21"/>
  <c r="E21"/>
  <c r="D21"/>
  <c r="C21"/>
  <c r="G20"/>
  <c r="G43"/>
  <c r="G19"/>
  <c r="G18"/>
  <c r="G17"/>
  <c r="G16"/>
  <c r="G15"/>
  <c r="G14"/>
  <c r="G30"/>
  <c r="G13"/>
  <c r="G12"/>
  <c r="G11"/>
  <c r="G10"/>
  <c r="X189" i="67"/>
  <c r="X188"/>
  <c r="X187"/>
  <c r="X186"/>
  <c r="X185"/>
  <c r="U184"/>
  <c r="U190" s="1"/>
  <c r="T184"/>
  <c r="T192" s="1"/>
  <c r="T197" s="1"/>
  <c r="S184"/>
  <c r="S190" s="1"/>
  <c r="R184"/>
  <c r="R190" s="1"/>
  <c r="Q184"/>
  <c r="Q190" s="1"/>
  <c r="P184"/>
  <c r="P190" s="1"/>
  <c r="N184"/>
  <c r="N192" s="1"/>
  <c r="N197" s="1"/>
  <c r="M184"/>
  <c r="M190" s="1"/>
  <c r="L184"/>
  <c r="L190" s="1"/>
  <c r="K184"/>
  <c r="K190" s="1"/>
  <c r="J184"/>
  <c r="J190" s="1"/>
  <c r="I184"/>
  <c r="I190" s="1"/>
  <c r="H184"/>
  <c r="H192" s="1"/>
  <c r="H197" s="1"/>
  <c r="G184"/>
  <c r="G190" s="1"/>
  <c r="F184"/>
  <c r="F190" s="1"/>
  <c r="E184"/>
  <c r="E190" s="1"/>
  <c r="D184"/>
  <c r="D190" s="1"/>
  <c r="O183"/>
  <c r="O182"/>
  <c r="O181"/>
  <c r="X181" s="1"/>
  <c r="O180"/>
  <c r="X180" s="1"/>
  <c r="O179"/>
  <c r="X179" s="1"/>
  <c r="O178"/>
  <c r="O177"/>
  <c r="O176"/>
  <c r="O175"/>
  <c r="O174"/>
  <c r="O172"/>
  <c r="O170"/>
  <c r="O169"/>
  <c r="O168"/>
  <c r="O161"/>
  <c r="X161" s="1"/>
  <c r="O160"/>
  <c r="X160" s="1"/>
  <c r="O159"/>
  <c r="X159" s="1"/>
  <c r="O158"/>
  <c r="X158" s="1"/>
  <c r="A151"/>
  <c r="O145"/>
  <c r="O144"/>
  <c r="X144" s="1"/>
  <c r="O143"/>
  <c r="O142"/>
  <c r="X142" s="1"/>
  <c r="O141"/>
  <c r="X141" s="1"/>
  <c r="O140"/>
  <c r="X140" s="1"/>
  <c r="O139"/>
  <c r="X139" s="1"/>
  <c r="O138"/>
  <c r="X138" s="1"/>
  <c r="O137"/>
  <c r="X137" s="1"/>
  <c r="O136"/>
  <c r="O135"/>
  <c r="X135" s="1"/>
  <c r="O133"/>
  <c r="O131"/>
  <c r="O130"/>
  <c r="X130" s="1"/>
  <c r="O129"/>
  <c r="X129" s="1"/>
  <c r="O124"/>
  <c r="O123"/>
  <c r="O122"/>
  <c r="O121"/>
  <c r="O120"/>
  <c r="O119"/>
  <c r="X119" s="1"/>
  <c r="X117"/>
  <c r="O113"/>
  <c r="O112"/>
  <c r="O111"/>
  <c r="O107"/>
  <c r="X184"/>
  <c r="O105"/>
  <c r="O104"/>
  <c r="O103"/>
  <c r="O102"/>
  <c r="W184"/>
  <c r="V184"/>
  <c r="V190" s="1"/>
  <c r="A92"/>
  <c r="W42"/>
  <c r="W83" s="1"/>
  <c r="V42"/>
  <c r="V83" s="1"/>
  <c r="X22"/>
  <c r="X29" s="1"/>
  <c r="W22"/>
  <c r="W29" s="1"/>
  <c r="W84" s="1"/>
  <c r="V22"/>
  <c r="V29" s="1"/>
  <c r="V84" s="1"/>
  <c r="X19"/>
  <c r="W19"/>
  <c r="V19"/>
  <c r="D49" i="73" l="1"/>
  <c r="L41" i="69"/>
  <c r="L46" s="1"/>
  <c r="J41"/>
  <c r="J46" s="1"/>
  <c r="G21" i="68"/>
  <c r="G52"/>
  <c r="O184" i="67"/>
  <c r="O190" s="1"/>
  <c r="X102"/>
  <c r="O80" i="70"/>
  <c r="X190" i="67"/>
  <c r="X83"/>
  <c r="W87"/>
  <c r="W86"/>
  <c r="G26" i="74"/>
  <c r="C41"/>
  <c r="G27"/>
  <c r="E41"/>
  <c r="V86" i="67"/>
  <c r="V87"/>
  <c r="W190"/>
  <c r="W192"/>
  <c r="W197" s="1"/>
  <c r="G33" i="74"/>
  <c r="H190" i="67"/>
  <c r="N190"/>
  <c r="T190"/>
  <c r="E192"/>
  <c r="E197" s="1"/>
  <c r="K192"/>
  <c r="K197" s="1"/>
  <c r="Q192"/>
  <c r="Q197" s="1"/>
  <c r="P33" i="69"/>
  <c r="C41"/>
  <c r="P30"/>
  <c r="L16" i="74"/>
  <c r="P41" i="69" l="1"/>
  <c r="P46" s="1"/>
  <c r="P40"/>
  <c r="X84" i="67"/>
  <c r="X86" s="1"/>
  <c r="X87" s="1"/>
  <c r="I27" i="74"/>
  <c r="L27"/>
  <c r="L26"/>
  <c r="I26"/>
  <c r="I34" s="1"/>
  <c r="G34"/>
  <c r="G41" l="1"/>
  <c r="I41" s="1"/>
  <c r="L34"/>
  <c r="I45" i="66" l="1"/>
  <c r="I44"/>
  <c r="I39"/>
  <c r="I38"/>
  <c r="I37"/>
  <c r="I36"/>
  <c r="L35"/>
  <c r="I35"/>
  <c r="I33"/>
  <c r="G33"/>
  <c r="L32"/>
  <c r="L31"/>
  <c r="L30"/>
  <c r="L29"/>
  <c r="L28"/>
  <c r="L27"/>
  <c r="I27"/>
  <c r="L26"/>
  <c r="I26"/>
  <c r="L25"/>
  <c r="I25"/>
  <c r="L24"/>
  <c r="I24"/>
  <c r="L23"/>
  <c r="L22"/>
  <c r="L21"/>
  <c r="J21"/>
  <c r="L20"/>
  <c r="L19"/>
  <c r="L18"/>
  <c r="K18"/>
  <c r="K16"/>
  <c r="K35" s="1"/>
  <c r="J16"/>
  <c r="J35" s="1"/>
  <c r="I16"/>
  <c r="H16"/>
  <c r="G16"/>
  <c r="G34" s="1"/>
  <c r="G40" s="1"/>
  <c r="F16"/>
  <c r="E16"/>
  <c r="L16" s="1"/>
  <c r="D16"/>
  <c r="C16"/>
  <c r="C34" s="1"/>
  <c r="C40" s="1"/>
  <c r="B16"/>
  <c r="A5"/>
  <c r="A4"/>
  <c r="M16" i="65"/>
  <c r="L16"/>
  <c r="K16"/>
  <c r="J16"/>
  <c r="I16"/>
  <c r="H16"/>
  <c r="G16"/>
  <c r="F16"/>
  <c r="E16"/>
  <c r="D16"/>
  <c r="C16"/>
  <c r="N14"/>
  <c r="N13"/>
  <c r="N12"/>
  <c r="N11"/>
  <c r="A5"/>
  <c r="A4"/>
  <c r="H14" i="64"/>
  <c r="F14"/>
  <c r="E14"/>
  <c r="D14"/>
  <c r="B14"/>
  <c r="A5"/>
  <c r="A4"/>
  <c r="N24" i="63"/>
  <c r="N26" s="1"/>
  <c r="N30" s="1"/>
  <c r="M24"/>
  <c r="L24"/>
  <c r="K24"/>
  <c r="J24"/>
  <c r="I24"/>
  <c r="I26" s="1"/>
  <c r="I30" s="1"/>
  <c r="H24"/>
  <c r="G24"/>
  <c r="F24"/>
  <c r="F26" s="1"/>
  <c r="F30" s="1"/>
  <c r="E24"/>
  <c r="D24"/>
  <c r="C24"/>
  <c r="C26" s="1"/>
  <c r="C30" s="1"/>
  <c r="B24"/>
  <c r="O22"/>
  <c r="O12"/>
  <c r="A5"/>
  <c r="A4"/>
  <c r="N24" i="62"/>
  <c r="N26" s="1"/>
  <c r="N30" s="1"/>
  <c r="M24"/>
  <c r="L24"/>
  <c r="K24"/>
  <c r="J24"/>
  <c r="I24"/>
  <c r="I26" s="1"/>
  <c r="I30" s="1"/>
  <c r="H24"/>
  <c r="G24"/>
  <c r="F24"/>
  <c r="F26" s="1"/>
  <c r="F30" s="1"/>
  <c r="E24"/>
  <c r="D24"/>
  <c r="C24"/>
  <c r="C26" s="1"/>
  <c r="C30" s="1"/>
  <c r="B24"/>
  <c r="O24"/>
  <c r="A5"/>
  <c r="A4"/>
  <c r="P42" i="61"/>
  <c r="M40"/>
  <c r="L40"/>
  <c r="K40"/>
  <c r="I40"/>
  <c r="G40"/>
  <c r="F40"/>
  <c r="D40"/>
  <c r="C40"/>
  <c r="O39"/>
  <c r="N39"/>
  <c r="N40" s="1"/>
  <c r="J39"/>
  <c r="P39" s="1"/>
  <c r="O38"/>
  <c r="O40" s="1"/>
  <c r="J38"/>
  <c r="J40" s="1"/>
  <c r="M30"/>
  <c r="K30"/>
  <c r="I30"/>
  <c r="G30"/>
  <c r="F30"/>
  <c r="D30"/>
  <c r="C30"/>
  <c r="O26"/>
  <c r="J26"/>
  <c r="P26" s="1"/>
  <c r="O24"/>
  <c r="N24"/>
  <c r="J24"/>
  <c r="P24" s="1"/>
  <c r="O22"/>
  <c r="O30" s="1"/>
  <c r="N30"/>
  <c r="L22"/>
  <c r="L30" s="1"/>
  <c r="P22"/>
  <c r="P30" s="1"/>
  <c r="P41" s="1"/>
  <c r="P19"/>
  <c r="O19"/>
  <c r="O45" s="1"/>
  <c r="N19"/>
  <c r="M19"/>
  <c r="M45" s="1"/>
  <c r="L19"/>
  <c r="L41" s="1"/>
  <c r="L45" s="1"/>
  <c r="K19"/>
  <c r="K45" s="1"/>
  <c r="J19"/>
  <c r="I19"/>
  <c r="I45" s="1"/>
  <c r="G19"/>
  <c r="G41" s="1"/>
  <c r="G45" s="1"/>
  <c r="F19"/>
  <c r="F45" s="1"/>
  <c r="D19"/>
  <c r="D41" s="1"/>
  <c r="D45" s="1"/>
  <c r="C19"/>
  <c r="C45" s="1"/>
  <c r="A4"/>
  <c r="F33" i="60"/>
  <c r="E33"/>
  <c r="D33"/>
  <c r="C33"/>
  <c r="G31"/>
  <c r="G30"/>
  <c r="G29"/>
  <c r="G33" s="1"/>
  <c r="F24"/>
  <c r="E24"/>
  <c r="D24"/>
  <c r="C24"/>
  <c r="G22"/>
  <c r="G21"/>
  <c r="G15"/>
  <c r="G24" s="1"/>
  <c r="W98" i="59"/>
  <c r="W92"/>
  <c r="W87"/>
  <c r="V87"/>
  <c r="U87"/>
  <c r="U90" s="1"/>
  <c r="T87"/>
  <c r="T93" s="1"/>
  <c r="T98" s="1"/>
  <c r="S87"/>
  <c r="R90"/>
  <c r="Q87"/>
  <c r="Q93" s="1"/>
  <c r="Q98" s="1"/>
  <c r="P87"/>
  <c r="O87"/>
  <c r="O90" s="1"/>
  <c r="N87"/>
  <c r="N93" s="1"/>
  <c r="N98" s="1"/>
  <c r="M87"/>
  <c r="L87"/>
  <c r="L90" s="1"/>
  <c r="K87"/>
  <c r="K93" s="1"/>
  <c r="K98" s="1"/>
  <c r="J87"/>
  <c r="I87"/>
  <c r="I90" s="1"/>
  <c r="H87"/>
  <c r="H93" s="1"/>
  <c r="H98" s="1"/>
  <c r="G87"/>
  <c r="F87"/>
  <c r="F90" s="1"/>
  <c r="E87"/>
  <c r="E93" s="1"/>
  <c r="E98" s="1"/>
  <c r="D87"/>
  <c r="X84"/>
  <c r="X83"/>
  <c r="X77"/>
  <c r="X76"/>
  <c r="X74"/>
  <c r="X70"/>
  <c r="A59"/>
  <c r="A5" i="60" s="1"/>
  <c r="W44" i="59"/>
  <c r="W47" s="1"/>
  <c r="W48" s="1"/>
  <c r="V44"/>
  <c r="V47" s="1"/>
  <c r="V48" s="1"/>
  <c r="X43"/>
  <c r="X44"/>
  <c r="X20"/>
  <c r="X17"/>
  <c r="N16" i="65" l="1"/>
  <c r="I34" i="66"/>
  <c r="I40" s="1"/>
  <c r="X87" i="59"/>
  <c r="X90" s="1"/>
  <c r="X25"/>
  <c r="X45" s="1"/>
  <c r="X47" s="1"/>
  <c r="N41" i="61"/>
  <c r="N45" s="1"/>
  <c r="J30"/>
  <c r="J41" s="1"/>
  <c r="J45" s="1"/>
  <c r="E34" i="66"/>
  <c r="E40" s="1"/>
  <c r="P38" i="61"/>
  <c r="P40" s="1"/>
  <c r="P45" s="1"/>
  <c r="N12" i="56" l="1"/>
  <c r="M12"/>
  <c r="M13" i="2"/>
  <c r="N13"/>
  <c r="O13"/>
  <c r="O12"/>
  <c r="N12"/>
  <c r="M12"/>
  <c r="B26" i="6"/>
  <c r="D26"/>
  <c r="F24"/>
  <c r="H24" s="1"/>
  <c r="I29" i="29"/>
  <c r="F27" i="58" l="1"/>
  <c r="F26"/>
  <c r="F25"/>
  <c r="F24"/>
  <c r="F23"/>
  <c r="F22"/>
  <c r="F21"/>
  <c r="F20"/>
  <c r="F19"/>
  <c r="F18"/>
  <c r="F17"/>
  <c r="F16"/>
  <c r="F15"/>
  <c r="F14"/>
  <c r="F13"/>
  <c r="E27" i="6" l="1"/>
  <c r="G27" s="1"/>
  <c r="F25"/>
  <c r="F26" s="1"/>
  <c r="F23"/>
  <c r="F22"/>
  <c r="F21"/>
  <c r="F20"/>
  <c r="F19"/>
  <c r="F18"/>
  <c r="F17"/>
  <c r="F16"/>
  <c r="F15"/>
  <c r="F14"/>
  <c r="F13"/>
  <c r="F12"/>
  <c r="H12"/>
  <c r="I13" i="10"/>
  <c r="J13" s="1"/>
  <c r="I14"/>
  <c r="J14" s="1"/>
  <c r="I15"/>
  <c r="J15" s="1"/>
  <c r="I16"/>
  <c r="J16" s="1"/>
  <c r="I17"/>
  <c r="J17" s="1"/>
  <c r="I18"/>
  <c r="J18" s="1"/>
  <c r="I19"/>
  <c r="J19" s="1"/>
  <c r="I20"/>
  <c r="J20" s="1"/>
  <c r="I21"/>
  <c r="J21" s="1"/>
  <c r="I22"/>
  <c r="J22" s="1"/>
  <c r="I23"/>
  <c r="J23" s="1"/>
  <c r="I24"/>
  <c r="J24" s="1"/>
  <c r="I25"/>
  <c r="J25" s="1"/>
  <c r="I26"/>
  <c r="J26" s="1"/>
  <c r="I27"/>
  <c r="J27" s="1"/>
  <c r="I12"/>
  <c r="J12" s="1"/>
  <c r="B28"/>
  <c r="F29" i="36"/>
  <c r="G29"/>
  <c r="H29"/>
  <c r="I29"/>
  <c r="G21" i="21"/>
  <c r="G20"/>
  <c r="N71" i="45"/>
  <c r="M71"/>
  <c r="O71"/>
  <c r="X35"/>
  <c r="X34"/>
  <c r="X32"/>
  <c r="W32"/>
  <c r="V32"/>
  <c r="W20"/>
  <c r="V20"/>
  <c r="X20"/>
  <c r="A6" i="58"/>
  <c r="A4" i="47"/>
  <c r="A5" i="29"/>
  <c r="A5" i="57"/>
  <c r="A6" i="21"/>
  <c r="I39" i="14" l="1"/>
  <c r="I38"/>
  <c r="I40"/>
  <c r="H38"/>
  <c r="H18" i="6"/>
  <c r="H14"/>
  <c r="H15"/>
  <c r="H16"/>
  <c r="H17"/>
  <c r="H19"/>
  <c r="H20"/>
  <c r="H21"/>
  <c r="H22"/>
  <c r="H23"/>
  <c r="H25"/>
  <c r="H26" s="1"/>
  <c r="H13"/>
  <c r="N11" i="16"/>
  <c r="N12"/>
  <c r="N13"/>
  <c r="N10"/>
  <c r="L15"/>
  <c r="N13" i="56"/>
  <c r="L13"/>
  <c r="K13"/>
  <c r="L14" i="2"/>
  <c r="A5" i="58"/>
  <c r="A60" i="45"/>
  <c r="N15" i="16" l="1"/>
  <c r="F28" i="58"/>
  <c r="B28"/>
  <c r="C28"/>
  <c r="D28"/>
  <c r="E28"/>
  <c r="C16" i="14"/>
  <c r="C31" s="1"/>
  <c r="C35" s="1"/>
  <c r="B16"/>
  <c r="J13" i="56"/>
  <c r="I13"/>
  <c r="I15" s="1"/>
  <c r="I19" s="1"/>
  <c r="H13"/>
  <c r="G13"/>
  <c r="F13"/>
  <c r="F15" s="1"/>
  <c r="F19" s="1"/>
  <c r="E13"/>
  <c r="D13"/>
  <c r="C13"/>
  <c r="C15" s="1"/>
  <c r="C19" s="1"/>
  <c r="B13"/>
  <c r="O13"/>
  <c r="A5"/>
  <c r="A4"/>
  <c r="X71" i="45"/>
  <c r="W71"/>
  <c r="V71"/>
  <c r="X72"/>
  <c r="X73"/>
  <c r="W73"/>
  <c r="V72"/>
  <c r="V73"/>
  <c r="W72"/>
  <c r="W36"/>
  <c r="V36"/>
  <c r="X36"/>
  <c r="X38" s="1"/>
  <c r="E28" i="6"/>
  <c r="G28" s="1"/>
  <c r="A4" i="57"/>
  <c r="N39"/>
  <c r="M39"/>
  <c r="L39"/>
  <c r="K39"/>
  <c r="J39"/>
  <c r="I39"/>
  <c r="G39"/>
  <c r="F39"/>
  <c r="D39"/>
  <c r="C39"/>
  <c r="P38"/>
  <c r="O38"/>
  <c r="P37"/>
  <c r="O37"/>
  <c r="P39"/>
  <c r="O39"/>
  <c r="N29"/>
  <c r="M29"/>
  <c r="L29"/>
  <c r="K29"/>
  <c r="J29"/>
  <c r="I29"/>
  <c r="G29"/>
  <c r="F29"/>
  <c r="D29"/>
  <c r="C29"/>
  <c r="P26"/>
  <c r="O26"/>
  <c r="P23"/>
  <c r="O23"/>
  <c r="P22"/>
  <c r="O22"/>
  <c r="P21"/>
  <c r="P29" s="1"/>
  <c r="O21"/>
  <c r="O29" s="1"/>
  <c r="N18"/>
  <c r="N41" s="1"/>
  <c r="M18"/>
  <c r="M41" s="1"/>
  <c r="L18"/>
  <c r="L41" s="1"/>
  <c r="K18"/>
  <c r="K41" s="1"/>
  <c r="J18"/>
  <c r="J41" s="1"/>
  <c r="I18"/>
  <c r="I41" s="1"/>
  <c r="G18"/>
  <c r="G41" s="1"/>
  <c r="F18"/>
  <c r="F41" s="1"/>
  <c r="D18"/>
  <c r="D41" s="1"/>
  <c r="C18"/>
  <c r="C41" s="1"/>
  <c r="P18"/>
  <c r="V23" i="45"/>
  <c r="V27" s="1"/>
  <c r="W23"/>
  <c r="W27" s="1"/>
  <c r="X23"/>
  <c r="D77"/>
  <c r="E77"/>
  <c r="E80" s="1"/>
  <c r="E85" s="1"/>
  <c r="F77"/>
  <c r="G77"/>
  <c r="H77"/>
  <c r="H80" s="1"/>
  <c r="H85" s="1"/>
  <c r="I77"/>
  <c r="J77"/>
  <c r="K77"/>
  <c r="K80" s="1"/>
  <c r="K85" s="1"/>
  <c r="L77"/>
  <c r="M77"/>
  <c r="N77"/>
  <c r="N80" s="1"/>
  <c r="N85" s="1"/>
  <c r="O77"/>
  <c r="P77"/>
  <c r="Q77"/>
  <c r="Q80" s="1"/>
  <c r="Q85" s="1"/>
  <c r="R77"/>
  <c r="S77"/>
  <c r="T77"/>
  <c r="T80" s="1"/>
  <c r="T85" s="1"/>
  <c r="U77"/>
  <c r="E29" i="6"/>
  <c r="G29" s="1"/>
  <c r="H29" i="29"/>
  <c r="G29"/>
  <c r="D16" i="14"/>
  <c r="J15" i="16"/>
  <c r="D15"/>
  <c r="G15"/>
  <c r="E16" i="14"/>
  <c r="E31" s="1"/>
  <c r="H32" i="10"/>
  <c r="I29"/>
  <c r="I31"/>
  <c r="I32"/>
  <c r="G32"/>
  <c r="K32"/>
  <c r="D14" i="2"/>
  <c r="F23" i="21"/>
  <c r="H44" i="36"/>
  <c r="B32" i="10"/>
  <c r="I28"/>
  <c r="E28"/>
  <c r="H15" i="16"/>
  <c r="C15"/>
  <c r="E23" i="21"/>
  <c r="G23"/>
  <c r="C23"/>
  <c r="F16" i="14"/>
  <c r="A5"/>
  <c r="A4"/>
  <c r="J29" i="10"/>
  <c r="J31"/>
  <c r="D32"/>
  <c r="D23" i="21"/>
  <c r="K28" i="10"/>
  <c r="J28"/>
  <c r="H28"/>
  <c r="G28"/>
  <c r="F28"/>
  <c r="D28"/>
  <c r="C28"/>
  <c r="A6" i="6"/>
  <c r="A5"/>
  <c r="A5" i="36"/>
  <c r="A4"/>
  <c r="A6" i="10"/>
  <c r="A5"/>
  <c r="A4" i="29"/>
  <c r="A5" i="16"/>
  <c r="A4"/>
  <c r="A5" i="2"/>
  <c r="A4"/>
  <c r="A5" i="21"/>
  <c r="C32" i="10"/>
  <c r="E32"/>
  <c r="F32"/>
  <c r="E15" i="16"/>
  <c r="F15"/>
  <c r="I15"/>
  <c r="K15"/>
  <c r="M15"/>
  <c r="B14" i="2"/>
  <c r="C14"/>
  <c r="C16" s="1"/>
  <c r="C20" s="1"/>
  <c r="E14"/>
  <c r="F14"/>
  <c r="F16" s="1"/>
  <c r="F20" s="1"/>
  <c r="G14"/>
  <c r="H14"/>
  <c r="I14"/>
  <c r="J14"/>
  <c r="K14"/>
  <c r="N14"/>
  <c r="N16" s="1"/>
  <c r="I16"/>
  <c r="I20" s="1"/>
  <c r="G44" i="36"/>
  <c r="F44"/>
  <c r="W77" i="45"/>
  <c r="W80" s="1"/>
  <c r="V77"/>
  <c r="X39" l="1"/>
  <c r="X48" s="1"/>
  <c r="X49" s="1"/>
  <c r="G12" i="14"/>
  <c r="I12" s="1"/>
  <c r="G11"/>
  <c r="I11" s="1"/>
  <c r="G10"/>
  <c r="I10" s="1"/>
  <c r="I16" s="1"/>
  <c r="J32" i="10"/>
  <c r="O18" i="57"/>
  <c r="O41" s="1"/>
  <c r="P41"/>
  <c r="W38" i="45"/>
  <c r="W39" s="1"/>
  <c r="V38"/>
  <c r="V39" s="1"/>
  <c r="X77"/>
  <c r="M13" i="56"/>
  <c r="N15"/>
  <c r="N19" s="1"/>
  <c r="N20" i="2"/>
  <c r="O14"/>
  <c r="M14"/>
  <c r="E35" i="14"/>
  <c r="W85" i="45"/>
  <c r="I44" i="36"/>
  <c r="G18" i="14" l="1"/>
  <c r="I18" s="1"/>
  <c r="I26"/>
  <c r="G25"/>
  <c r="I25" s="1"/>
  <c r="G21"/>
  <c r="I21" s="1"/>
  <c r="G28"/>
  <c r="I28" s="1"/>
  <c r="G20"/>
  <c r="I20" s="1"/>
  <c r="G24"/>
  <c r="I24" s="1"/>
  <c r="G29"/>
  <c r="I29" s="1"/>
  <c r="G23"/>
  <c r="I23" s="1"/>
  <c r="G19"/>
  <c r="I19" s="1"/>
  <c r="G22"/>
  <c r="I22" s="1"/>
  <c r="G27"/>
  <c r="I27" s="1"/>
  <c r="G16"/>
  <c r="W48" i="45"/>
  <c r="W49" s="1"/>
  <c r="V48"/>
  <c r="V49" s="1"/>
  <c r="I31" i="14" l="1"/>
  <c r="G31"/>
  <c r="G35" l="1"/>
</calcChain>
</file>

<file path=xl/comments1.xml><?xml version="1.0" encoding="utf-8"?>
<comments xmlns="http://schemas.openxmlformats.org/spreadsheetml/2006/main">
  <authors>
    <author>newtonn</author>
    <author>Nyesha Newton</author>
  </authors>
  <commentList>
    <comment ref="A70" authorId="0">
      <text>
        <r>
          <rPr>
            <b/>
            <sz val="8"/>
            <color indexed="81"/>
            <rFont val="Tahoma"/>
            <family val="2"/>
          </rPr>
          <t>newtonn:</t>
        </r>
        <r>
          <rPr>
            <sz val="8"/>
            <color indexed="81"/>
            <rFont val="Tahoma"/>
            <family val="2"/>
          </rPr>
          <t xml:space="preserve">
As of April 2008, BJA will administer the Missing Alzheimer's Program.</t>
        </r>
      </text>
    </comment>
    <comment ref="A182" authorId="1">
      <text>
        <r>
          <rPr>
            <b/>
            <sz val="8"/>
            <color indexed="81"/>
            <rFont val="Tahoma"/>
            <family val="2"/>
          </rPr>
          <t>Nyesha Newton: 5/13/2010--</t>
        </r>
        <r>
          <rPr>
            <sz val="8"/>
            <color indexed="81"/>
            <rFont val="Tahoma"/>
            <family val="2"/>
          </rPr>
          <t xml:space="preserve">
While BJA is the primary owner, NIJ owns the carve-out/transfer to NIST.</t>
        </r>
      </text>
    </comment>
  </commentList>
</comments>
</file>

<file path=xl/comments2.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3.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4.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5.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<sst xmlns="http://schemas.openxmlformats.org/spreadsheetml/2006/main" count="6966" uniqueCount="826">
  <si>
    <t>end of line</t>
  </si>
  <si>
    <t xml:space="preserve">          Total DIRECT requirements</t>
  </si>
  <si>
    <t>23.1  GSA rent (Reimbursable)</t>
  </si>
  <si>
    <t>25.3 DHS Security (Reimbursable)</t>
  </si>
  <si>
    <t>Financial Analysis of Program Changes</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</si>
  <si>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</si>
  <si>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</si>
  <si>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</si>
  <si>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</si>
  <si>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</si>
  <si>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</si>
  <si>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</si>
  <si>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</si>
  <si>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</si>
  <si>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</si>
  <si>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</si>
  <si>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</si>
  <si>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</si>
  <si>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</si>
  <si>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</si>
  <si>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</si>
  <si>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</si>
  <si>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</si>
  <si>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</si>
  <si>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</si>
  <si>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</si>
  <si>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</si>
  <si>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</si>
  <si>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</si>
  <si>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 xml:space="preserve">   J: Financial Analysis of Program Changes</t>
  </si>
  <si>
    <t>I: Detail of Permanent Positions by Category</t>
  </si>
  <si>
    <t>H: Summary of Reimbursable Resources</t>
  </si>
  <si>
    <t>E.  Justification for Base Adjustments</t>
  </si>
  <si>
    <t>C: Program Increases/Offsets By Decision Unit</t>
  </si>
  <si>
    <t>B: Summary of Requirements</t>
  </si>
  <si>
    <t>2010 Availability</t>
  </si>
  <si>
    <t>23.2 Moving/Lease Expirations/Contract Parking</t>
  </si>
  <si>
    <t>Transfers:</t>
  </si>
  <si>
    <t>Total Adjustments to Base and Technical Adjustments</t>
  </si>
  <si>
    <t xml:space="preserve">Total Adjustments to Base </t>
  </si>
  <si>
    <t>FY 2012 Request</t>
  </si>
  <si>
    <t>2011 Supplementals</t>
  </si>
  <si>
    <t>2012 Request</t>
  </si>
  <si>
    <t xml:space="preserve">2010 Enacted w/Rescissions and Supplementals </t>
  </si>
  <si>
    <t>Increase/Decrease</t>
  </si>
  <si>
    <t>Decision Unit</t>
  </si>
  <si>
    <t xml:space="preserve">     Total</t>
  </si>
  <si>
    <t>atb</t>
  </si>
  <si>
    <t>enhance</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</si>
  <si>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</si>
  <si>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</si>
  <si>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</si>
  <si>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</si>
  <si>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</si>
  <si>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</si>
  <si>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</si>
  <si>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</si>
  <si>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</si>
  <si>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</si>
  <si>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</si>
  <si>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</si>
  <si>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</si>
  <si>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</si>
  <si>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</si>
  <si>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</si>
  <si>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</si>
  <si>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</si>
  <si>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</si>
  <si>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</si>
  <si>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</si>
  <si>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</si>
  <si>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11.3  Other than full-time permanent</t>
  </si>
  <si>
    <t xml:space="preserve">     Total, appropriated positions</t>
  </si>
  <si>
    <t>SES</t>
  </si>
  <si>
    <t>GS-15</t>
  </si>
  <si>
    <t>GS-14</t>
  </si>
  <si>
    <t>GS-13</t>
  </si>
  <si>
    <t>GS-12</t>
  </si>
  <si>
    <t>GS-11</t>
  </si>
  <si>
    <t>GS-10</t>
  </si>
  <si>
    <t>GS-9</t>
  </si>
  <si>
    <t>GS-8</t>
  </si>
  <si>
    <t>GS-7</t>
  </si>
  <si>
    <t xml:space="preserve">GS-5 </t>
  </si>
  <si>
    <t>Personnel benefits</t>
  </si>
  <si>
    <t>Transportation of things</t>
  </si>
  <si>
    <t>Printing</t>
  </si>
  <si>
    <t>Equipment</t>
  </si>
  <si>
    <t>Purchases of goods &amp; services from Government accounts</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</si>
  <si>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</si>
  <si>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</si>
  <si>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</si>
  <si>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</si>
  <si>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</si>
  <si>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</si>
  <si>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</si>
  <si>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</si>
  <si>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</si>
  <si>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</si>
  <si>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</si>
  <si>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</si>
  <si>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Summary of Reimbursable Resources</t>
  </si>
  <si>
    <t>Summary of Requirements by Object Class</t>
  </si>
  <si>
    <t>Overtime</t>
  </si>
  <si>
    <t>Technical Adjustments</t>
  </si>
  <si>
    <t>Program Changes</t>
  </si>
  <si>
    <t>Total Program Changes</t>
  </si>
  <si>
    <t>Subtotal Increases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</si>
  <si>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</si>
  <si>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</si>
  <si>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</si>
  <si>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</si>
  <si>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</si>
  <si>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</si>
  <si>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</si>
  <si>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</si>
  <si>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2010 Enacted (with Rescissions, direct only)</t>
  </si>
  <si>
    <t>Total 2010 Enacted (with Rescissions and Supplementals)</t>
  </si>
  <si>
    <t>M.  Status of Congressionally Requested Studies, Reports, and Evaluations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</si>
  <si>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</si>
  <si>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</si>
  <si>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</si>
  <si>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</si>
  <si>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</si>
  <si>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</si>
  <si>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</si>
  <si>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</si>
  <si>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</si>
  <si>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</si>
  <si>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</si>
  <si>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</si>
  <si>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</si>
  <si>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</si>
  <si>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</si>
  <si>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</si>
  <si>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</si>
  <si>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</si>
  <si>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</si>
  <si>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</si>
  <si>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</si>
  <si>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</si>
  <si>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</si>
  <si>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</si>
  <si>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</si>
  <si>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</si>
  <si>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</si>
  <si>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</si>
  <si>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</si>
  <si>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</si>
  <si>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</si>
  <si>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</si>
  <si>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</si>
  <si>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</si>
  <si>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</si>
  <si>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</si>
  <si>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</si>
  <si>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</si>
  <si>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</si>
  <si>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</si>
  <si>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</si>
  <si>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</si>
  <si>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</si>
  <si>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</si>
  <si>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</si>
  <si>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</si>
  <si>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</si>
  <si>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</si>
  <si>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</si>
  <si>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</si>
  <si>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</si>
  <si>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</si>
  <si>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</si>
  <si>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</si>
  <si>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</si>
  <si>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</si>
  <si>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</si>
  <si>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</si>
  <si>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</si>
  <si>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</si>
  <si>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</si>
  <si>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</si>
  <si>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</si>
  <si>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</si>
  <si>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</si>
  <si>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</si>
  <si>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</si>
  <si>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</si>
  <si>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</si>
  <si>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</si>
  <si>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</si>
  <si>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</si>
  <si>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</si>
  <si>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</si>
  <si>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</si>
  <si>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</si>
  <si>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</si>
  <si>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</si>
  <si>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</si>
  <si>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</si>
  <si>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</si>
  <si>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</si>
  <si>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</si>
  <si>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</si>
  <si>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</si>
  <si>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</si>
  <si>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</si>
  <si>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</si>
  <si>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</si>
  <si>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</si>
  <si>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</si>
  <si>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</si>
  <si>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</si>
  <si>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</si>
  <si>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</si>
  <si>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</si>
  <si>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</si>
  <si>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</si>
  <si>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</si>
  <si>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</si>
  <si>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</si>
  <si>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</si>
  <si>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</si>
  <si>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</si>
  <si>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</si>
  <si>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</si>
  <si>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</si>
  <si>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</si>
  <si>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</si>
  <si>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</si>
  <si>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</si>
  <si>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</si>
  <si>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</si>
  <si>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</si>
  <si>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</si>
  <si>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23.1  GSA rent</t>
  </si>
  <si>
    <t>25.4  Operation and maintenance of facilities</t>
  </si>
  <si>
    <t>L: Summary of Requirements by Object Class</t>
  </si>
  <si>
    <t>K: Summary of Requirements by Grade</t>
  </si>
  <si>
    <t>Program Increases</t>
  </si>
  <si>
    <t>FY 2012 Program Increases/Offsets By Decision Unit</t>
  </si>
  <si>
    <t>F: Crosswalk of 2010 Availability</t>
  </si>
  <si>
    <t>25.7 Operation and maintenance of equipment</t>
  </si>
  <si>
    <t>2010 Supplementals</t>
  </si>
  <si>
    <t>Justification for Base Adjustments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</si>
  <si>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</si>
  <si>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</si>
  <si>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</si>
  <si>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</si>
  <si>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</si>
  <si>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</si>
  <si>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</si>
  <si>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</si>
  <si>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</si>
  <si>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</si>
  <si>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ATB:</t>
  </si>
  <si>
    <t xml:space="preserve">Amount  </t>
  </si>
  <si>
    <t>Grades:</t>
  </si>
  <si>
    <t>(Dollars in Thousands)</t>
  </si>
  <si>
    <t>Salaries and Expenses</t>
  </si>
  <si>
    <t>Total Offsets</t>
  </si>
  <si>
    <t>Other FTE:</t>
  </si>
  <si>
    <t>Total Comp. FTE</t>
  </si>
  <si>
    <t>Total FTE</t>
  </si>
  <si>
    <t>Reimbursable FTE</t>
  </si>
  <si>
    <t>Other FTE</t>
  </si>
  <si>
    <t>Total Compensable FTE</t>
  </si>
  <si>
    <t>Headquarters (Washington, D.C.)</t>
  </si>
  <si>
    <t>Summary of Requirements</t>
  </si>
  <si>
    <t>Reimbursable FTE:</t>
  </si>
  <si>
    <t>Rescissions</t>
  </si>
  <si>
    <t>Supplementals</t>
  </si>
  <si>
    <t xml:space="preserve">     Subtotal Increases</t>
  </si>
  <si>
    <t xml:space="preserve">  Total, 2012 program changes requested</t>
  </si>
  <si>
    <t>Collections by Source</t>
  </si>
  <si>
    <t>Budgetary Resources: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</si>
  <si>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</si>
  <si>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</si>
  <si>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</si>
  <si>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</si>
  <si>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</si>
  <si>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</si>
  <si>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</si>
  <si>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</si>
  <si>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</si>
  <si>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</si>
  <si>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</si>
  <si>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</si>
  <si>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</si>
  <si>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</si>
  <si>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</si>
  <si>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</si>
  <si>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</si>
  <si>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</si>
  <si>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</si>
  <si>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</si>
  <si>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</si>
  <si>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</si>
  <si>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</si>
  <si>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</si>
  <si>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Goal 2: Prevent Crime, Enforce Federal Laws and Represent the 
              Rights and Interests of the American People</t>
  </si>
  <si>
    <t xml:space="preserve">   2.1  Strengthen partnerships for safer communities and enhance the Nation’s capacity to prevent, solve, and control crime </t>
  </si>
  <si>
    <t xml:space="preserve">   2.2  Reduce the threat, incidence, and prevalence of violent crime </t>
  </si>
  <si>
    <r>
      <t xml:space="preserve">   2.3  Prevent, suppress, and intervene in crimes against children</t>
    </r>
    <r>
      <rPr>
        <b/>
        <sz val="10"/>
        <rFont val="Times New Roman"/>
        <family val="1"/>
      </rPr>
      <t xml:space="preserve"> </t>
    </r>
  </si>
  <si>
    <t xml:space="preserve">   2.4  Reduce the threat, trafficking, use, and related violence of illegal drugs </t>
  </si>
  <si>
    <r>
      <t xml:space="preserve">   2.5 Combat public and corporate corruption, fraud, economic crime, and cybercrime</t>
    </r>
    <r>
      <rPr>
        <b/>
        <sz val="10"/>
        <rFont val="Times New Roman"/>
        <family val="1"/>
      </rPr>
      <t xml:space="preserve"> </t>
    </r>
  </si>
  <si>
    <t xml:space="preserve">   2.6 Uphold the civil and Constitutional rights of all Americans </t>
  </si>
  <si>
    <t xml:space="preserve">   2.7 Vigorously enforce and represent the interests of the United States in all matters over which the Department has jurisdiction </t>
  </si>
  <si>
    <t xml:space="preserve">   2.8 Protect the integrity and ensure the effective operation of the Nation’s bankruptcy system </t>
  </si>
  <si>
    <t>Subtotal, Goal 2</t>
  </si>
  <si>
    <t xml:space="preserve">Goal 3: Ensure the Fair and Efficient Administration of Justice
           </t>
  </si>
  <si>
    <t xml:space="preserve">   3.1 Protect judges, witnesses, and other participants in federal proceedings, and ensure the appearance of criminal defendants for judicial proceedings or confinement </t>
  </si>
  <si>
    <r>
      <t xml:space="preserve">   3.2 Ensure the apprehension of fugitives from justice</t>
    </r>
    <r>
      <rPr>
        <b/>
        <sz val="10"/>
        <rFont val="Times New Roman"/>
        <family val="1"/>
      </rPr>
      <t xml:space="preserve"> </t>
    </r>
  </si>
  <si>
    <t xml:space="preserve">   3.3  Provide for the safe, secure, and humane confinement of detained persons awaiting trial and/or sentencing, and those in the custody of the Federal Prison System </t>
  </si>
  <si>
    <t xml:space="preserve">   3.4  Provide services and programs to facilitate inmates’ successful reintegration into society, consistent with community expectations and standards </t>
  </si>
  <si>
    <t xml:space="preserve">   3.5  Adjudicate all immigration cases promptly and impartially in accordance with due process </t>
  </si>
  <si>
    <t xml:space="preserve">   3.7  Uphold the rights and improve services to America’s crime victims </t>
  </si>
  <si>
    <t>Subtotal, Goal 3</t>
  </si>
  <si>
    <t>GRAND TOTAL</t>
  </si>
  <si>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</si>
  <si>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</si>
  <si>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</si>
  <si>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</si>
  <si>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</si>
  <si>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</si>
  <si>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</si>
  <si>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</si>
  <si>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</si>
  <si>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</si>
  <si>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</si>
  <si>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</si>
  <si>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</si>
  <si>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Status of Congressionally Requested Studies, Reports, and Evaluations</t>
  </si>
  <si>
    <t>2012 Template</t>
  </si>
  <si>
    <t>Total ATBs</t>
  </si>
  <si>
    <t>WCF Rate Increase</t>
  </si>
  <si>
    <t>General Pricing Level Adjustment</t>
  </si>
  <si>
    <t>Government Printing Office (GPO)</t>
  </si>
  <si>
    <t>Postage</t>
  </si>
  <si>
    <t>DHS Security Charge</t>
  </si>
  <si>
    <t>GSA Rent</t>
  </si>
  <si>
    <t>Moves (lease expirations)</t>
  </si>
  <si>
    <t>Change in Compensable Days</t>
  </si>
  <si>
    <t>Health Insurance Premiums</t>
  </si>
  <si>
    <t>Retirement</t>
  </si>
  <si>
    <t>Employees Compensation Fund</t>
  </si>
  <si>
    <t>Annualization of FY 2011 positions ($)</t>
  </si>
  <si>
    <t>Annualization of FY 2011 positions (FTE)</t>
  </si>
  <si>
    <t>ATB Transfers</t>
  </si>
  <si>
    <t>Adjustments to Base By Decision Unit</t>
  </si>
  <si>
    <t>2012 Adjustments to Base By Decision Unit</t>
  </si>
  <si>
    <t>Increases (Direct Only):</t>
  </si>
  <si>
    <t>2010 Actual</t>
  </si>
  <si>
    <t>2011 Planned</t>
  </si>
  <si>
    <t>2011 Continuing Resolution (with Rescissions, direct only)</t>
  </si>
  <si>
    <t>Total 2011 CR (with Rescissions and Supplementals)</t>
  </si>
  <si>
    <t xml:space="preserve">2011 CR </t>
  </si>
  <si>
    <t>Carryover</t>
  </si>
  <si>
    <t>Recoveries</t>
  </si>
  <si>
    <t>2011 CR</t>
  </si>
  <si>
    <t>FY 2011 CR Without Rescissions</t>
  </si>
  <si>
    <t>2010 - 2012 Total Change</t>
  </si>
  <si>
    <t xml:space="preserve">Increase/Decrease </t>
  </si>
  <si>
    <t>Office of Justice Programs</t>
  </si>
  <si>
    <t>Reprogramming Transfer from State and Local Law Enforcement Assistance</t>
  </si>
  <si>
    <t>Reprogramming Transfer from Weed and Seed Program Fund</t>
  </si>
  <si>
    <t>Transfer to Office of Information Policy (OIP)</t>
  </si>
  <si>
    <t>Transfer to Professional Responsibility Advisory Office (PRAO)</t>
  </si>
  <si>
    <t xml:space="preserve">     Subtotal Transfers</t>
  </si>
  <si>
    <t xml:space="preserve">Increases </t>
  </si>
  <si>
    <t xml:space="preserve">Offsets </t>
  </si>
  <si>
    <t>Administrative Efficiencies</t>
  </si>
  <si>
    <t>Technology Refresh</t>
  </si>
  <si>
    <t>Office of Audit, Assessment, and Management (OAAM)</t>
  </si>
  <si>
    <t>Crime Victims Fund</t>
  </si>
  <si>
    <t>Department of Justice</t>
  </si>
  <si>
    <t>Department of Homeland Security</t>
  </si>
  <si>
    <t>Executive Office of the President</t>
  </si>
  <si>
    <t>Social Scientist, Economic and Kindred (100-199)</t>
  </si>
  <si>
    <t>Engineering and Architecture (800-899)</t>
  </si>
  <si>
    <t>Physical Sciences (1300-1399)</t>
  </si>
  <si>
    <t>Mathematics and Statistics (1500-1599)</t>
  </si>
  <si>
    <t>Executive Level IV, $145,700 - 199,700</t>
  </si>
  <si>
    <t>Average EX Salary</t>
  </si>
  <si>
    <t>Reprogramming Transfers to Salaries and Expenses</t>
  </si>
  <si>
    <t>Annualization of FY 2010 Pay Raise ($)</t>
  </si>
  <si>
    <t>Reprogramming Transfer from Justice Assistance/Research, Evaluation, and Statistics</t>
  </si>
  <si>
    <t>Reprogramming Transfer from Juvenile Justice Programs/Juvenile Justice and Safety Programs</t>
  </si>
  <si>
    <t>Office of Information Policy (OIP)</t>
  </si>
  <si>
    <t>Professional Responsibility Advisory Office (PRAO)</t>
  </si>
  <si>
    <r>
      <t>Retirement</t>
    </r>
    <r>
      <rPr>
        <sz val="9"/>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$87K is necessary to meet our increased retirement obligations as a result of this conversion.</t>
    </r>
  </si>
  <si>
    <r>
      <t>Employees Compensation Fund:</t>
    </r>
    <r>
      <rPr>
        <sz val="9"/>
        <rFont val="Times New Roman"/>
        <family val="1"/>
      </rPr>
      <t xml:space="preserve">  The $55K decrease reflects payments to the Department of Labor for injury benefits paid in the past year under the Federal Employee Compensation Act.  This estimate is based on the first quarter of prior year billing and current year estimates.</t>
    </r>
  </si>
  <si>
    <r>
      <t>Health Insurance</t>
    </r>
    <r>
      <rPr>
        <sz val="9"/>
        <rFont val="Times New Roman"/>
        <family val="1"/>
      </rPr>
      <t>:  Effective January 2012, this component's contribution to Federal employees' health insurance premiums increased by 8 percent.  Applied against the 2011 estimate of $4,470K, the additional amount required is $370K.</t>
    </r>
  </si>
  <si>
    <r>
      <t>Changes in Compensable Days</t>
    </r>
    <r>
      <rPr>
        <sz val="9"/>
        <rFont val="Times New Roman"/>
        <family val="1"/>
      </rPr>
      <t>.  The decreased cost for one compensable day in FY 2012 compared to FY 2011 is calculated by dividing the FY 2011 estimated personnel compensation $82,000K and applicable benefits $17,461K by 261 compensable days.</t>
    </r>
  </si>
  <si>
    <r>
      <t>General Services Administration (GSA) Rent.</t>
    </r>
    <r>
      <rPr>
        <sz val="9"/>
        <color indexed="8"/>
        <rFont val="Times New Roman"/>
        <family val="1"/>
      </rPr>
      <t xml:space="preserve">  GSA will continue to charge rental rates that approximate those charged to commercial tenants for equivalent space and related services.  The requested decrease of $3,256K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</si>
  <si>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r>
      <t>Moves (Lease Expirations).</t>
    </r>
    <r>
      <rPr>
        <sz val="9"/>
        <rFont val="Times New Roman"/>
        <family val="1"/>
      </rPr>
      <t xml:space="preserve">  GSA requires all agencies to pay relocation costs associated with lease expirations.  This request provides for the costs associated with new office relocations caused by the expiration of leases in FY 2011.  Funding  of $11,447K, is required for this account.</t>
    </r>
  </si>
  <si>
    <r>
      <rPr>
        <b/>
        <i/>
        <sz val="12"/>
        <rFont val="Times New Roman"/>
        <family val="1"/>
      </rPr>
      <t>Status of Report</t>
    </r>
    <r>
      <rPr>
        <i/>
        <sz val="12"/>
        <rFont val="Times New Roman"/>
        <family val="1"/>
      </rPr>
      <t>:  This report was submitted to Congress on February 1, 2010.</t>
    </r>
  </si>
  <si>
    <r>
      <rPr>
        <b/>
        <i/>
        <sz val="12"/>
        <rFont val="Times New Roman"/>
        <family val="1"/>
      </rPr>
      <t>Status of Report</t>
    </r>
    <r>
      <rPr>
        <i/>
        <sz val="12"/>
        <rFont val="Times New Roman"/>
        <family val="1"/>
      </rPr>
      <t>:  This report was submitted to Congress on February 16, 2010.</t>
    </r>
  </si>
  <si>
    <r>
      <t xml:space="preserve">1. </t>
    </r>
    <r>
      <rPr>
        <u/>
        <sz val="12"/>
        <rFont val="Times New Roman"/>
        <family val="1"/>
      </rPr>
      <t>T/TA and Research and Statistics Activities Spend Plan</t>
    </r>
    <r>
      <rPr>
        <sz val="12"/>
        <rFont val="Times New Roman"/>
        <family val="1"/>
      </rPr>
      <t xml:space="preserve"> - As part of the Department's spend plan for FY 2010, the Committee instructs OJP to provide detailed information on training and technical assistance, research, and statistics activities.  It should differentiate activities performed via grant, via interagency agreement, under contract, and performed directly by OJP.  </t>
    </r>
  </si>
  <si>
    <r>
      <t xml:space="preserve">2. </t>
    </r>
    <r>
      <rPr>
        <u/>
        <sz val="12"/>
        <rFont val="Times New Roman"/>
        <family val="1"/>
      </rPr>
      <t>FY 2011 T/TA and Research and Statistics Activities</t>
    </r>
    <r>
      <rPr>
        <sz val="12"/>
        <rFont val="Times New Roman"/>
        <family val="1"/>
      </rPr>
      <t xml:space="preserve"> - The Department is directed, as part of the FY 2011 budget submission, to provide details of OJP's planned training and technical assistance activities and research and statistics activities for FY 2011.  </t>
    </r>
  </si>
  <si>
    <r>
      <t xml:space="preserve">3. </t>
    </r>
    <r>
      <rPr>
        <u/>
        <sz val="12"/>
        <rFont val="Times New Roman"/>
        <family val="1"/>
      </rPr>
      <t>Missing and Exploited Children Spend Plan</t>
    </r>
    <r>
      <rPr>
        <sz val="12"/>
        <rFont val="Times New Roman"/>
        <family val="1"/>
      </rPr>
      <t xml:space="preserve"> - The Conference Report does not prescribe a distribution of funds for the $70.0 million enacted for MEC, except that $30.0 million of that amount shall be available for the ICAC program.  The Report directs OJP to provide a spend plan to the House and Senate Committees on Appropriations, as part of the Department's FY 2010 spend plan, for the use of the remainder of funds for MEC.  </t>
    </r>
  </si>
  <si>
    <r>
      <t xml:space="preserve">4. </t>
    </r>
    <r>
      <rPr>
        <u/>
        <sz val="12"/>
        <rFont val="Times New Roman"/>
        <family val="1"/>
      </rPr>
      <t>NIJ Spend Plan</t>
    </r>
    <r>
      <rPr>
        <sz val="12"/>
        <rFont val="Times New Roman"/>
        <family val="1"/>
      </rPr>
      <t xml:space="preserve"> - As part of the Department's FY 2010 spend plan, NIJ is directed to submit a spend plan for use of appropriated (base) funding, less the $5 million carveout for Forensics and DNA. </t>
    </r>
  </si>
  <si>
    <r>
      <t xml:space="preserve">5. </t>
    </r>
    <r>
      <rPr>
        <u/>
        <sz val="12"/>
        <rFont val="Times New Roman"/>
        <family val="1"/>
      </rPr>
      <t>Hate Crimes</t>
    </r>
    <r>
      <rPr>
        <sz val="12"/>
        <rFont val="Times New Roman"/>
        <family val="1"/>
      </rPr>
      <t xml:space="preserve"> - BJA is directed to evaluate the feasibility and costs of establishing a national helpline for victims of hate crimes.  </t>
    </r>
  </si>
  <si>
    <r>
      <t xml:space="preserve">6. </t>
    </r>
    <r>
      <rPr>
        <u/>
        <sz val="12"/>
        <rFont val="Times New Roman"/>
        <family val="1"/>
      </rPr>
      <t>Hate Crimes</t>
    </r>
    <r>
      <rPr>
        <sz val="12"/>
        <rFont val="Times New Roman"/>
        <family val="1"/>
      </rPr>
      <t xml:space="preserve"> - The Committee directs NIJ to evaluate trends in hate crimes against new immigrants, individuals perceived to be immigrants, and Hispanic Americans,  and to assess the underlying causes behind any increase in hate crimes against such groups.  </t>
    </r>
  </si>
  <si>
    <r>
      <t xml:space="preserve">7. </t>
    </r>
    <r>
      <rPr>
        <u/>
        <sz val="12"/>
        <rFont val="Times New Roman"/>
        <family val="1"/>
      </rPr>
      <t>Byrne Competitive Grants Spend Plan</t>
    </r>
    <r>
      <rPr>
        <sz val="12"/>
        <rFont val="Times New Roman"/>
        <family val="1"/>
      </rPr>
      <t xml:space="preserve"> - OJP is directed to submit a plan detailing the criteria and methodology that will be used to award these grants. The Congressional conferees expect that national programs that have previously received funding under the Byrne Discretionary program or the Juvenile Justice Part E program will be eligible to compete for funding under this competitive program, including programs for which specific amounts are designated in the FY 2010 Consolidated Appropriations Act.</t>
    </r>
  </si>
  <si>
    <r>
      <t xml:space="preserve">8. </t>
    </r>
    <r>
      <rPr>
        <u/>
        <sz val="12"/>
        <rFont val="Times New Roman"/>
        <family val="1"/>
      </rPr>
      <t>Victims of Trafficking Spend Plan</t>
    </r>
    <r>
      <rPr>
        <sz val="12"/>
        <rFont val="Times New Roman"/>
        <family val="1"/>
      </rPr>
      <t xml:space="preserve"> - As part of the Department's FY 2010 spend plan, OJP is directed to provide a plan for the use of these funds. </t>
    </r>
  </si>
  <si>
    <r>
      <t xml:space="preserve">9. </t>
    </r>
    <r>
      <rPr>
        <u/>
        <sz val="12"/>
        <rFont val="Times New Roman"/>
        <family val="1"/>
      </rPr>
      <t>Economic, High-tech and Cybercrime Prevention Spend Plan</t>
    </r>
    <r>
      <rPr>
        <sz val="12"/>
        <rFont val="Times New Roman"/>
        <family val="1"/>
      </rPr>
      <t xml:space="preserve"> - As part of the Department's FY 2010 spend plan, OJP is directed to provide a plan for the use of these funds provided for economic, high-tech and cybercrime prevention grants. </t>
    </r>
  </si>
  <si>
    <r>
      <t xml:space="preserve">10. </t>
    </r>
    <r>
      <rPr>
        <u/>
        <sz val="12"/>
        <rFont val="Times New Roman"/>
        <family val="1"/>
      </rPr>
      <t>Youth Mentoring Grants Spend Plan</t>
    </r>
    <r>
      <rPr>
        <sz val="12"/>
        <rFont val="Times New Roman"/>
        <family val="1"/>
      </rPr>
      <t xml:space="preserve"> - OJP is directed to provide a report and spend plan detailing the criteria and methodology that will be used to award these grants.  It is expected that national programs that have received funding under the Byrne Discretionary Grants program or the Juvenile Justice Part E program will be eligible for funding under this competitive program, including programs for which specific amounts are designated in the FY 2010 Consolidated Appropriations Act.</t>
    </r>
  </si>
  <si>
    <r>
      <t xml:space="preserve">10. </t>
    </r>
    <r>
      <rPr>
        <u/>
        <sz val="12"/>
        <rFont val="Times New Roman"/>
        <family val="1"/>
      </rPr>
      <t>Tribal Assistance</t>
    </r>
    <r>
      <rPr>
        <sz val="12"/>
        <rFont val="Times New Roman"/>
        <family val="1"/>
      </rPr>
      <t xml:space="preserve"> - The conferees direct OJP to coordinate with the Bureau of Indian Affairs in the Department of the Interior in developing a priority list for detention facility construction, targeting tribal areas with the greatest need, and to incorporate that priority system into the ranking criteria for detention facility grants.  </t>
    </r>
  </si>
  <si>
    <t>Reprogramming Transfer</t>
  </si>
  <si>
    <t>Reprogramming: $30,426,757 was transferred to the Salaries and Expenses Fund from the Justice Assistance, State and Local Law Enforcement Assistance, Weed and Seed Program Fund, and the Juvenile Justice Program accounts.</t>
  </si>
  <si>
    <t>GS-4, $30,456 - 39,590</t>
  </si>
  <si>
    <t>Justice Assistance</t>
  </si>
  <si>
    <t>Reprogramming Transfer to Salaries and Expenses</t>
  </si>
  <si>
    <t>Restoration of FY 2011 Rescission</t>
  </si>
  <si>
    <t xml:space="preserve">Increases: </t>
  </si>
  <si>
    <t>Missing and Exploited Children</t>
  </si>
  <si>
    <t xml:space="preserve">     PROTECT Our Children Act</t>
  </si>
  <si>
    <t>[2,500]</t>
  </si>
  <si>
    <t>Research, Evaluation, and Demonstration Programs</t>
  </si>
  <si>
    <t xml:space="preserve">     Arrestee Drug Abuse Monitoring Program</t>
  </si>
  <si>
    <t>[10,000]</t>
  </si>
  <si>
    <t xml:space="preserve">     Evaluation Capacity Initiative</t>
  </si>
  <si>
    <t>[500]</t>
  </si>
  <si>
    <t xml:space="preserve">     Evaluation Clearinghouse/What Works Repository </t>
  </si>
  <si>
    <t>[1,000]</t>
  </si>
  <si>
    <t xml:space="preserve">     Sexual Assault Problem-Solving Initiative (SAPI)</t>
  </si>
  <si>
    <t>[3,800]</t>
  </si>
  <si>
    <t xml:space="preserve">     Stopping Crime, Block by Block</t>
  </si>
  <si>
    <t>State and Local Assistance Help Desk and Diagnostic Center (E21)</t>
  </si>
  <si>
    <t>Offsets:</t>
  </si>
  <si>
    <t>Criminal Justice Statistics Programs</t>
  </si>
  <si>
    <t>Regional Information Sharing System (RISS)</t>
  </si>
  <si>
    <t>Victim Notification System (SAVIN)</t>
  </si>
  <si>
    <t>Subtotal Offsets</t>
  </si>
  <si>
    <t>2012 Subtotal Request</t>
  </si>
  <si>
    <t>2012 Rescission of Balances</t>
  </si>
  <si>
    <t>National Crime Victimization Survey</t>
  </si>
  <si>
    <t>[41,000]</t>
  </si>
  <si>
    <t>[15,000]</t>
  </si>
  <si>
    <t>[26,000]</t>
  </si>
  <si>
    <t>Redesign of NCVS</t>
  </si>
  <si>
    <t>Redesign and Development of Data Collection Programs for Indian Country</t>
  </si>
  <si>
    <t>PROTECT Our Children Act</t>
  </si>
  <si>
    <t>Arrestee Drug Abuse Monitoring Program</t>
  </si>
  <si>
    <t>Evaluation Capacity Initiative</t>
  </si>
  <si>
    <t xml:space="preserve">Evaluation Clearinghouse/What Works Repository </t>
  </si>
  <si>
    <t>Sexual Assault Problem-Solving Initiative (SAPI)</t>
  </si>
  <si>
    <t>Stopping Crime, Block by Block</t>
  </si>
  <si>
    <t>Rescission</t>
  </si>
  <si>
    <t>Total Increases</t>
  </si>
  <si>
    <t xml:space="preserve">    Arrestee Drug Abuse Monitoring Program</t>
  </si>
  <si>
    <t xml:space="preserve">    Evaluation Capacity Initiative</t>
  </si>
  <si>
    <t xml:space="preserve">    Evaluation Clearinghouse/What Works Repository </t>
  </si>
  <si>
    <t xml:space="preserve">    Sexual Assault Problem-Solving Initiative (SAPI)</t>
  </si>
  <si>
    <t xml:space="preserve">    Stopping Crime, Block by Block</t>
  </si>
  <si>
    <t>Total Program Increases</t>
  </si>
  <si>
    <t xml:space="preserve">   3.6  Promote and strengthen innovative strategies in the administration of State and local justice systems </t>
  </si>
  <si>
    <t>Subtotal, All Goals</t>
  </si>
  <si>
    <t>Reprogramming</t>
  </si>
  <si>
    <t xml:space="preserve">     National Crime Victimization Survey  (NCVS)</t>
  </si>
  <si>
    <t xml:space="preserve">     Criminal Justice Statistics</t>
  </si>
  <si>
    <t>Management and Administration</t>
  </si>
  <si>
    <t>Other programs $100K or less</t>
  </si>
  <si>
    <t xml:space="preserve">     DNA and Forensics</t>
  </si>
  <si>
    <t xml:space="preserve">     Research, Evaluation, and Demonstration</t>
  </si>
  <si>
    <t>Undistributed Rescission</t>
  </si>
  <si>
    <t>Enacted Rescissions: $3M unobligated balance rescission as required by P.L. 111-117, Consolidated Appropriations Act, 2010.</t>
  </si>
  <si>
    <t>Reprogramming: Congressional approval of ($4,857,982.91) to Salaries and Expenses.</t>
  </si>
  <si>
    <t>Enacted Rescissions: $4M unobligated balance rescission as required by P.L. 111-117, Consolidated Appropriations Act, 2010.</t>
  </si>
  <si>
    <t>Increase</t>
  </si>
  <si>
    <t>Evaluation Clearinghouse/What Works Repository</t>
  </si>
  <si>
    <t xml:space="preserve">Sexual Assault Problem-Solving Initiative (SAPI) </t>
  </si>
  <si>
    <t>Grants, subsidies, and contributions</t>
  </si>
  <si>
    <t>Department of Defense</t>
  </si>
  <si>
    <t>Department of Health and Human Services</t>
  </si>
  <si>
    <t>25.3 Purchases of goods &amp; services from Government accounts (Antennas, DHS Sec. Etc..)</t>
  </si>
  <si>
    <t>25.5 Research and development contracts</t>
  </si>
  <si>
    <t>41.0 Grants, subsideis, and contributions</t>
  </si>
  <si>
    <t>Unobligated balance, start of year</t>
  </si>
  <si>
    <t>Unobligated balance, end of year</t>
  </si>
  <si>
    <t>Unobligated balance, rescinded</t>
  </si>
  <si>
    <t>Recoveries of prior year obligations</t>
  </si>
  <si>
    <t>State and Local Law Enforcement Assistance</t>
  </si>
  <si>
    <t>Transfer from COPS</t>
  </si>
  <si>
    <t>Transfer from OVW</t>
  </si>
  <si>
    <t>Transfer from ONDCP</t>
  </si>
  <si>
    <t>Restoration of FY 2011 Rescissions</t>
  </si>
  <si>
    <t>Byrne Criminal Justice Innovation Program</t>
  </si>
  <si>
    <t>Children Exposed to Violence</t>
  </si>
  <si>
    <t>Community Engagement to Address Radicalization</t>
  </si>
  <si>
    <t>DNA Initiative</t>
  </si>
  <si>
    <t>Ensuring Fairness and Justice in the Criminal Justice System</t>
  </si>
  <si>
    <t>Implementation of the Adam Walsh Act</t>
  </si>
  <si>
    <t>Justice Information Sharing and Technology (JIST)</t>
  </si>
  <si>
    <t>National Criminal History Record Improvement Program (NCHIP)</t>
  </si>
  <si>
    <t>Preventing Violence Against Law Enforcement Officer Resiliency and Survivability Initiative</t>
  </si>
  <si>
    <t>Problem Solving Justice</t>
  </si>
  <si>
    <t>Smart Policing</t>
  </si>
  <si>
    <t>Byrne Competitive Grants</t>
  </si>
  <si>
    <t>Byrne Discretionary</t>
  </si>
  <si>
    <t>Child Abuse Training Program for Judicial Personnel and Practitioners</t>
  </si>
  <si>
    <t xml:space="preserve">Court Appointed Special Advocates (CASA) </t>
  </si>
  <si>
    <t>Drug Courts</t>
  </si>
  <si>
    <t>Economic, High-technology, and Cybercrime Prevention</t>
  </si>
  <si>
    <t>Grants for the Closed Circuit Televising of Testimony of Children (CCTV)</t>
  </si>
  <si>
    <t>Indian Country Initiatives</t>
  </si>
  <si>
    <t>John R. Justice Loan Repayment Grant Program</t>
  </si>
  <si>
    <t>Mentally Ill Offender Act Program/Mental Health Courts</t>
  </si>
  <si>
    <t>Missing Alzheimer's Disease Patient Alert Program</t>
  </si>
  <si>
    <t>National Instate Criminal Background Check System (NICS)</t>
  </si>
  <si>
    <t>Northern Border Prosecutors Initiative</t>
  </si>
  <si>
    <t>Paul Coverdell Forensic Science Improvement Grants</t>
  </si>
  <si>
    <t>Prescription Drug Monitoring Program</t>
  </si>
  <si>
    <t>Prison Rape Prevention and Prosecution Program</t>
  </si>
  <si>
    <t xml:space="preserve">Research on Violence Against Women in Indian Country </t>
  </si>
  <si>
    <t>Southwest Border Prosecutors Program</t>
  </si>
  <si>
    <t>State and Local Gun Crime Prosecution Assistance/Violent Gang and Gun Crime Reduction</t>
  </si>
  <si>
    <t>State Criminal Alien Assistance Program (SCAAP)</t>
  </si>
  <si>
    <t>State Criminal Justice Reform and Recidivism Reduction</t>
  </si>
  <si>
    <t>Training Program to Assist Probation and Parole Officers</t>
  </si>
  <si>
    <t>VAWA II National Stalker and Domestic Violence Reduction Program</t>
  </si>
  <si>
    <t>Victims of Trafficking</t>
  </si>
  <si>
    <t>Bulletproof Vests Partnership</t>
  </si>
  <si>
    <t>Under COPS</t>
  </si>
  <si>
    <t>Capital Litigation Improvement Grant Program</t>
  </si>
  <si>
    <t>JFAA / Wrongful Prosecution Review</t>
  </si>
  <si>
    <t>Child Abuse Training Programs for Judicial Personnel and Practitioners</t>
  </si>
  <si>
    <t xml:space="preserve">Child Sexual Predator Elimination </t>
  </si>
  <si>
    <t>National Public Sex Offender Website</t>
  </si>
  <si>
    <t>Sex Offender Management Assistance (Adam Walsh Act)</t>
  </si>
  <si>
    <t xml:space="preserve">Court Appointed Special Advocate Program </t>
  </si>
  <si>
    <t>DNA Backlog</t>
  </si>
  <si>
    <t>Law Enforcement Training on DNA</t>
  </si>
  <si>
    <t>[7,500]</t>
  </si>
  <si>
    <t>Post-Conviction DNA Testing</t>
  </si>
  <si>
    <t>Sexual Assault Nurse Examiners</t>
  </si>
  <si>
    <t>Drug Courts (replaced by Problem Solving Justice in FY 2012)</t>
  </si>
  <si>
    <t>Economic, High-tech, Cybercrime Prevention</t>
  </si>
  <si>
    <t xml:space="preserve">Grants for the Closed Circuit Televising of Testimony of Children </t>
  </si>
  <si>
    <t>Implementation of Adam Walsh Act</t>
  </si>
  <si>
    <t xml:space="preserve">Indian Country Initiatives </t>
  </si>
  <si>
    <t>Indian Alcohol and Substance Abuse Program</t>
  </si>
  <si>
    <t>[-12,000]</t>
  </si>
  <si>
    <t>Indian Country Prison Grants</t>
  </si>
  <si>
    <t>[-10,000]</t>
  </si>
  <si>
    <t>Legal Assistance</t>
  </si>
  <si>
    <t>[3,000]</t>
  </si>
  <si>
    <t>[-3,000]</t>
  </si>
  <si>
    <t xml:space="preserve">Tribal Courts </t>
  </si>
  <si>
    <t>[25,000]</t>
  </si>
  <si>
    <t>[-25,000]</t>
  </si>
  <si>
    <t>Justice Assistance Grants (JAG)</t>
  </si>
  <si>
    <t>[30,000]</t>
  </si>
  <si>
    <t>LE Technology</t>
  </si>
  <si>
    <t>[5,000]</t>
  </si>
  <si>
    <t>[-5,000]</t>
  </si>
  <si>
    <t>State and Local Antiterrorism Training (SLATT)</t>
  </si>
  <si>
    <t>[-1,000]</t>
  </si>
  <si>
    <t>[2,000]</t>
  </si>
  <si>
    <t>Justice Information Sharing and Technology (JIST): Nationwide Suspicious Activity Reporting Initiative (NSI)</t>
  </si>
  <si>
    <t>Mentally Ill Offender Act Program /Mental Health Courts (replaced by Problem Solving Justice in FY 2012)</t>
  </si>
  <si>
    <t>Missing Alzheimer's Patient Alert Program</t>
  </si>
  <si>
    <t xml:space="preserve">National Criminal Records History Improvement Program (NCHIP) </t>
  </si>
  <si>
    <t>National Instant Criminal Background Check System (NICS)</t>
  </si>
  <si>
    <t>Northern Border Prosecutor Initiative</t>
  </si>
  <si>
    <t>Paul Coverdell Grants</t>
  </si>
  <si>
    <t>Preventing Violence Against Law Enforcement Officer Resilience and Survivability Initiative (VALOR)</t>
  </si>
  <si>
    <t>Problem Solving Courts (Drug, Mental Health, Other) / Problem Solving Justice</t>
  </si>
  <si>
    <t>Residential Substance Abuse Treatment</t>
  </si>
  <si>
    <t>Second Chance Act/Offender Re-entry</t>
  </si>
  <si>
    <t>Adult  Reentry Court Initiative</t>
  </si>
  <si>
    <t>Adult and Juvenile Offender State and Local Reentry Demonstration</t>
  </si>
  <si>
    <t>[37,000]</t>
  </si>
  <si>
    <t>[-37,000]</t>
  </si>
  <si>
    <t>Evaluation and Improvement of Education at Prisons, Jails and Juvenile Facilities</t>
  </si>
  <si>
    <t>[-2,500]</t>
  </si>
  <si>
    <t>Family-based Substance Abuse Treatment</t>
  </si>
  <si>
    <t>[-7,500]</t>
  </si>
  <si>
    <t>Mentoring Grants</t>
  </si>
  <si>
    <t>[-15,000]</t>
  </si>
  <si>
    <t>Offender Reentry Substance Abuse and Criminal Justice Collaboration</t>
  </si>
  <si>
    <t>[13,000]</t>
  </si>
  <si>
    <t>[-13,000]</t>
  </si>
  <si>
    <t>Prisoner Reentry Research</t>
  </si>
  <si>
    <t xml:space="preserve">Prosecution Drug Treatment Alternatives to Prison </t>
  </si>
  <si>
    <t>Reentry and Recidivism Statistics</t>
  </si>
  <si>
    <t>[1,700]</t>
  </si>
  <si>
    <t>Reentry Courts</t>
  </si>
  <si>
    <t>[9,000]</t>
  </si>
  <si>
    <t>Reentry Courts (State, local, and tribal)</t>
  </si>
  <si>
    <t>Smart Probation</t>
  </si>
  <si>
    <t>[7,000]</t>
  </si>
  <si>
    <t>Technology Careers Training Demonstration Grants</t>
  </si>
  <si>
    <t>Southwest Border Prosecutor Initiative</t>
  </si>
  <si>
    <t>S&amp;L Gun Crime Prosecution Assistance/Violent Gang and Gun Crime Reduction</t>
  </si>
  <si>
    <t>Comprehensive Tribal Grants Pilot Program</t>
  </si>
  <si>
    <t xml:space="preserve">Training Program to Assist Probation and Parole Officers </t>
  </si>
  <si>
    <t>Subtotal</t>
  </si>
  <si>
    <t>FY 2012 Increases/Offsets By Decision Unit</t>
  </si>
  <si>
    <t>Reprogramming / Transfers</t>
  </si>
  <si>
    <t>Byrne Formula Grants</t>
  </si>
  <si>
    <t>Cannabis Eradication</t>
  </si>
  <si>
    <t>COPS Program Transfer to OJP</t>
  </si>
  <si>
    <t>[12,000]</t>
  </si>
  <si>
    <t>JABG Formula</t>
  </si>
  <si>
    <t>President-Elect Security</t>
  </si>
  <si>
    <t>Presidential Inauguration Security &amp; Expenses</t>
  </si>
  <si>
    <t xml:space="preserve">National Instant Criminal Background Check System (NICS) </t>
  </si>
  <si>
    <t>ONDCP Program Transfer to OJP</t>
  </si>
  <si>
    <t>OVW Program Transfer to OJP</t>
  </si>
  <si>
    <t>Programs less than $500K</t>
  </si>
  <si>
    <t>Truth in Sentencing</t>
  </si>
  <si>
    <t>Other programs</t>
  </si>
  <si>
    <t>G: Crosswalk of 2011 Availability</t>
  </si>
  <si>
    <t>JAIBG Formula</t>
  </si>
  <si>
    <t>Other Programs</t>
  </si>
  <si>
    <t>Department of Commerce</t>
  </si>
  <si>
    <t>Office of the Director of National Intelligence</t>
  </si>
  <si>
    <t>Research on Violence Against Women in Indian Country</t>
  </si>
  <si>
    <t>41.0 Grants, subsidies, and contributions</t>
  </si>
  <si>
    <t>Reprogramming Transferred to Salaries and Expenses/ Transfers</t>
  </si>
  <si>
    <t>Transfers from COPS, OVW, and ONDCP</t>
  </si>
  <si>
    <t>Object Class 23.1 for GSA Rent should only include DIRECT rent requirements.  Reimbursable rent costs should be shown on the lower section of this Exhibit.  This object class should include GSA rent  without parking, GSA leased parking, surcharge, and any DOJ adjustments (i.e. O&amp;M for Main Justice).</t>
  </si>
  <si>
    <t>Object Class 23.2 should be used to report direct requirements for contract parking billed through DRMS, and any costs associated with moving expenses due to lease expirations.</t>
  </si>
  <si>
    <t>Object Class 25.3 should include DIRECT costs associated with DHS Security, Antennas leased through GSA, and any other service received from Government sources not reported in other object classes.  Reimbursable costs for DHS Security should be reported on this Exhibit.</t>
  </si>
  <si>
    <t>Increase/Decrease compares 2010 actual vs. 2012 request</t>
  </si>
  <si>
    <t>Weed and Seed Program Fund</t>
  </si>
  <si>
    <t>2010 Reprogramming transfer OJP/S&amp;E</t>
  </si>
  <si>
    <t>Weed and Seed Program</t>
  </si>
  <si>
    <t>Reprogramming transfer to OJP/S&amp;E</t>
  </si>
  <si>
    <t xml:space="preserve">Weed and Seed Program </t>
  </si>
  <si>
    <t>Reprogramming: $628,000 was transferred to the Salaries and Expenses Fund from the Weed and Seed Program Fund account.</t>
  </si>
  <si>
    <t>41.0  Grants, subsidies, and contributions</t>
  </si>
  <si>
    <t xml:space="preserve">Unobligated balance, end of year </t>
  </si>
  <si>
    <t>Unobligated balance (rescission)</t>
  </si>
  <si>
    <t>Technical Adjustment</t>
  </si>
  <si>
    <t>Restoration of Rescission</t>
  </si>
  <si>
    <t>Race to the Top-Style Juvenile Incentive System Improvement Grants</t>
  </si>
  <si>
    <t>Community-Based Violence Prevention Initiative</t>
  </si>
  <si>
    <t>Gang and Youth Violence Prevention and Intervention Initiatives</t>
  </si>
  <si>
    <t>National Forum on Youth Violence Prevention</t>
  </si>
  <si>
    <t>Juvenile Accountability Block Grant (JABG) Program</t>
  </si>
  <si>
    <t>Part B:  Formula Grants</t>
  </si>
  <si>
    <t>Safe Start Program</t>
  </si>
  <si>
    <t>Title V: Local Delinquency Prevention Incentive Grants</t>
  </si>
  <si>
    <t>VOCA - Improving Investigation and Prosecution of Child Abuse Program</t>
  </si>
  <si>
    <t xml:space="preserve">Youth Mentoring </t>
  </si>
  <si>
    <t>Part E</t>
  </si>
  <si>
    <t>Juvenile Accountability  Block Grant (JABG) Program</t>
  </si>
  <si>
    <t>Part B: Formula Grants</t>
  </si>
  <si>
    <t>Part E:  Dev., Testing, and Demonstrating Promising New Initiatives and Programs</t>
  </si>
  <si>
    <t>Title V:  Local Delinquency Prevention Incentive Grants</t>
  </si>
  <si>
    <t>Enforcing Underage Drinking Laws</t>
  </si>
  <si>
    <t>Gang Prevention</t>
  </si>
  <si>
    <t>Incentive Grants</t>
  </si>
  <si>
    <t>Trial Youth Program</t>
  </si>
  <si>
    <t>Regional Children's Advocacy Centers</t>
  </si>
  <si>
    <t>Domestic Radicalization Grants</t>
  </si>
  <si>
    <t>Juvenile Justice Programs</t>
  </si>
  <si>
    <t xml:space="preserve">VOCA - Improving Investigation and Prosecution of Child Abuse Program </t>
  </si>
  <si>
    <t>Part E: Dev., Testing, and Demonstrating Promising New Initiatives and Programs</t>
  </si>
  <si>
    <t>Drug Prevention Demonstration</t>
  </si>
  <si>
    <t>Formula Grants Technical Assistance (2% in Legislation)</t>
  </si>
  <si>
    <t>Part A: Concentration of Federal effort</t>
  </si>
  <si>
    <t>Part C: Institute</t>
  </si>
  <si>
    <t>Part D: Research Evaluation Technical Assistance and Training</t>
  </si>
  <si>
    <t>Title V</t>
  </si>
  <si>
    <t xml:space="preserve">  Enforcing Underage Drinking Laws</t>
  </si>
  <si>
    <t xml:space="preserve">  Gang Prevention</t>
  </si>
  <si>
    <t xml:space="preserve">  Incentive Grants</t>
  </si>
  <si>
    <t xml:space="preserve">  Tribal Youth Program</t>
  </si>
  <si>
    <t xml:space="preserve">  Regional Children's Advocacy Centers</t>
  </si>
  <si>
    <t>Youth Mentoring</t>
  </si>
  <si>
    <t>Other Programs Under $50K</t>
  </si>
  <si>
    <t>Enacted Rescissions:  $8,008,000 unobligated balance rescission as required by P. L. 111-117, Consolidated Appropriations Act, 2010.</t>
  </si>
  <si>
    <t>Reprogramming:  Congressional approval of ($5,122,302) to Salaries and Expenses</t>
  </si>
  <si>
    <t>Part A:Concentration of Federal Efforts</t>
  </si>
  <si>
    <t>Part D: Research, Evaluation Tech Assistance and Training</t>
  </si>
  <si>
    <t>JABG Research , Evaluation and Demonstration Program</t>
  </si>
  <si>
    <t>Race to the  Top-Style Juvenile Incentive System Improvement Grants</t>
  </si>
  <si>
    <t xml:space="preserve">Juvenile Accountability Block Grant (JABG) Program </t>
  </si>
  <si>
    <t>Grants, susidies, and contributions</t>
  </si>
  <si>
    <t>Public Safety Officers Benefits</t>
  </si>
  <si>
    <t>PSOB Death Benefits</t>
  </si>
  <si>
    <t>PSOB Disability and Education Benefits</t>
  </si>
  <si>
    <t xml:space="preserve">PSOB </t>
  </si>
  <si>
    <t>Insurance, claims, and indemnitites</t>
  </si>
  <si>
    <t>42.0  Insurance, claims, and indemnities</t>
  </si>
  <si>
    <t>CVF Cap Increase</t>
  </si>
  <si>
    <t>42.0  Grants, subsidies, and contributions</t>
  </si>
  <si>
    <t>end  of line</t>
  </si>
  <si>
    <r>
      <rPr>
        <b/>
        <i/>
        <sz val="12"/>
        <rFont val="Times New Roman"/>
        <family val="1"/>
      </rPr>
      <t>Status of Report</t>
    </r>
    <r>
      <rPr>
        <i/>
        <sz val="12"/>
        <rFont val="Times New Roman"/>
        <family val="1"/>
      </rPr>
      <t>:  Submitted with the FY 2011 President's Budget request</t>
    </r>
  </si>
  <si>
    <r>
      <rPr>
        <b/>
        <i/>
        <sz val="12"/>
        <rFont val="Times New Roman"/>
        <family val="1"/>
      </rPr>
      <t>Status of Report</t>
    </r>
    <r>
      <rPr>
        <i/>
        <sz val="12"/>
        <rFont val="Times New Roman"/>
        <family val="1"/>
      </rPr>
      <t>:  Ongoing</t>
    </r>
  </si>
  <si>
    <t>Status of Report:  Ongoing</t>
  </si>
  <si>
    <t>Administered by</t>
  </si>
  <si>
    <t>FY 2010 
Enacted</t>
  </si>
  <si>
    <t>FY 2011 Continuing Resolution</t>
  </si>
  <si>
    <t>FY 2012 Pres Bud vs FY 2011 Continuing Resolution</t>
  </si>
  <si>
    <t>--</t>
  </si>
  <si>
    <t>BJA</t>
  </si>
  <si>
    <t>Subtotal, S&amp;E</t>
  </si>
  <si>
    <t>BJS</t>
  </si>
  <si>
    <t>Redesign of the NCVS</t>
  </si>
  <si>
    <t>OJJDP</t>
  </si>
  <si>
    <t>NIJ</t>
  </si>
  <si>
    <t>DNA and Forensics</t>
  </si>
  <si>
    <t>Transfer - NIST/OLES</t>
  </si>
  <si>
    <t>State and Local Assistance Help Desk and Diagnostic Center (E2I)</t>
  </si>
  <si>
    <t>Subtotal, JA</t>
  </si>
  <si>
    <t>under cops</t>
  </si>
  <si>
    <t>CCDO</t>
  </si>
  <si>
    <t>COPS</t>
  </si>
  <si>
    <t>SMART</t>
  </si>
  <si>
    <t>Drug Courts (replaced by Problem Solving Courts in FY 2011)</t>
  </si>
  <si>
    <t>BJA/NIJ</t>
  </si>
  <si>
    <t>Mentally Ill Offender Act Program /Mental Health Courts (replaced by Problem Solving Courts in FY 2011)</t>
  </si>
  <si>
    <t>BJA/OJJDP</t>
  </si>
  <si>
    <t>BJS/OVC/BJA</t>
  </si>
  <si>
    <t>Total, State and Local Law Enforcement Asst</t>
  </si>
  <si>
    <t xml:space="preserve">Juvenile Justice Programs </t>
  </si>
  <si>
    <t xml:space="preserve">Safe Start Program </t>
  </si>
  <si>
    <t>OJJDP/BJA</t>
  </si>
  <si>
    <t>Tribal Youth Program</t>
  </si>
  <si>
    <t>Subtotal, JJ</t>
  </si>
  <si>
    <t>Public Safety Officers Disability Benefit Program</t>
  </si>
  <si>
    <t>TBD</t>
  </si>
  <si>
    <t>Public Safety Officers Education Assistance</t>
  </si>
  <si>
    <t>Subtotal, PSOB Discretionary</t>
  </si>
  <si>
    <t>OJP</t>
  </si>
  <si>
    <t>Supplemental PSOB Funding</t>
  </si>
  <si>
    <t>Subtotal, PSOB Mandatory</t>
  </si>
  <si>
    <t>OVC</t>
  </si>
  <si>
    <t>Crime Victims Fund * (Mandatory)</t>
  </si>
  <si>
    <t>Increased CVF Cap for Capacity-Building for Crime Victims Service Providers</t>
  </si>
  <si>
    <t xml:space="preserve">Capacity-Building Investments to Comprehensively Serve the Needs of Crime Victims </t>
  </si>
  <si>
    <t>Domestic Violence Shelter, Transitional Housing and Civil Legal Assistance (non-Tribal)</t>
  </si>
  <si>
    <t>Tribal Domestic Violence Shelter, Transitional Housing and Civil Legal Assistance</t>
  </si>
  <si>
    <t>Sexual Assault Services Set-aside</t>
  </si>
  <si>
    <t>Antiterrorism Emergency Reserve (non-mandatory, non-add)</t>
  </si>
  <si>
    <t>Total Crime Victims Fund (non add)</t>
  </si>
  <si>
    <t>Medical Malpractice Grants to States/Justice Assistance (Mandatory)</t>
  </si>
  <si>
    <t>Subtotal, Medical Malpractice</t>
  </si>
  <si>
    <t>Total, OJP Mandatory (PSOB and CVF)</t>
  </si>
  <si>
    <t>Total, OJP Discretionary/Mandatory</t>
  </si>
  <si>
    <t xml:space="preserve">Total OJP Programs Funded Under Violence Against Women </t>
  </si>
  <si>
    <t>Total OJP Programs Funded Under COPS</t>
  </si>
  <si>
    <t>Total, Transfers-in/Reimbursements</t>
  </si>
  <si>
    <t>OJP, Grand Total</t>
  </si>
  <si>
    <t xml:space="preserve">The following programs are listed for comparative and display purposes.  </t>
  </si>
  <si>
    <t xml:space="preserve">OJP Programs Funded Under Violence Against Women: </t>
  </si>
  <si>
    <t>under OJP</t>
  </si>
  <si>
    <t xml:space="preserve">NIJ Research and Eval Violence Against Women </t>
  </si>
  <si>
    <t>Total, VAW</t>
  </si>
  <si>
    <t xml:space="preserve">OJP Programs Funded Under COPS: </t>
  </si>
  <si>
    <t>Transfer to NIST/OLES</t>
  </si>
  <si>
    <t>Total, COPS</t>
  </si>
  <si>
    <r>
      <t>Salaries and Expenses</t>
    </r>
    <r>
      <rPr>
        <sz val="12"/>
        <rFont val="Times New Roman"/>
        <family val="1"/>
      </rPr>
      <t xml:space="preserve"> (including OAAM) </t>
    </r>
    <r>
      <rPr>
        <vertAlign val="superscript"/>
        <sz val="12"/>
        <rFont val="Times New Roman"/>
        <family val="1"/>
      </rPr>
      <t>1/</t>
    </r>
  </si>
  <si>
    <r>
      <t>Redesign and Development of Data Collection Programs for Indian Country</t>
    </r>
    <r>
      <rPr>
        <vertAlign val="superscript"/>
        <sz val="12"/>
        <rFont val="Times New Roman"/>
        <family val="1"/>
      </rPr>
      <t>8/</t>
    </r>
  </si>
  <si>
    <r>
      <t>Eliminating the Second Largest Cause of Line-of-Duty Deaths to Law Enforcement</t>
    </r>
    <r>
      <rPr>
        <i/>
        <vertAlign val="superscript"/>
        <sz val="12"/>
        <rFont val="Times New Roman"/>
        <family val="1"/>
      </rPr>
      <t>8/</t>
    </r>
  </si>
  <si>
    <r>
      <t>Inmate Reentry Evaluation</t>
    </r>
    <r>
      <rPr>
        <vertAlign val="superscript"/>
        <sz val="12"/>
        <rFont val="Times New Roman"/>
        <family val="1"/>
      </rPr>
      <t>8/</t>
    </r>
  </si>
  <si>
    <r>
      <t>Maximizing the Value of Forensic Evidence for the Criminal Justice System</t>
    </r>
    <r>
      <rPr>
        <i/>
        <vertAlign val="superscript"/>
        <sz val="12"/>
        <rFont val="Times New Roman"/>
        <family val="1"/>
      </rPr>
      <t>8/</t>
    </r>
  </si>
  <si>
    <r>
      <t>Measuring Crime Harms, Balancing the CJ System, and Saving Costs</t>
    </r>
    <r>
      <rPr>
        <i/>
        <vertAlign val="superscript"/>
        <sz val="12"/>
        <rFont val="Times New Roman"/>
        <family val="1"/>
      </rPr>
      <t>8/</t>
    </r>
  </si>
  <si>
    <r>
      <t>Indian Country Crime Research</t>
    </r>
    <r>
      <rPr>
        <i/>
        <vertAlign val="superscript"/>
        <sz val="12"/>
        <rFont val="Times New Roman"/>
        <family val="1"/>
      </rPr>
      <t>8/</t>
    </r>
  </si>
  <si>
    <r>
      <t>Research on Diversion Strategies</t>
    </r>
    <r>
      <rPr>
        <i/>
        <vertAlign val="superscript"/>
        <sz val="12"/>
        <rFont val="Times New Roman"/>
        <family val="1"/>
      </rPr>
      <t>8/</t>
    </r>
  </si>
  <si>
    <r>
      <t>Prescription Drug Monitoring Pilots and Evaluation</t>
    </r>
    <r>
      <rPr>
        <i/>
        <vertAlign val="superscript"/>
        <sz val="12"/>
        <rFont val="Times New Roman"/>
        <family val="1"/>
      </rPr>
      <t>8/</t>
    </r>
  </si>
  <si>
    <r>
      <t>Rape Kit Backlog Pilots</t>
    </r>
    <r>
      <rPr>
        <i/>
        <vertAlign val="superscript"/>
        <sz val="12"/>
        <rFont val="Times New Roman"/>
        <family val="1"/>
      </rPr>
      <t>8/</t>
    </r>
  </si>
  <si>
    <r>
      <t>Domestic Radicalization Research</t>
    </r>
    <r>
      <rPr>
        <i/>
        <vertAlign val="superscript"/>
        <sz val="12"/>
        <rFont val="Times New Roman"/>
        <family val="1"/>
      </rPr>
      <t>8/</t>
    </r>
  </si>
  <si>
    <r>
      <t xml:space="preserve">Child Abuse Training Programs for Judicial Personnel and Practitioners </t>
    </r>
    <r>
      <rPr>
        <vertAlign val="superscript"/>
        <sz val="12"/>
        <rFont val="Times New Roman"/>
        <family val="1"/>
      </rPr>
      <t>2/</t>
    </r>
  </si>
  <si>
    <r>
      <t>Children Exposed to Violence</t>
    </r>
    <r>
      <rPr>
        <vertAlign val="superscript"/>
        <sz val="12"/>
        <rFont val="Times New Roman"/>
        <family val="1"/>
      </rPr>
      <t>6/</t>
    </r>
  </si>
  <si>
    <r>
      <t xml:space="preserve">Court Appointed Special Advocate Program </t>
    </r>
    <r>
      <rPr>
        <vertAlign val="superscript"/>
        <sz val="12"/>
        <rFont val="Times New Roman"/>
        <family val="1"/>
      </rPr>
      <t>2/</t>
    </r>
  </si>
  <si>
    <r>
      <t>Grants for the Closed Circuit Televising of Testimony of Children</t>
    </r>
    <r>
      <rPr>
        <vertAlign val="superscript"/>
        <sz val="12"/>
        <rFont val="Times New Roman"/>
        <family val="1"/>
      </rPr>
      <t xml:space="preserve"> 2/</t>
    </r>
  </si>
  <si>
    <r>
      <t xml:space="preserve">Indian Country Initiatives </t>
    </r>
    <r>
      <rPr>
        <vertAlign val="superscript"/>
        <sz val="12"/>
        <rFont val="Times New Roman"/>
        <family val="1"/>
      </rPr>
      <t>4/</t>
    </r>
  </si>
  <si>
    <r>
      <t>National Criminal Records History Improvement Program (NCHIP)</t>
    </r>
    <r>
      <rPr>
        <vertAlign val="superscript"/>
        <sz val="12"/>
        <rFont val="Times New Roman"/>
        <family val="1"/>
      </rPr>
      <t xml:space="preserve"> 3/</t>
    </r>
  </si>
  <si>
    <r>
      <t xml:space="preserve">National Instant Criminal Background Check System (NICS) </t>
    </r>
    <r>
      <rPr>
        <vertAlign val="superscript"/>
        <sz val="12"/>
        <rFont val="Times New Roman"/>
        <family val="1"/>
      </rPr>
      <t>3/</t>
    </r>
  </si>
  <si>
    <r>
      <t xml:space="preserve">Research on Violence Against Women in Indian Country </t>
    </r>
    <r>
      <rPr>
        <vertAlign val="superscript"/>
        <sz val="12"/>
        <rFont val="Times New Roman"/>
        <family val="1"/>
      </rPr>
      <t>2/</t>
    </r>
  </si>
  <si>
    <r>
      <t xml:space="preserve">Second Chance Act/Offender Re-entry </t>
    </r>
    <r>
      <rPr>
        <vertAlign val="superscript"/>
        <sz val="12"/>
        <rFont val="Times New Roman"/>
        <family val="1"/>
      </rPr>
      <t xml:space="preserve">3/ </t>
    </r>
  </si>
  <si>
    <r>
      <t xml:space="preserve">S&amp;L Gun Crime Prosecution Assistance/Violent Gang and Gun Crime Reduction </t>
    </r>
    <r>
      <rPr>
        <vertAlign val="superscript"/>
        <sz val="12"/>
        <rFont val="Times New Roman"/>
        <family val="1"/>
      </rPr>
      <t>3/</t>
    </r>
  </si>
  <si>
    <r>
      <t xml:space="preserve">Training Program to Assist Probation and Parole Officers </t>
    </r>
    <r>
      <rPr>
        <vertAlign val="superscript"/>
        <sz val="12"/>
        <rFont val="Times New Roman"/>
        <family val="1"/>
      </rPr>
      <t>2/ 7/</t>
    </r>
  </si>
  <si>
    <r>
      <t xml:space="preserve">VAWA II National Stalker and Domestic Violence Reduction Program </t>
    </r>
    <r>
      <rPr>
        <vertAlign val="superscript"/>
        <sz val="12"/>
        <rFont val="Times New Roman"/>
        <family val="1"/>
      </rPr>
      <t>2/</t>
    </r>
  </si>
  <si>
    <r>
      <t xml:space="preserve">Disproportionate Minority Contact Evaluation and Pilot Program </t>
    </r>
    <r>
      <rPr>
        <vertAlign val="superscript"/>
        <sz val="12"/>
        <rFont val="Times New Roman"/>
        <family val="1"/>
      </rPr>
      <t>7/</t>
    </r>
  </si>
  <si>
    <r>
      <t xml:space="preserve">Juvenile Accountability Block Grant (JABG) Program </t>
    </r>
    <r>
      <rPr>
        <vertAlign val="superscript"/>
        <sz val="12"/>
        <rFont val="Times New Roman"/>
        <family val="1"/>
      </rPr>
      <t>7/</t>
    </r>
  </si>
  <si>
    <r>
      <t xml:space="preserve">National Juvenile Delinquency Court Improvement Program </t>
    </r>
    <r>
      <rPr>
        <vertAlign val="superscript"/>
        <sz val="12"/>
        <rFont val="Times New Roman"/>
        <family val="1"/>
      </rPr>
      <t>7/</t>
    </r>
  </si>
  <si>
    <r>
      <t xml:space="preserve">Part B: Formula Grants </t>
    </r>
    <r>
      <rPr>
        <vertAlign val="superscript"/>
        <sz val="12"/>
        <rFont val="Times New Roman"/>
        <family val="1"/>
      </rPr>
      <t>7/</t>
    </r>
  </si>
  <si>
    <r>
      <t>Total, OJP Discretionary</t>
    </r>
    <r>
      <rPr>
        <sz val="12"/>
        <rFont val="Times New Roman"/>
        <family val="1"/>
      </rPr>
      <t xml:space="preserve"> (including S&amp;E)</t>
    </r>
  </si>
  <si>
    <r>
      <t xml:space="preserve">New Flexible Tribal Grant - 7% Set Aside </t>
    </r>
    <r>
      <rPr>
        <i/>
        <vertAlign val="superscript"/>
        <sz val="12"/>
        <rFont val="Times New Roman"/>
        <family val="1"/>
      </rPr>
      <t>4/</t>
    </r>
  </si>
  <si>
    <r>
      <t xml:space="preserve">Research, Evaluation, and Statistics - 3% Set Aside </t>
    </r>
    <r>
      <rPr>
        <i/>
        <vertAlign val="superscript"/>
        <sz val="12"/>
        <rFont val="Times New Roman"/>
        <family val="1"/>
      </rPr>
      <t>5/</t>
    </r>
  </si>
  <si>
    <r>
      <t>Public Safety Officers Benefits (Death Mandatory)</t>
    </r>
    <r>
      <rPr>
        <b/>
        <sz val="12"/>
        <color indexed="9"/>
        <rFont val="Times New Roman"/>
        <family val="1"/>
      </rPr>
      <t xml:space="preserve"> </t>
    </r>
    <r>
      <rPr>
        <b/>
        <vertAlign val="superscript"/>
        <sz val="12"/>
        <color indexed="9"/>
        <rFont val="Times New Roman"/>
        <family val="1"/>
      </rPr>
      <t>15/</t>
    </r>
  </si>
  <si>
    <r>
      <t xml:space="preserve">Rescission (from Unobligated Balances) </t>
    </r>
    <r>
      <rPr>
        <sz val="12"/>
        <color indexed="9"/>
        <rFont val="Times New Roman"/>
        <family val="1"/>
      </rPr>
      <t>*</t>
    </r>
  </si>
  <si>
    <r>
      <t xml:space="preserve">Training Program to Assist Probation and Parole Officers </t>
    </r>
    <r>
      <rPr>
        <vertAlign val="superscript"/>
        <sz val="12"/>
        <rFont val="Times New Roman"/>
        <family val="1"/>
      </rPr>
      <t>2/</t>
    </r>
  </si>
  <si>
    <r>
      <t>National Criminal Records History Improvement Program</t>
    </r>
    <r>
      <rPr>
        <vertAlign val="superscript"/>
        <sz val="12"/>
        <rFont val="Times New Roman"/>
        <family val="1"/>
      </rPr>
      <t xml:space="preserve"> 3/</t>
    </r>
  </si>
  <si>
    <r>
      <t xml:space="preserve">Paul Coverdell Grants </t>
    </r>
    <r>
      <rPr>
        <vertAlign val="superscript"/>
        <sz val="12"/>
        <rFont val="Times New Roman"/>
        <family val="1"/>
      </rPr>
      <t>3/</t>
    </r>
  </si>
  <si>
    <r>
      <t>*</t>
    </r>
    <r>
      <rPr>
        <sz val="10"/>
        <rFont val="Times New Roman"/>
        <family val="1"/>
      </rPr>
      <t>In addition to the funding levels provided for the Crime Victims Fund, there is $50 million available for the Antiterrorism Reserve carried over from prior year balances.</t>
    </r>
  </si>
  <si>
    <r>
      <t xml:space="preserve">1/ </t>
    </r>
    <r>
      <rPr>
        <sz val="10"/>
        <rFont val="Times New Roman"/>
        <family val="1"/>
      </rPr>
      <t xml:space="preserve"> In FYs 2009 and 2010, $21.0 million is provided for the Office of Audit, Assessment and Management (OAAM).</t>
    </r>
  </si>
  <si>
    <r>
      <t xml:space="preserve">5/ </t>
    </r>
    <r>
      <rPr>
        <sz val="10"/>
        <rFont val="Times New Roman"/>
        <family val="1"/>
      </rPr>
      <t>In FY 2011, OJP proposes to create a 3 percent set-aside for research, evaluation, or statistical purposes.</t>
    </r>
  </si>
  <si>
    <r>
      <rPr>
        <vertAlign val="superscript"/>
        <sz val="10"/>
        <rFont val="Times New Roman"/>
        <family val="1"/>
      </rPr>
      <t>7/</t>
    </r>
    <r>
      <rPr>
        <sz val="10"/>
        <rFont val="Times New Roman"/>
        <family val="1"/>
      </rPr>
      <t xml:space="preserve"> Consolidated with Race to the Top-Style Juvenile Incentive System Improvement Grants Program</t>
    </r>
  </si>
  <si>
    <r>
      <rPr>
        <vertAlign val="superscript"/>
        <sz val="10"/>
        <rFont val="Times New Roman"/>
        <family val="1"/>
      </rPr>
      <t>8/</t>
    </r>
    <r>
      <rPr>
        <sz val="10"/>
        <rFont val="Times New Roman"/>
        <family val="1"/>
      </rPr>
      <t xml:space="preserve"> This program will be funded from the 3% set-aside for Research, Evaluation, and Statistics.</t>
    </r>
  </si>
  <si>
    <r>
      <t xml:space="preserve">2/ </t>
    </r>
    <r>
      <rPr>
        <sz val="10"/>
        <rFont val="Times New Roman"/>
        <family val="1"/>
      </rPr>
      <t>In FY 2010, funding for most of these programs was appropriated to OJP, while the remaining $3.0 million is anticipated for transfer to OJP.   In FY 2012, OJP is requesting funding for these programs within the State and Local Law Enforcement Assistance account.</t>
    </r>
  </si>
  <si>
    <r>
      <t>3</t>
    </r>
    <r>
      <rPr>
        <sz val="10"/>
        <rFont val="Times New Roman"/>
        <family val="1"/>
      </rPr>
      <t>In FY 2010, funding for most of these programs was appropriated to OJP, while the remaining $203.0 million is anticipated for transfer to OJP.   In FY 2012, OJP is requesting funding for these programs within the State and Local Law Enforcement Assistance account.</t>
    </r>
  </si>
  <si>
    <r>
      <t xml:space="preserve">4/ </t>
    </r>
    <r>
      <rPr>
        <sz val="10"/>
        <rFont val="Times New Roman"/>
        <family val="1"/>
      </rPr>
      <t>In FY 2012, OJP proposes to create a 7 percent set-aside for tribal criminal justice assistance.</t>
    </r>
  </si>
  <si>
    <t>FY 2012 President's Budget Request</t>
  </si>
  <si>
    <r>
      <t xml:space="preserve">6/ </t>
    </r>
    <r>
      <rPr>
        <sz val="10"/>
        <rFont val="Times New Roman"/>
        <family val="1"/>
      </rPr>
      <t>The Children Exposed to Violence program will be jointly  managed by BJA, OJJDP, NIJ, and BJS, and OVC.</t>
    </r>
  </si>
  <si>
    <t>Personnel and Essential IT Resources for OJP Operations</t>
  </si>
  <si>
    <t xml:space="preserve">     Subtotal Offsets</t>
  </si>
  <si>
    <t>Realignment to S&amp;E from OAAM</t>
  </si>
  <si>
    <t>Realignment from OAAM to S&amp;E</t>
  </si>
  <si>
    <t>National Crime Victimization Survey (NCVS)</t>
  </si>
  <si>
    <t>National Sex Offender Public Website (NSOPW)</t>
  </si>
  <si>
    <t>Restoration  of Base/Costs Previously Distributed to Programs</t>
  </si>
  <si>
    <t>2010 Actuals</t>
  </si>
  <si>
    <t>Transfer of Regional Information Sharing System (RISS) to the State and Local Law Enforcement Account</t>
  </si>
  <si>
    <t>ARRA</t>
  </si>
  <si>
    <t xml:space="preserve">2011 - 2012 Increase/Decrease </t>
  </si>
  <si>
    <t>Enacted Rescissions: $42M unobligated balance rescission as required by P.L. 111-117, Consolidated Appropriations Act, 2010.</t>
  </si>
  <si>
    <t>Reprogramming: Congressional approval of ($19,818,202.64) to Salaries and Expenses with transfers of $207,500.</t>
  </si>
  <si>
    <t>Enacted Rescissions: $44M unobligated balance rescission as required by P.L. 111-117, Consolidated Appropriations Act, 2010.</t>
  </si>
  <si>
    <r>
      <t>Annualization of 2010 Pay Raise.</t>
    </r>
    <r>
      <rPr>
        <sz val="9"/>
        <rFont val="Times New Roman"/>
        <family val="1"/>
      </rPr>
      <t xml:space="preserve"> This pay annualization represents the first quarter amounts (October through December) of the 2010 pay increase of 2.0 percent, for which funds were not provided under the FY 2011 CR. Together with the resources provided in 2010 for the pay raise, the 357,000 requested represents the pay requirements for the full year of the 2010 enacted pay raise. (</t>
    </r>
    <r>
      <rPr>
        <u/>
        <sz val="9"/>
        <rFont val="Times New Roman"/>
        <family val="1"/>
      </rPr>
      <t>$325K</t>
    </r>
    <r>
      <rPr>
        <sz val="9"/>
        <rFont val="Times New Roman"/>
        <family val="1"/>
      </rPr>
      <t xml:space="preserve"> for pay and </t>
    </r>
    <r>
      <rPr>
        <u/>
        <sz val="9"/>
        <rFont val="Times New Roman"/>
        <family val="1"/>
      </rPr>
      <t>$32K</t>
    </r>
    <r>
      <rPr>
        <sz val="9"/>
        <rFont val="Times New Roman"/>
        <family val="1"/>
      </rPr>
      <t xml:space="preserve"> for benefits)</t>
    </r>
  </si>
  <si>
    <t>Regional Information Sharing System</t>
  </si>
  <si>
    <t>Restore and Reserve Fund</t>
  </si>
  <si>
    <t xml:space="preserve">Carryforward/Recoveries: $82,964,523.61 is direct carryover and $43,468,234.63 is direct recoveries and refunds. </t>
  </si>
  <si>
    <t>Carryforward/Recoveries: $75,185,033.08 is direct carryover and $4,395,000 is direct recoveries.</t>
  </si>
  <si>
    <t xml:space="preserve">Carryforward/Recoveries: $4,035,283.96 is direct carryover, $9,809,847.09 is direct recoveries, and $1,422,383 are refunds. </t>
  </si>
  <si>
    <t>Carryforward/Recoveries: $9,675,843.76 is direct carryover and $730,145.05 is direct recoveries.</t>
  </si>
  <si>
    <t xml:space="preserve">Victim Notification System (SAVIN) </t>
  </si>
  <si>
    <t xml:space="preserve">State and Local Assistance Help Desk and Diagnostic Center (E21) </t>
  </si>
  <si>
    <t>Grants to States for Medical Malpractice Reform</t>
  </si>
  <si>
    <t>`</t>
  </si>
</sst>
</file>

<file path=xl/styles.xml><?xml version="1.0" encoding="utf-8"?>
<styleSheet xmlns="http://schemas.openxmlformats.org/spreadsheetml/2006/main">
  <numFmts count="13">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111">
    <font>
      <sz val="12"/>
      <name val="Arial"/>
    </font>
    <font>
      <u/>
      <sz val="12"/>
      <name val="TimesNewRomanPS"/>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9"/>
      <color indexed="8"/>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2"/>
      <color indexed="8"/>
      <name val="TMS"/>
    </font>
    <font>
      <u/>
      <sz val="12"/>
      <color indexed="8"/>
      <name val="TMS"/>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b/>
      <u/>
      <sz val="14"/>
      <name val="Arial"/>
      <family val="2"/>
    </font>
    <font>
      <sz val="14"/>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8"/>
      <name val="Arial"/>
      <family val="2"/>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u/>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b/>
      <u/>
      <sz val="12"/>
      <name val="Times New Roman"/>
      <family val="1"/>
    </font>
    <font>
      <sz val="10"/>
      <name val="Arial"/>
      <family val="2"/>
    </font>
    <font>
      <sz val="10"/>
      <color indexed="9"/>
      <name val="Arial"/>
      <family val="2"/>
    </font>
    <font>
      <sz val="11"/>
      <name val="Times New Roman"/>
      <family val="1"/>
    </font>
    <font>
      <sz val="20"/>
      <color indexed="9"/>
      <name val="Arial"/>
      <family val="2"/>
    </font>
    <font>
      <sz val="12"/>
      <color theme="0"/>
      <name val="Arial"/>
      <family val="2"/>
    </font>
    <font>
      <sz val="16"/>
      <color indexed="8"/>
      <name val="Times New Roman"/>
      <family val="1"/>
    </font>
    <font>
      <b/>
      <sz val="10"/>
      <color rgb="FFFF0000"/>
      <name val="Times New Roman"/>
      <family val="1"/>
    </font>
    <font>
      <b/>
      <i/>
      <sz val="12"/>
      <name val="Times New Roman"/>
      <family val="1"/>
    </font>
    <font>
      <sz val="12"/>
      <color theme="1"/>
      <name val="Times New Roman"/>
      <family val="1"/>
    </font>
    <font>
      <i/>
      <sz val="8"/>
      <color indexed="9"/>
      <name val="Times New Roman"/>
      <family val="1"/>
    </font>
    <font>
      <sz val="12"/>
      <color theme="0" tint="0.79998168889431442"/>
      <name val="Times New Roman"/>
      <family val="1"/>
    </font>
    <font>
      <vertAlign val="superscript"/>
      <sz val="12"/>
      <name val="Times New Roman"/>
      <family val="1"/>
    </font>
    <font>
      <b/>
      <sz val="12"/>
      <color indexed="9"/>
      <name val="Times New Roman"/>
      <family val="1"/>
    </font>
    <font>
      <i/>
      <vertAlign val="superscript"/>
      <sz val="12"/>
      <name val="Times New Roman"/>
      <family val="1"/>
    </font>
    <font>
      <b/>
      <sz val="12"/>
      <color rgb="FFFF0000"/>
      <name val="Times New Roman"/>
      <family val="1"/>
    </font>
    <font>
      <sz val="10"/>
      <color indexed="10"/>
      <name val="Times New Roman"/>
      <family val="1"/>
    </font>
    <font>
      <sz val="12"/>
      <color indexed="10"/>
      <name val="Times New Roman"/>
      <family val="1"/>
    </font>
    <font>
      <b/>
      <sz val="12"/>
      <color indexed="10"/>
      <name val="Times New Roman"/>
      <family val="1"/>
    </font>
    <font>
      <b/>
      <vertAlign val="superscript"/>
      <sz val="12"/>
      <color indexed="9"/>
      <name val="Times New Roman"/>
      <family val="1"/>
    </font>
    <font>
      <b/>
      <sz val="10"/>
      <color indexed="10"/>
      <name val="Times New Roman"/>
      <family val="1"/>
    </font>
    <font>
      <vertAlign val="superscript"/>
      <sz val="10"/>
      <name val="Times New Roman"/>
      <family val="1"/>
    </font>
    <font>
      <b/>
      <sz val="8"/>
      <color indexed="81"/>
      <name val="Tahoma"/>
      <family val="2"/>
    </font>
    <font>
      <sz val="8"/>
      <color theme="0"/>
      <name val="Times New Roman"/>
      <family val="1"/>
    </font>
    <font>
      <sz val="12"/>
      <color theme="0"/>
      <name val="Times New Roman"/>
      <family val="1"/>
    </font>
    <font>
      <sz val="10"/>
      <color theme="0"/>
      <name val="Arial"/>
      <family val="2"/>
    </font>
    <font>
      <sz val="14"/>
      <color theme="0"/>
      <name val="Times New Roman"/>
      <family val="1"/>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7"/>
        <bgColor indexed="64"/>
      </patternFill>
    </fill>
    <fill>
      <patternFill patternType="solid">
        <fgColor indexed="13"/>
        <bgColor indexed="64"/>
      </patternFill>
    </fill>
    <fill>
      <patternFill patternType="solid">
        <fgColor rgb="FFFFFF00"/>
        <bgColor indexed="64"/>
      </patternFill>
    </fill>
    <fill>
      <patternFill patternType="solid">
        <fgColor indexed="22"/>
        <bgColor indexed="64"/>
      </patternFill>
    </fill>
  </fills>
  <borders count="22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right style="medium">
        <color indexed="64"/>
      </right>
      <top/>
      <bottom style="hair">
        <color indexed="8"/>
      </bottom>
      <diagonal/>
    </border>
    <border>
      <left/>
      <right style="medium">
        <color indexed="8"/>
      </right>
      <top/>
      <bottom style="hair">
        <color indexed="8"/>
      </bottom>
      <diagonal/>
    </border>
    <border>
      <left style="thin">
        <color indexed="8"/>
      </left>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style="hair">
        <color indexed="8"/>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thin">
        <color indexed="8"/>
      </right>
      <top/>
      <bottom/>
      <diagonal/>
    </border>
    <border>
      <left/>
      <right style="medium">
        <color indexed="64"/>
      </right>
      <top/>
      <bottom/>
      <diagonal/>
    </border>
    <border>
      <left style="thin">
        <color indexed="8"/>
      </left>
      <right/>
      <top/>
      <bottom style="thin">
        <color indexed="64"/>
      </bottom>
      <diagonal/>
    </border>
    <border>
      <left/>
      <right style="thin">
        <color indexed="8"/>
      </right>
      <top/>
      <bottom style="thin">
        <color indexed="64"/>
      </bottom>
      <diagonal/>
    </border>
    <border>
      <left/>
      <right style="medium">
        <color indexed="64"/>
      </right>
      <top/>
      <bottom style="thin">
        <color indexed="64"/>
      </bottom>
      <diagonal/>
    </border>
    <border>
      <left/>
      <right style="thin">
        <color indexed="8"/>
      </right>
      <top style="thin">
        <color indexed="64"/>
      </top>
      <bottom/>
      <diagonal/>
    </border>
    <border>
      <left/>
      <right style="medium">
        <color indexed="8"/>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top style="thin">
        <color indexed="64"/>
      </top>
      <bottom/>
      <diagonal/>
    </border>
    <border>
      <left/>
      <right style="thin">
        <color indexed="8"/>
      </right>
      <top style="hair">
        <color indexed="23"/>
      </top>
      <bottom style="hair">
        <color indexed="8"/>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style="thin">
        <color indexed="23"/>
      </top>
      <bottom style="hair">
        <color indexed="64"/>
      </bottom>
      <diagonal/>
    </border>
    <border>
      <left style="thin">
        <color indexed="8"/>
      </left>
      <right style="thin">
        <color indexed="8"/>
      </right>
      <top style="hair">
        <color indexed="8"/>
      </top>
      <bottom style="thin">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64"/>
      </bottom>
      <diagonal/>
    </border>
    <border>
      <left/>
      <right style="medium">
        <color indexed="8"/>
      </right>
      <top style="thin">
        <color indexed="8"/>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style="thin">
        <color indexed="64"/>
      </right>
      <top/>
      <bottom style="medium">
        <color indexed="64"/>
      </bottom>
      <diagonal/>
    </border>
    <border>
      <left style="thin">
        <color indexed="64"/>
      </left>
      <right/>
      <top/>
      <bottom style="thin">
        <color indexed="8"/>
      </bottom>
      <diagonal/>
    </border>
    <border>
      <left/>
      <right/>
      <top/>
      <bottom style="thin">
        <color indexed="8"/>
      </bottom>
      <diagonal/>
    </border>
    <border>
      <left/>
      <right/>
      <top style="thin">
        <color indexed="23"/>
      </top>
      <bottom style="hair">
        <color indexed="64"/>
      </bottom>
      <diagonal/>
    </border>
    <border>
      <left/>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8"/>
      </top>
      <bottom/>
      <diagonal/>
    </border>
    <border>
      <left style="thin">
        <color indexed="8"/>
      </left>
      <right/>
      <top/>
      <bottom style="thin">
        <color indexed="8"/>
      </bottom>
      <diagonal/>
    </border>
    <border>
      <left/>
      <right style="medium">
        <color indexed="8"/>
      </right>
      <top/>
      <bottom style="thin">
        <color indexed="8"/>
      </bottom>
      <diagonal/>
    </border>
    <border>
      <left/>
      <right/>
      <top style="medium">
        <color indexed="8"/>
      </top>
      <bottom/>
      <diagonal/>
    </border>
    <border>
      <left/>
      <right style="thin">
        <color indexed="64"/>
      </right>
      <top style="medium">
        <color indexed="8"/>
      </top>
      <bottom/>
      <diagonal/>
    </border>
    <border>
      <left style="thin">
        <color indexed="8"/>
      </left>
      <right style="thin">
        <color indexed="8"/>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23"/>
      </top>
      <bottom style="hair">
        <color indexed="64"/>
      </bottom>
      <diagonal/>
    </border>
    <border>
      <left style="thin">
        <color indexed="8"/>
      </left>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style="thin">
        <color indexed="8"/>
      </left>
      <right style="thin">
        <color indexed="8"/>
      </right>
      <top/>
      <bottom/>
      <diagonal/>
    </border>
    <border>
      <left/>
      <right/>
      <top style="thin">
        <color indexed="8"/>
      </top>
      <bottom style="medium">
        <color indexed="64"/>
      </bottom>
      <diagonal/>
    </border>
    <border>
      <left/>
      <right style="thin">
        <color indexed="64"/>
      </right>
      <top style="thin">
        <color indexed="8"/>
      </top>
      <bottom style="medium">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style="thin">
        <color indexed="8"/>
      </top>
      <bottom style="medium">
        <color indexed="64"/>
      </bottom>
      <diagonal/>
    </border>
    <border>
      <left/>
      <right style="thin">
        <color indexed="64"/>
      </right>
      <top style="thin">
        <color indexed="64"/>
      </top>
      <bottom style="medium">
        <color indexed="8"/>
      </bottom>
      <diagonal/>
    </border>
    <border>
      <left style="thin">
        <color indexed="64"/>
      </left>
      <right style="thin">
        <color indexed="64"/>
      </right>
      <top style="thin">
        <color indexed="23"/>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23"/>
      </bottom>
      <diagonal/>
    </border>
    <border>
      <left style="thin">
        <color indexed="64"/>
      </left>
      <right style="thin">
        <color indexed="64"/>
      </right>
      <top style="hair">
        <color indexed="64"/>
      </top>
      <bottom/>
      <diagonal/>
    </border>
    <border>
      <left style="medium">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style="thin">
        <color indexed="64"/>
      </left>
      <right/>
      <top style="thin">
        <color indexed="64"/>
      </top>
      <bottom style="medium">
        <color indexed="64"/>
      </bottom>
      <diagonal/>
    </border>
    <border>
      <left style="medium">
        <color indexed="8"/>
      </left>
      <right style="thin">
        <color indexed="8"/>
      </right>
      <top style="hair">
        <color indexed="8"/>
      </top>
      <bottom style="thin">
        <color indexed="64"/>
      </bottom>
      <diagonal/>
    </border>
    <border>
      <left style="medium">
        <color indexed="8"/>
      </left>
      <right/>
      <top/>
      <bottom style="medium">
        <color indexed="8"/>
      </bottom>
      <diagonal/>
    </border>
    <border>
      <left style="thin">
        <color indexed="64"/>
      </left>
      <right/>
      <top style="thin">
        <color indexed="8"/>
      </top>
      <bottom style="medium">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8"/>
      </left>
      <right style="thin">
        <color indexed="8"/>
      </right>
      <top style="hair">
        <color indexed="8"/>
      </top>
      <bottom style="medium">
        <color indexed="8"/>
      </bottom>
      <diagonal/>
    </border>
    <border>
      <left/>
      <right style="thin">
        <color indexed="8"/>
      </right>
      <top/>
      <bottom style="medium">
        <color indexed="8"/>
      </bottom>
      <diagonal/>
    </border>
    <border>
      <left/>
      <right/>
      <top/>
      <bottom style="medium">
        <color indexed="8"/>
      </bottom>
      <diagonal/>
    </border>
    <border>
      <left/>
      <right style="thin">
        <color indexed="64"/>
      </right>
      <top/>
      <bottom style="medium">
        <color indexed="8"/>
      </bottom>
      <diagonal/>
    </border>
    <border>
      <left style="thin">
        <color indexed="64"/>
      </left>
      <right/>
      <top/>
      <bottom style="medium">
        <color indexed="8"/>
      </bottom>
      <diagonal/>
    </border>
    <border>
      <left/>
      <right/>
      <top style="thin">
        <color indexed="8"/>
      </top>
      <bottom style="thin">
        <color indexed="64"/>
      </bottom>
      <diagonal/>
    </border>
    <border>
      <left style="thin">
        <color indexed="8"/>
      </left>
      <right style="thin">
        <color indexed="8"/>
      </right>
      <top style="thin">
        <color indexed="8"/>
      </top>
      <bottom/>
      <diagonal/>
    </border>
    <border>
      <left/>
      <right style="thin">
        <color indexed="64"/>
      </right>
      <top style="thin">
        <color indexed="23"/>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8"/>
      </right>
      <top/>
      <bottom/>
      <diagonal/>
    </border>
    <border>
      <left style="thin">
        <color indexed="64"/>
      </left>
      <right/>
      <top style="thin">
        <color indexed="64"/>
      </top>
      <bottom style="thin">
        <color indexed="8"/>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style="hair">
        <color indexed="23"/>
      </bottom>
      <diagonal/>
    </border>
    <border>
      <left/>
      <right style="thin">
        <color indexed="64"/>
      </right>
      <top style="thin">
        <color indexed="8"/>
      </top>
      <bottom/>
      <diagonal/>
    </border>
    <border>
      <left/>
      <right style="thin">
        <color indexed="64"/>
      </right>
      <top style="thin">
        <color indexed="8"/>
      </top>
      <bottom style="medium">
        <color indexed="8"/>
      </bottom>
      <diagonal/>
    </border>
    <border>
      <left style="thin">
        <color indexed="64"/>
      </left>
      <right/>
      <top style="thin">
        <color indexed="8"/>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8"/>
      </right>
      <top style="medium">
        <color indexed="64"/>
      </top>
      <bottom style="thin">
        <color indexed="64"/>
      </bottom>
      <diagonal/>
    </border>
    <border>
      <left/>
      <right style="thin">
        <color indexed="64"/>
      </right>
      <top style="medium">
        <color indexed="8"/>
      </top>
      <bottom style="thin">
        <color indexed="8"/>
      </bottom>
      <diagonal/>
    </border>
    <border>
      <left style="thin">
        <color indexed="8"/>
      </left>
      <right/>
      <top style="medium">
        <color indexed="64"/>
      </top>
      <bottom style="thin">
        <color indexed="64"/>
      </bottom>
      <diagonal/>
    </border>
    <border>
      <left style="medium">
        <color indexed="8"/>
      </left>
      <right/>
      <top style="medium">
        <color indexed="8"/>
      </top>
      <bottom/>
      <diagonal/>
    </border>
    <border>
      <left style="medium">
        <color indexed="8"/>
      </left>
      <right style="thin">
        <color indexed="64"/>
      </right>
      <top style="medium">
        <color indexed="8"/>
      </top>
      <bottom style="medium">
        <color indexed="8"/>
      </bottom>
      <diagonal/>
    </border>
  </borders>
  <cellStyleXfs count="17">
    <xf numFmtId="0" fontId="0" fillId="0" borderId="0"/>
    <xf numFmtId="43" fontId="21" fillId="0" borderId="0" applyFont="0" applyFill="0" applyBorder="0" applyAlignment="0" applyProtection="0"/>
    <xf numFmtId="43" fontId="16" fillId="0" borderId="0" applyFont="0" applyFill="0" applyBorder="0" applyAlignment="0" applyProtection="0"/>
    <xf numFmtId="44" fontId="21" fillId="0" borderId="0" applyFont="0" applyFill="0" applyBorder="0" applyAlignment="0" applyProtection="0"/>
    <xf numFmtId="44" fontId="16" fillId="0" borderId="0" applyFont="0" applyFill="0" applyBorder="0" applyAlignment="0" applyProtection="0"/>
    <xf numFmtId="0" fontId="15" fillId="0" borderId="0"/>
    <xf numFmtId="0" fontId="85" fillId="0" borderId="0"/>
    <xf numFmtId="0" fontId="16" fillId="0" borderId="0"/>
    <xf numFmtId="0" fontId="21" fillId="0" borderId="0"/>
    <xf numFmtId="0" fontId="21" fillId="0" borderId="0"/>
    <xf numFmtId="0" fontId="21" fillId="0" borderId="0"/>
    <xf numFmtId="0" fontId="85" fillId="0" borderId="0"/>
    <xf numFmtId="0" fontId="21" fillId="0" borderId="0"/>
    <xf numFmtId="0" fontId="16" fillId="0" borderId="0"/>
    <xf numFmtId="9" fontId="21" fillId="0" borderId="0" applyFont="0" applyFill="0" applyBorder="0" applyAlignment="0" applyProtection="0"/>
    <xf numFmtId="0" fontId="16" fillId="0" borderId="0"/>
    <xf numFmtId="0" fontId="16" fillId="0" borderId="0"/>
  </cellStyleXfs>
  <cellXfs count="2586">
    <xf numFmtId="0" fontId="0" fillId="0" borderId="0" xfId="0"/>
    <xf numFmtId="165" fontId="2" fillId="0" borderId="0" xfId="0" applyNumberFormat="1" applyFont="1" applyAlignment="1"/>
    <xf numFmtId="165" fontId="2" fillId="0" borderId="0" xfId="0" applyNumberFormat="1" applyFont="1" applyBorder="1" applyAlignment="1"/>
    <xf numFmtId="165" fontId="6" fillId="0" borderId="0" xfId="0" applyNumberFormat="1" applyFont="1"/>
    <xf numFmtId="3" fontId="6" fillId="0" borderId="0" xfId="0" applyNumberFormat="1" applyFont="1" applyAlignment="1"/>
    <xf numFmtId="3" fontId="6" fillId="0" borderId="0" xfId="0" applyNumberFormat="1" applyFont="1" applyAlignment="1">
      <alignment horizontal="fill"/>
    </xf>
    <xf numFmtId="165" fontId="9" fillId="0" borderId="0" xfId="0" applyNumberFormat="1" applyFont="1" applyAlignment="1"/>
    <xf numFmtId="165" fontId="6" fillId="0" borderId="0" xfId="0" applyNumberFormat="1" applyFont="1" applyAlignment="1"/>
    <xf numFmtId="165" fontId="4" fillId="0" borderId="0" xfId="0" applyNumberFormat="1" applyFont="1" applyAlignment="1"/>
    <xf numFmtId="165" fontId="1" fillId="0" borderId="0" xfId="0" applyNumberFormat="1" applyFont="1" applyAlignment="1"/>
    <xf numFmtId="165" fontId="4" fillId="0" borderId="0" xfId="0" applyNumberFormat="1" applyFont="1" applyBorder="1" applyAlignment="1"/>
    <xf numFmtId="165" fontId="0" fillId="0" borderId="0" xfId="0" applyNumberFormat="1"/>
    <xf numFmtId="165" fontId="0" fillId="0" borderId="0" xfId="0" applyNumberFormat="1" applyBorder="1"/>
    <xf numFmtId="165" fontId="7" fillId="2" borderId="0" xfId="0" applyNumberFormat="1" applyFont="1" applyFill="1" applyAlignment="1"/>
    <xf numFmtId="165" fontId="7" fillId="2" borderId="0" xfId="0" applyNumberFormat="1" applyFont="1" applyFill="1" applyBorder="1" applyAlignment="1"/>
    <xf numFmtId="165" fontId="8" fillId="2" borderId="0" xfId="0" applyNumberFormat="1" applyFont="1" applyFill="1" applyBorder="1" applyAlignment="1"/>
    <xf numFmtId="165" fontId="13" fillId="2" borderId="0" xfId="0" applyNumberFormat="1" applyFont="1" applyFill="1" applyAlignment="1"/>
    <xf numFmtId="0" fontId="0" fillId="0" borderId="0" xfId="0" applyBorder="1"/>
    <xf numFmtId="3" fontId="5" fillId="2" borderId="0" xfId="0" applyNumberFormat="1" applyFont="1" applyFill="1" applyBorder="1" applyAlignment="1"/>
    <xf numFmtId="3" fontId="18" fillId="0" borderId="0" xfId="0" applyNumberFormat="1" applyFont="1" applyAlignment="1"/>
    <xf numFmtId="165" fontId="3" fillId="0" borderId="0" xfId="0" applyNumberFormat="1" applyFont="1" applyAlignment="1"/>
    <xf numFmtId="165" fontId="19" fillId="2" borderId="0" xfId="0" applyNumberFormat="1" applyFont="1" applyFill="1" applyAlignment="1"/>
    <xf numFmtId="165" fontId="20" fillId="2" borderId="0" xfId="0" applyNumberFormat="1" applyFont="1" applyFill="1" applyAlignment="1">
      <alignment horizontal="centerContinuous"/>
    </xf>
    <xf numFmtId="165" fontId="19" fillId="2" borderId="0" xfId="0" applyNumberFormat="1" applyFont="1" applyFill="1" applyAlignment="1">
      <alignment horizontal="centerContinuous"/>
    </xf>
    <xf numFmtId="165" fontId="6" fillId="0" borderId="0" xfId="0" applyNumberFormat="1" applyFont="1" applyBorder="1"/>
    <xf numFmtId="0" fontId="21" fillId="0" borderId="0" xfId="10"/>
    <xf numFmtId="0" fontId="23" fillId="0" borderId="3" xfId="10" applyFont="1" applyBorder="1" applyAlignment="1">
      <alignment horizontal="center"/>
    </xf>
    <xf numFmtId="0" fontId="23" fillId="0" borderId="4" xfId="10" applyFont="1" applyBorder="1" applyAlignment="1">
      <alignment horizontal="center"/>
    </xf>
    <xf numFmtId="0" fontId="9" fillId="0" borderId="5" xfId="10" applyFont="1" applyBorder="1"/>
    <xf numFmtId="0" fontId="9" fillId="0" borderId="3" xfId="10" applyFont="1" applyBorder="1"/>
    <xf numFmtId="0" fontId="9" fillId="0" borderId="7" xfId="10" applyFont="1" applyBorder="1"/>
    <xf numFmtId="0" fontId="9" fillId="0" borderId="4" xfId="10" applyFont="1" applyBorder="1"/>
    <xf numFmtId="0" fontId="0" fillId="0" borderId="0" xfId="0" applyBorder="1" applyAlignment="1">
      <alignment vertical="top" wrapText="1"/>
    </xf>
    <xf numFmtId="0" fontId="21" fillId="3" borderId="0" xfId="10" applyFill="1"/>
    <xf numFmtId="165" fontId="2" fillId="3" borderId="0" xfId="0" applyNumberFormat="1" applyFont="1" applyFill="1" applyAlignment="1"/>
    <xf numFmtId="0" fontId="31" fillId="3" borderId="0" xfId="10" applyFont="1" applyFill="1"/>
    <xf numFmtId="165" fontId="16" fillId="3" borderId="0" xfId="0" applyNumberFormat="1" applyFont="1" applyFill="1" applyBorder="1"/>
    <xf numFmtId="0" fontId="32" fillId="0" borderId="0" xfId="0" applyFont="1"/>
    <xf numFmtId="165" fontId="2" fillId="0" borderId="0" xfId="0" applyNumberFormat="1" applyFont="1" applyFill="1" applyAlignment="1"/>
    <xf numFmtId="0" fontId="9" fillId="0" borderId="9" xfId="10" applyFont="1" applyBorder="1" applyAlignment="1">
      <alignment horizontal="center"/>
    </xf>
    <xf numFmtId="0" fontId="9" fillId="0" borderId="10" xfId="10" applyFont="1" applyBorder="1"/>
    <xf numFmtId="3" fontId="6" fillId="0" borderId="11" xfId="0" applyNumberFormat="1" applyFont="1" applyBorder="1" applyAlignment="1"/>
    <xf numFmtId="0" fontId="21" fillId="0" borderId="0" xfId="10" applyBorder="1"/>
    <xf numFmtId="165" fontId="31" fillId="0" borderId="0" xfId="0" applyNumberFormat="1" applyFont="1" applyFill="1" applyBorder="1"/>
    <xf numFmtId="165" fontId="0" fillId="0" borderId="0" xfId="0" applyNumberFormat="1" applyFill="1" applyBorder="1"/>
    <xf numFmtId="165" fontId="6" fillId="0" borderId="0" xfId="0" applyNumberFormat="1" applyFont="1" applyFill="1" applyAlignment="1"/>
    <xf numFmtId="165" fontId="6" fillId="4" borderId="0" xfId="0" applyNumberFormat="1" applyFont="1" applyFill="1"/>
    <xf numFmtId="165" fontId="7" fillId="4" borderId="0" xfId="0" applyNumberFormat="1" applyFont="1" applyFill="1" applyAlignment="1">
      <alignment horizontal="right"/>
    </xf>
    <xf numFmtId="165" fontId="7" fillId="4" borderId="0" xfId="0" applyNumberFormat="1" applyFont="1" applyFill="1" applyAlignment="1"/>
    <xf numFmtId="5" fontId="28" fillId="2" borderId="12" xfId="0" applyNumberFormat="1" applyFont="1" applyFill="1" applyBorder="1" applyAlignment="1"/>
    <xf numFmtId="5" fontId="28" fillId="2" borderId="11" xfId="0" applyNumberFormat="1" applyFont="1" applyFill="1" applyBorder="1" applyAlignment="1"/>
    <xf numFmtId="0" fontId="21" fillId="0" borderId="0" xfId="10" applyFont="1" applyBorder="1"/>
    <xf numFmtId="0" fontId="16" fillId="5" borderId="0" xfId="10" applyFont="1" applyFill="1"/>
    <xf numFmtId="164" fontId="16" fillId="5" borderId="0" xfId="10" applyNumberFormat="1" applyFont="1" applyFill="1"/>
    <xf numFmtId="0" fontId="0" fillId="0" borderId="0" xfId="0" applyBorder="1" applyAlignment="1">
      <alignment horizontal="center"/>
    </xf>
    <xf numFmtId="0" fontId="32" fillId="0" borderId="0" xfId="0" applyFont="1" applyBorder="1" applyAlignment="1">
      <alignment horizontal="center"/>
    </xf>
    <xf numFmtId="0" fontId="0" fillId="0" borderId="0" xfId="0" applyAlignment="1">
      <alignment horizontal="center"/>
    </xf>
    <xf numFmtId="0" fontId="0" fillId="0" borderId="0" xfId="0" applyFill="1"/>
    <xf numFmtId="1" fontId="16" fillId="5" borderId="0" xfId="10" applyNumberFormat="1" applyFont="1" applyFill="1"/>
    <xf numFmtId="164" fontId="21" fillId="3" borderId="0" xfId="10" applyNumberFormat="1" applyFill="1"/>
    <xf numFmtId="0" fontId="9" fillId="0" borderId="13" xfId="10" applyFont="1" applyBorder="1"/>
    <xf numFmtId="0" fontId="21" fillId="0" borderId="14" xfId="10" applyBorder="1"/>
    <xf numFmtId="0" fontId="9" fillId="0" borderId="14" xfId="10" applyFont="1" applyBorder="1"/>
    <xf numFmtId="0" fontId="21" fillId="0" borderId="10" xfId="10" applyBorder="1"/>
    <xf numFmtId="3" fontId="17" fillId="0" borderId="0" xfId="0" applyNumberFormat="1" applyFont="1" applyAlignment="1">
      <alignment horizontal="centerContinuous"/>
    </xf>
    <xf numFmtId="165" fontId="17" fillId="0" borderId="0" xfId="0" applyNumberFormat="1" applyFont="1" applyAlignment="1">
      <alignment horizontal="centerContinuous"/>
    </xf>
    <xf numFmtId="165" fontId="15" fillId="4" borderId="0" xfId="0" applyNumberFormat="1" applyFont="1" applyFill="1"/>
    <xf numFmtId="165" fontId="15" fillId="4" borderId="0" xfId="0" applyNumberFormat="1" applyFont="1" applyFill="1" applyAlignment="1">
      <alignment horizontal="centerContinuous"/>
    </xf>
    <xf numFmtId="0" fontId="15" fillId="4" borderId="0" xfId="0" applyFont="1" applyFill="1" applyBorder="1" applyAlignment="1">
      <alignment vertical="top" wrapText="1"/>
    </xf>
    <xf numFmtId="165" fontId="7" fillId="0" borderId="0" xfId="0" applyNumberFormat="1" applyFont="1" applyFill="1" applyBorder="1" applyAlignment="1"/>
    <xf numFmtId="0" fontId="0" fillId="0" borderId="0" xfId="0" applyFill="1" applyBorder="1" applyAlignment="1">
      <alignment vertical="top" wrapText="1"/>
    </xf>
    <xf numFmtId="165" fontId="6" fillId="0" borderId="0" xfId="0" applyNumberFormat="1" applyFont="1" applyFill="1"/>
    <xf numFmtId="0" fontId="38" fillId="0" borderId="0" xfId="0" applyFont="1" applyFill="1" applyBorder="1" applyAlignment="1">
      <alignment vertical="top" wrapText="1"/>
    </xf>
    <xf numFmtId="165" fontId="15" fillId="4" borderId="0" xfId="0" applyNumberFormat="1" applyFont="1" applyFill="1" applyAlignment="1"/>
    <xf numFmtId="165" fontId="42" fillId="4" borderId="0" xfId="0" applyNumberFormat="1" applyFont="1" applyFill="1" applyAlignment="1">
      <alignment horizontal="centerContinuous"/>
    </xf>
    <xf numFmtId="0" fontId="15" fillId="4" borderId="0" xfId="0" applyFont="1" applyFill="1"/>
    <xf numFmtId="0" fontId="15" fillId="4" borderId="0" xfId="0" applyFont="1" applyFill="1" applyAlignment="1">
      <alignment wrapText="1"/>
    </xf>
    <xf numFmtId="0" fontId="22" fillId="4" borderId="0" xfId="10" applyFont="1" applyFill="1" applyAlignment="1">
      <alignment horizontal="centerContinuous"/>
    </xf>
    <xf numFmtId="0" fontId="15" fillId="4" borderId="0" xfId="10" applyFont="1" applyFill="1" applyAlignment="1">
      <alignment horizontal="centerContinuous"/>
    </xf>
    <xf numFmtId="0" fontId="16" fillId="4" borderId="0" xfId="10" applyFont="1" applyFill="1"/>
    <xf numFmtId="0" fontId="15" fillId="0" borderId="0" xfId="0" applyFont="1" applyFill="1" applyBorder="1" applyAlignment="1">
      <alignment vertical="top" wrapText="1"/>
    </xf>
    <xf numFmtId="0" fontId="15" fillId="0" borderId="0" xfId="0" applyFont="1" applyFill="1" applyBorder="1" applyAlignment="1"/>
    <xf numFmtId="165" fontId="22" fillId="4" borderId="0" xfId="0" applyNumberFormat="1" applyFont="1" applyFill="1" applyAlignment="1">
      <alignment horizontal="centerContinuous"/>
    </xf>
    <xf numFmtId="165" fontId="22" fillId="4" borderId="0" xfId="0" applyNumberFormat="1" applyFont="1" applyFill="1" applyBorder="1" applyAlignment="1">
      <alignment horizontal="centerContinuous"/>
    </xf>
    <xf numFmtId="165" fontId="15" fillId="4" borderId="0" xfId="0" applyNumberFormat="1" applyFont="1" applyFill="1" applyBorder="1" applyAlignment="1">
      <alignment horizontal="centerContinuous"/>
    </xf>
    <xf numFmtId="165" fontId="15" fillId="0" borderId="0" xfId="0" applyNumberFormat="1" applyFont="1" applyFill="1" applyAlignment="1">
      <alignment horizontal="centerContinuous"/>
    </xf>
    <xf numFmtId="0" fontId="45" fillId="0" borderId="0" xfId="0" applyFont="1" applyFill="1" applyBorder="1" applyAlignment="1">
      <alignment vertical="top" wrapText="1"/>
    </xf>
    <xf numFmtId="0" fontId="41" fillId="0" borderId="0" xfId="10" applyFont="1" applyFill="1" applyAlignment="1"/>
    <xf numFmtId="0" fontId="40" fillId="0" borderId="0" xfId="10" applyFont="1" applyFill="1" applyAlignment="1"/>
    <xf numFmtId="165" fontId="6" fillId="0" borderId="0" xfId="0" applyNumberFormat="1" applyFont="1" applyBorder="1" applyAlignment="1"/>
    <xf numFmtId="0" fontId="27" fillId="4" borderId="0" xfId="0" applyFont="1" applyFill="1" applyBorder="1" applyAlignment="1">
      <alignment vertical="top" wrapText="1"/>
    </xf>
    <xf numFmtId="165" fontId="50" fillId="0" borderId="0" xfId="0" applyNumberFormat="1" applyFont="1"/>
    <xf numFmtId="165" fontId="51" fillId="0" borderId="0" xfId="0" applyNumberFormat="1" applyFont="1" applyAlignment="1"/>
    <xf numFmtId="165" fontId="52" fillId="2" borderId="0" xfId="0" applyNumberFormat="1" applyFont="1" applyFill="1" applyAlignment="1"/>
    <xf numFmtId="0" fontId="53" fillId="0" borderId="0" xfId="10" applyFont="1"/>
    <xf numFmtId="170" fontId="2" fillId="3" borderId="0" xfId="0" applyNumberFormat="1" applyFont="1" applyFill="1" applyAlignment="1"/>
    <xf numFmtId="170" fontId="28" fillId="2" borderId="15" xfId="0" applyNumberFormat="1" applyFont="1" applyFill="1" applyBorder="1" applyAlignment="1"/>
    <xf numFmtId="0" fontId="56" fillId="0" borderId="0" xfId="0" applyFont="1"/>
    <xf numFmtId="165" fontId="55" fillId="0" borderId="0" xfId="0" applyNumberFormat="1" applyFont="1"/>
    <xf numFmtId="165" fontId="31" fillId="0" borderId="0" xfId="0" applyNumberFormat="1" applyFont="1"/>
    <xf numFmtId="165" fontId="55" fillId="0" borderId="0" xfId="0" applyNumberFormat="1" applyFont="1" applyAlignment="1"/>
    <xf numFmtId="165" fontId="31" fillId="0" borderId="0" xfId="0" applyNumberFormat="1" applyFont="1" applyAlignment="1"/>
    <xf numFmtId="3" fontId="55" fillId="2" borderId="0" xfId="0" applyNumberFormat="1" applyFont="1" applyFill="1" applyAlignment="1"/>
    <xf numFmtId="3" fontId="59" fillId="2" borderId="0" xfId="0" applyNumberFormat="1" applyFont="1" applyFill="1" applyAlignment="1"/>
    <xf numFmtId="3" fontId="59" fillId="2" borderId="0" xfId="0" applyNumberFormat="1" applyFont="1" applyFill="1" applyBorder="1" applyAlignment="1"/>
    <xf numFmtId="0" fontId="31" fillId="0" borderId="0" xfId="0" applyFont="1"/>
    <xf numFmtId="165" fontId="56" fillId="0" borderId="0" xfId="0" applyNumberFormat="1" applyFont="1"/>
    <xf numFmtId="165" fontId="56" fillId="0" borderId="0" xfId="0" applyNumberFormat="1" applyFont="1" applyBorder="1"/>
    <xf numFmtId="165" fontId="60" fillId="0" borderId="0" xfId="0" applyNumberFormat="1" applyFont="1" applyAlignment="1"/>
    <xf numFmtId="165" fontId="61" fillId="0" borderId="0" xfId="0" applyNumberFormat="1" applyFont="1" applyAlignment="1"/>
    <xf numFmtId="3" fontId="58" fillId="0" borderId="0" xfId="0" applyNumberFormat="1" applyFont="1" applyAlignment="1"/>
    <xf numFmtId="3" fontId="57" fillId="0" borderId="0" xfId="0" applyNumberFormat="1" applyFont="1" applyAlignment="1"/>
    <xf numFmtId="0" fontId="56" fillId="0" borderId="0" xfId="10" applyFont="1"/>
    <xf numFmtId="0" fontId="48" fillId="0" borderId="0" xfId="10" applyFont="1"/>
    <xf numFmtId="37" fontId="6" fillId="0" borderId="9" xfId="0" applyNumberFormat="1" applyFont="1" applyBorder="1" applyAlignment="1"/>
    <xf numFmtId="37" fontId="6" fillId="0" borderId="12" xfId="0" applyNumberFormat="1" applyFont="1" applyBorder="1" applyAlignment="1"/>
    <xf numFmtId="37" fontId="6" fillId="0" borderId="16" xfId="0" applyNumberFormat="1" applyFont="1" applyBorder="1" applyAlignment="1"/>
    <xf numFmtId="37" fontId="6" fillId="0" borderId="17" xfId="0" applyNumberFormat="1" applyFont="1" applyBorder="1" applyAlignment="1"/>
    <xf numFmtId="37" fontId="17" fillId="0" borderId="18" xfId="0" applyNumberFormat="1" applyFont="1" applyBorder="1" applyAlignment="1"/>
    <xf numFmtId="37" fontId="6" fillId="0" borderId="5" xfId="0" applyNumberFormat="1" applyFont="1" applyBorder="1" applyAlignment="1"/>
    <xf numFmtId="37" fontId="6" fillId="0" borderId="10" xfId="0" applyNumberFormat="1" applyFont="1" applyBorder="1" applyAlignment="1"/>
    <xf numFmtId="37" fontId="17" fillId="0" borderId="5" xfId="0" applyNumberFormat="1" applyFont="1" applyBorder="1" applyAlignment="1"/>
    <xf numFmtId="37" fontId="6" fillId="0" borderId="11" xfId="0" applyNumberFormat="1" applyFont="1" applyBorder="1"/>
    <xf numFmtId="37" fontId="6" fillId="0" borderId="12" xfId="0" applyNumberFormat="1" applyFont="1" applyBorder="1"/>
    <xf numFmtId="37" fontId="6" fillId="0" borderId="7" xfId="0" applyNumberFormat="1" applyFont="1" applyBorder="1"/>
    <xf numFmtId="37" fontId="6" fillId="0" borderId="3" xfId="0" applyNumberFormat="1" applyFont="1" applyBorder="1"/>
    <xf numFmtId="37" fontId="6" fillId="0" borderId="4" xfId="0" applyNumberFormat="1" applyFont="1" applyBorder="1"/>
    <xf numFmtId="37" fontId="6" fillId="0" borderId="10" xfId="0" applyNumberFormat="1" applyFont="1" applyBorder="1"/>
    <xf numFmtId="37" fontId="21" fillId="3" borderId="0" xfId="10" applyNumberFormat="1" applyFill="1"/>
    <xf numFmtId="37" fontId="16" fillId="5" borderId="0" xfId="10" applyNumberFormat="1" applyFont="1" applyFill="1"/>
    <xf numFmtId="37" fontId="7" fillId="2" borderId="1" xfId="0" applyNumberFormat="1" applyFont="1" applyFill="1" applyBorder="1" applyAlignment="1"/>
    <xf numFmtId="37" fontId="7" fillId="2" borderId="19" xfId="0" applyNumberFormat="1" applyFont="1" applyFill="1" applyBorder="1" applyAlignment="1"/>
    <xf numFmtId="37" fontId="7" fillId="2" borderId="12" xfId="0" applyNumberFormat="1" applyFont="1" applyFill="1" applyBorder="1" applyAlignment="1"/>
    <xf numFmtId="37" fontId="30" fillId="0" borderId="20" xfId="0" applyNumberFormat="1" applyFont="1" applyBorder="1"/>
    <xf numFmtId="37" fontId="0" fillId="3" borderId="0" xfId="0" applyNumberFormat="1" applyFill="1" applyBorder="1"/>
    <xf numFmtId="37" fontId="25" fillId="2" borderId="21" xfId="0" applyNumberFormat="1" applyFont="1" applyFill="1" applyBorder="1" applyAlignment="1"/>
    <xf numFmtId="37" fontId="25" fillId="2" borderId="23" xfId="0" applyNumberFormat="1" applyFont="1" applyFill="1" applyBorder="1" applyAlignment="1"/>
    <xf numFmtId="37" fontId="25" fillId="2" borderId="25" xfId="0" applyNumberFormat="1" applyFont="1" applyFill="1" applyBorder="1" applyAlignment="1"/>
    <xf numFmtId="37" fontId="25" fillId="2" borderId="28" xfId="0" applyNumberFormat="1" applyFont="1" applyFill="1" applyBorder="1" applyAlignment="1"/>
    <xf numFmtId="37" fontId="25" fillId="2" borderId="30" xfId="0" applyNumberFormat="1" applyFont="1" applyFill="1" applyBorder="1" applyAlignment="1"/>
    <xf numFmtId="37" fontId="25" fillId="2" borderId="32" xfId="0" applyNumberFormat="1" applyFont="1" applyFill="1" applyBorder="1" applyAlignment="1"/>
    <xf numFmtId="37" fontId="25" fillId="2" borderId="34" xfId="0" applyNumberFormat="1" applyFont="1" applyFill="1" applyBorder="1" applyAlignment="1"/>
    <xf numFmtId="37" fontId="25" fillId="2" borderId="0" xfId="0" applyNumberFormat="1" applyFont="1" applyFill="1" applyBorder="1" applyAlignment="1"/>
    <xf numFmtId="37" fontId="25" fillId="2" borderId="39" xfId="0" applyNumberFormat="1" applyFont="1" applyFill="1" applyBorder="1" applyAlignment="1"/>
    <xf numFmtId="37" fontId="25" fillId="2" borderId="0" xfId="0" applyNumberFormat="1" applyFont="1" applyFill="1" applyAlignment="1"/>
    <xf numFmtId="37" fontId="7" fillId="2" borderId="15" xfId="0" applyNumberFormat="1" applyFont="1" applyFill="1" applyBorder="1" applyAlignment="1"/>
    <xf numFmtId="37" fontId="7" fillId="2" borderId="11" xfId="0" applyNumberFormat="1" applyFont="1" applyFill="1" applyBorder="1" applyAlignment="1"/>
    <xf numFmtId="37" fontId="7" fillId="2" borderId="15" xfId="0" applyNumberFormat="1" applyFont="1" applyFill="1" applyBorder="1" applyAlignment="1">
      <alignment horizontal="right"/>
    </xf>
    <xf numFmtId="37" fontId="7" fillId="0" borderId="15" xfId="0" applyNumberFormat="1" applyFont="1" applyFill="1" applyBorder="1" applyAlignment="1"/>
    <xf numFmtId="37" fontId="7" fillId="0" borderId="11" xfId="0" applyNumberFormat="1" applyFont="1" applyFill="1" applyBorder="1" applyAlignment="1"/>
    <xf numFmtId="37" fontId="7" fillId="0" borderId="12" xfId="0" applyNumberFormat="1" applyFont="1" applyFill="1" applyBorder="1" applyAlignment="1"/>
    <xf numFmtId="37" fontId="8" fillId="2" borderId="15" xfId="0" applyNumberFormat="1" applyFont="1" applyFill="1" applyBorder="1" applyAlignment="1"/>
    <xf numFmtId="37" fontId="8" fillId="2" borderId="11" xfId="0" applyNumberFormat="1" applyFont="1" applyFill="1" applyBorder="1" applyAlignment="1"/>
    <xf numFmtId="37" fontId="8" fillId="2" borderId="12" xfId="0" applyNumberFormat="1" applyFont="1" applyFill="1" applyBorder="1" applyAlignment="1"/>
    <xf numFmtId="37" fontId="7" fillId="2" borderId="8" xfId="0" applyNumberFormat="1" applyFont="1" applyFill="1" applyBorder="1" applyAlignment="1"/>
    <xf numFmtId="37" fontId="7" fillId="2" borderId="0" xfId="0" applyNumberFormat="1" applyFont="1" applyFill="1" applyBorder="1" applyAlignment="1"/>
    <xf numFmtId="37" fontId="7" fillId="2" borderId="46" xfId="0" applyNumberFormat="1" applyFont="1" applyFill="1" applyBorder="1" applyAlignment="1"/>
    <xf numFmtId="37" fontId="7" fillId="2" borderId="44" xfId="0" applyNumberFormat="1" applyFont="1" applyFill="1" applyBorder="1" applyAlignment="1"/>
    <xf numFmtId="37" fontId="7" fillId="2" borderId="47" xfId="0" applyNumberFormat="1" applyFont="1" applyFill="1" applyBorder="1" applyAlignment="1"/>
    <xf numFmtId="0" fontId="23" fillId="0" borderId="48" xfId="10" applyFont="1" applyBorder="1"/>
    <xf numFmtId="0" fontId="21" fillId="0" borderId="47" xfId="10" applyBorder="1"/>
    <xf numFmtId="37" fontId="23" fillId="0" borderId="44" xfId="10" applyNumberFormat="1" applyFont="1" applyBorder="1"/>
    <xf numFmtId="37" fontId="23" fillId="0" borderId="47" xfId="10" applyNumberFormat="1" applyFont="1" applyBorder="1"/>
    <xf numFmtId="5" fontId="23" fillId="0" borderId="47" xfId="10" applyNumberFormat="1" applyFont="1" applyBorder="1"/>
    <xf numFmtId="5" fontId="23" fillId="0" borderId="48" xfId="10" applyNumberFormat="1" applyFont="1" applyBorder="1"/>
    <xf numFmtId="0" fontId="39" fillId="0" borderId="0" xfId="0" applyFont="1" applyBorder="1" applyAlignment="1">
      <alignment vertical="top" wrapText="1"/>
    </xf>
    <xf numFmtId="0" fontId="0" fillId="0" borderId="0" xfId="0" applyAlignment="1">
      <alignment vertical="top"/>
    </xf>
    <xf numFmtId="0" fontId="32" fillId="0" borderId="0" xfId="0" applyFont="1" applyAlignment="1">
      <alignment vertical="top"/>
    </xf>
    <xf numFmtId="0" fontId="32" fillId="0" borderId="0" xfId="0" applyFont="1" applyBorder="1" applyAlignment="1">
      <alignment vertical="top" wrapText="1"/>
    </xf>
    <xf numFmtId="0" fontId="58" fillId="0" borderId="0" xfId="0" applyFont="1" applyAlignment="1">
      <alignment vertical="top"/>
    </xf>
    <xf numFmtId="170" fontId="26" fillId="2" borderId="49" xfId="0" applyNumberFormat="1" applyFont="1" applyFill="1" applyBorder="1" applyAlignment="1"/>
    <xf numFmtId="170" fontId="26" fillId="2" borderId="51" xfId="0" applyNumberFormat="1" applyFont="1" applyFill="1" applyBorder="1" applyAlignment="1"/>
    <xf numFmtId="37" fontId="26" fillId="2" borderId="49" xfId="0" applyNumberFormat="1" applyFont="1" applyFill="1" applyBorder="1" applyAlignment="1"/>
    <xf numFmtId="37" fontId="7" fillId="2" borderId="53" xfId="0" applyNumberFormat="1" applyFont="1" applyFill="1" applyBorder="1" applyAlignment="1"/>
    <xf numFmtId="37" fontId="7" fillId="0" borderId="53" xfId="0" applyNumberFormat="1" applyFont="1" applyFill="1" applyBorder="1" applyAlignment="1"/>
    <xf numFmtId="37" fontId="17" fillId="0" borderId="14" xfId="0" applyNumberFormat="1" applyFont="1" applyBorder="1" applyAlignment="1">
      <alignment horizontal="right"/>
    </xf>
    <xf numFmtId="165" fontId="43" fillId="0" borderId="0" xfId="0" applyNumberFormat="1" applyFont="1" applyAlignment="1"/>
    <xf numFmtId="164" fontId="17" fillId="0" borderId="56" xfId="0" applyNumberFormat="1" applyFont="1" applyBorder="1" applyAlignment="1"/>
    <xf numFmtId="37" fontId="29" fillId="2" borderId="58" xfId="0" applyNumberFormat="1" applyFont="1" applyFill="1" applyBorder="1" applyAlignment="1"/>
    <xf numFmtId="165" fontId="15" fillId="3" borderId="0" xfId="0" applyNumberFormat="1" applyFont="1" applyFill="1" applyBorder="1"/>
    <xf numFmtId="1" fontId="17" fillId="0" borderId="17" xfId="0" applyNumberFormat="1" applyFont="1" applyBorder="1" applyAlignment="1">
      <alignment horizontal="right"/>
    </xf>
    <xf numFmtId="37" fontId="6" fillId="0" borderId="9" xfId="0" applyNumberFormat="1" applyFont="1" applyBorder="1" applyAlignment="1">
      <alignment horizontal="right"/>
    </xf>
    <xf numFmtId="37" fontId="6" fillId="0" borderId="16" xfId="0" applyNumberFormat="1" applyFont="1" applyBorder="1" applyAlignment="1">
      <alignment horizontal="right"/>
    </xf>
    <xf numFmtId="37" fontId="6" fillId="0" borderId="17" xfId="0" applyNumberFormat="1" applyFont="1" applyBorder="1" applyAlignment="1">
      <alignment horizontal="right"/>
    </xf>
    <xf numFmtId="37" fontId="17" fillId="0" borderId="18" xfId="0" applyNumberFormat="1" applyFont="1" applyBorder="1" applyAlignment="1">
      <alignment horizontal="right"/>
    </xf>
    <xf numFmtId="37" fontId="29" fillId="2" borderId="59" xfId="0" applyNumberFormat="1" applyFont="1" applyFill="1" applyBorder="1" applyAlignment="1"/>
    <xf numFmtId="37" fontId="6" fillId="0" borderId="15" xfId="0" applyNumberFormat="1" applyFont="1" applyBorder="1" applyAlignment="1">
      <alignment horizontal="center"/>
    </xf>
    <xf numFmtId="37" fontId="6" fillId="0" borderId="11" xfId="0" applyNumberFormat="1" applyFont="1" applyBorder="1" applyAlignment="1">
      <alignment horizontal="center"/>
    </xf>
    <xf numFmtId="37" fontId="6" fillId="0" borderId="11" xfId="0" applyNumberFormat="1" applyFont="1" applyBorder="1" applyAlignment="1"/>
    <xf numFmtId="3" fontId="6" fillId="0" borderId="12" xfId="0" applyNumberFormat="1" applyFont="1" applyBorder="1" applyAlignment="1"/>
    <xf numFmtId="164" fontId="6" fillId="0" borderId="11" xfId="0" applyNumberFormat="1" applyFont="1" applyBorder="1" applyAlignment="1"/>
    <xf numFmtId="164" fontId="17" fillId="0" borderId="3" xfId="0" applyNumberFormat="1" applyFont="1" applyBorder="1" applyAlignment="1"/>
    <xf numFmtId="164" fontId="17" fillId="0" borderId="4" xfId="0" applyNumberFormat="1" applyFont="1" applyBorder="1" applyAlignment="1"/>
    <xf numFmtId="3" fontId="6" fillId="0" borderId="3" xfId="0" applyNumberFormat="1" applyFont="1" applyBorder="1" applyAlignment="1"/>
    <xf numFmtId="37" fontId="6" fillId="0" borderId="8" xfId="0" applyNumberFormat="1" applyFont="1" applyBorder="1"/>
    <xf numFmtId="37" fontId="6" fillId="0" borderId="13" xfId="0" applyNumberFormat="1" applyFont="1" applyBorder="1"/>
    <xf numFmtId="0" fontId="7" fillId="2" borderId="62" xfId="0" applyNumberFormat="1" applyFont="1" applyFill="1" applyBorder="1" applyAlignment="1"/>
    <xf numFmtId="0" fontId="7" fillId="2" borderId="63" xfId="0" applyNumberFormat="1" applyFont="1" applyFill="1" applyBorder="1" applyAlignment="1">
      <alignment horizontal="left"/>
    </xf>
    <xf numFmtId="0" fontId="9" fillId="0" borderId="63" xfId="0" applyNumberFormat="1" applyFont="1" applyBorder="1" applyAlignment="1"/>
    <xf numFmtId="0" fontId="7" fillId="2" borderId="64" xfId="0" applyNumberFormat="1" applyFont="1" applyFill="1" applyBorder="1" applyAlignment="1">
      <alignment horizontal="left"/>
    </xf>
    <xf numFmtId="0" fontId="29" fillId="2" borderId="45" xfId="0" applyNumberFormat="1" applyFont="1" applyFill="1" applyBorder="1" applyAlignment="1">
      <alignment horizontal="left" indent="5"/>
    </xf>
    <xf numFmtId="0" fontId="26" fillId="2" borderId="71" xfId="0" applyNumberFormat="1" applyFont="1" applyFill="1" applyBorder="1" applyAlignment="1">
      <alignment horizontal="right"/>
    </xf>
    <xf numFmtId="0" fontId="18" fillId="0" borderId="0" xfId="0" applyNumberFormat="1" applyFont="1" applyAlignment="1"/>
    <xf numFmtId="0" fontId="25" fillId="0" borderId="15" xfId="0" applyNumberFormat="1" applyFont="1" applyFill="1" applyBorder="1" applyAlignment="1">
      <alignment horizontal="left"/>
    </xf>
    <xf numFmtId="0" fontId="26" fillId="2" borderId="73" xfId="0" applyNumberFormat="1" applyFont="1" applyFill="1" applyBorder="1" applyAlignment="1">
      <alignment horizontal="right"/>
    </xf>
    <xf numFmtId="0" fontId="7" fillId="2" borderId="76" xfId="0" applyNumberFormat="1" applyFont="1" applyFill="1" applyBorder="1" applyAlignment="1">
      <alignment horizontal="left" indent="1"/>
    </xf>
    <xf numFmtId="0" fontId="7" fillId="2" borderId="13" xfId="0" applyNumberFormat="1" applyFont="1" applyFill="1" applyBorder="1" applyAlignment="1">
      <alignment horizontal="left" indent="1"/>
    </xf>
    <xf numFmtId="0" fontId="8" fillId="2" borderId="13" xfId="0" applyNumberFormat="1" applyFont="1" applyFill="1" applyBorder="1" applyAlignment="1">
      <alignment horizontal="left" indent="2"/>
    </xf>
    <xf numFmtId="0" fontId="7" fillId="2" borderId="53" xfId="0" applyNumberFormat="1" applyFont="1" applyFill="1" applyBorder="1" applyAlignment="1">
      <alignment horizontal="left" indent="1"/>
    </xf>
    <xf numFmtId="0" fontId="7" fillId="2" borderId="77" xfId="0" applyNumberFormat="1" applyFont="1" applyFill="1" applyBorder="1" applyAlignment="1">
      <alignment horizontal="left" indent="2"/>
    </xf>
    <xf numFmtId="0" fontId="7" fillId="2" borderId="13" xfId="0" applyNumberFormat="1" applyFont="1" applyFill="1" applyBorder="1" applyAlignment="1">
      <alignment horizontal="left" indent="2"/>
    </xf>
    <xf numFmtId="0" fontId="28" fillId="2" borderId="13" xfId="0" applyNumberFormat="1" applyFont="1" applyFill="1" applyBorder="1" applyAlignment="1">
      <alignment horizontal="left" indent="3"/>
    </xf>
    <xf numFmtId="0" fontId="7" fillId="0" borderId="13" xfId="0" applyNumberFormat="1" applyFont="1" applyFill="1" applyBorder="1" applyAlignment="1">
      <alignment horizontal="left" indent="2"/>
    </xf>
    <xf numFmtId="0" fontId="28" fillId="2" borderId="73" xfId="0" applyNumberFormat="1" applyFont="1" applyFill="1" applyBorder="1" applyAlignment="1">
      <alignment horizontal="right"/>
    </xf>
    <xf numFmtId="0" fontId="28" fillId="2" borderId="74" xfId="0" applyNumberFormat="1" applyFont="1" applyFill="1" applyBorder="1" applyAlignment="1">
      <alignment horizontal="right"/>
    </xf>
    <xf numFmtId="0" fontId="28" fillId="2" borderId="75" xfId="0" applyNumberFormat="1" applyFont="1" applyFill="1" applyBorder="1" applyAlignment="1">
      <alignment horizontal="right"/>
    </xf>
    <xf numFmtId="0" fontId="6" fillId="0" borderId="15" xfId="0" applyNumberFormat="1" applyFont="1" applyBorder="1" applyAlignment="1"/>
    <xf numFmtId="0" fontId="6" fillId="0" borderId="11" xfId="0" applyNumberFormat="1" applyFont="1" applyBorder="1" applyAlignment="1"/>
    <xf numFmtId="0" fontId="6" fillId="0" borderId="7" xfId="0" applyNumberFormat="1" applyFont="1" applyBorder="1" applyAlignment="1"/>
    <xf numFmtId="0" fontId="17" fillId="0" borderId="3" xfId="0" applyNumberFormat="1" applyFont="1" applyBorder="1" applyAlignment="1"/>
    <xf numFmtId="0" fontId="6" fillId="0" borderId="78" xfId="0" applyNumberFormat="1" applyFont="1" applyBorder="1" applyAlignment="1"/>
    <xf numFmtId="0" fontId="6" fillId="0" borderId="79" xfId="0" applyNumberFormat="1" applyFont="1" applyBorder="1" applyAlignment="1"/>
    <xf numFmtId="0" fontId="6" fillId="0" borderId="11" xfId="0" applyNumberFormat="1" applyFont="1" applyBorder="1" applyAlignment="1">
      <alignment horizontal="fill"/>
    </xf>
    <xf numFmtId="0" fontId="6" fillId="0" borderId="3" xfId="0" applyNumberFormat="1" applyFont="1" applyBorder="1" applyAlignment="1">
      <alignment horizontal="fill"/>
    </xf>
    <xf numFmtId="0" fontId="6" fillId="0" borderId="3" xfId="0" applyNumberFormat="1" applyFont="1" applyBorder="1" applyAlignment="1"/>
    <xf numFmtId="0" fontId="6" fillId="0" borderId="73" xfId="0" applyNumberFormat="1" applyFont="1" applyBorder="1" applyAlignment="1">
      <alignment horizontal="right"/>
    </xf>
    <xf numFmtId="0" fontId="6" fillId="0" borderId="74" xfId="0" applyNumberFormat="1" applyFont="1" applyBorder="1" applyAlignment="1">
      <alignment horizontal="center"/>
    </xf>
    <xf numFmtId="0" fontId="6" fillId="0" borderId="74" xfId="0" applyNumberFormat="1" applyFont="1" applyBorder="1" applyAlignment="1">
      <alignment horizontal="right"/>
    </xf>
    <xf numFmtId="0" fontId="6" fillId="0" borderId="73" xfId="0" applyNumberFormat="1" applyFont="1" applyBorder="1" applyAlignment="1">
      <alignment horizontal="center"/>
    </xf>
    <xf numFmtId="0" fontId="6" fillId="0" borderId="75" xfId="0" applyNumberFormat="1" applyFont="1" applyBorder="1" applyAlignment="1">
      <alignment horizontal="right"/>
    </xf>
    <xf numFmtId="37" fontId="17" fillId="0" borderId="53" xfId="0" applyNumberFormat="1" applyFont="1" applyBorder="1" applyAlignment="1">
      <alignment horizontal="center"/>
    </xf>
    <xf numFmtId="37" fontId="17" fillId="0" borderId="3" xfId="0" applyNumberFormat="1" applyFont="1" applyBorder="1" applyAlignment="1">
      <alignment horizontal="center"/>
    </xf>
    <xf numFmtId="37" fontId="6" fillId="0" borderId="8" xfId="0" applyNumberFormat="1" applyFont="1" applyBorder="1" applyAlignment="1">
      <alignment horizontal="center"/>
    </xf>
    <xf numFmtId="37" fontId="6" fillId="0" borderId="0" xfId="0" applyNumberFormat="1" applyFont="1" applyAlignment="1">
      <alignment horizontal="center"/>
    </xf>
    <xf numFmtId="37" fontId="6" fillId="0" borderId="7" xfId="0" applyNumberFormat="1" applyFont="1" applyBorder="1" applyAlignment="1">
      <alignment horizontal="center"/>
    </xf>
    <xf numFmtId="37" fontId="6" fillId="0" borderId="3" xfId="0" applyNumberFormat="1" applyFont="1" applyBorder="1" applyAlignment="1">
      <alignment horizontal="center"/>
    </xf>
    <xf numFmtId="37" fontId="6" fillId="0" borderId="8" xfId="0" applyNumberFormat="1" applyFont="1" applyBorder="1" applyAlignment="1"/>
    <xf numFmtId="37" fontId="6" fillId="0" borderId="0" xfId="0" applyNumberFormat="1" applyFont="1" applyAlignment="1"/>
    <xf numFmtId="37" fontId="6" fillId="0" borderId="7" xfId="0" applyNumberFormat="1" applyFont="1" applyBorder="1" applyAlignment="1"/>
    <xf numFmtId="37" fontId="6" fillId="0" borderId="3" xfId="0" applyNumberFormat="1" applyFont="1" applyBorder="1" applyAlignment="1"/>
    <xf numFmtId="37" fontId="6" fillId="0" borderId="15" xfId="0" applyNumberFormat="1" applyFont="1" applyBorder="1" applyAlignment="1"/>
    <xf numFmtId="37" fontId="6" fillId="0" borderId="80" xfId="0" applyNumberFormat="1" applyFont="1" applyBorder="1" applyAlignment="1">
      <alignment horizontal="center"/>
    </xf>
    <xf numFmtId="37" fontId="6" fillId="0" borderId="0" xfId="0" applyNumberFormat="1" applyFont="1" applyBorder="1" applyAlignment="1"/>
    <xf numFmtId="0" fontId="6" fillId="0" borderId="0" xfId="0" applyFont="1"/>
    <xf numFmtId="0" fontId="17" fillId="0" borderId="0" xfId="0" applyFont="1"/>
    <xf numFmtId="167" fontId="65" fillId="0" borderId="0" xfId="1" applyNumberFormat="1" applyFont="1" applyAlignment="1">
      <alignment horizontal="center" vertical="center"/>
    </xf>
    <xf numFmtId="0" fontId="66" fillId="0" borderId="0" xfId="9" applyNumberFormat="1" applyFont="1" applyFill="1" applyBorder="1" applyAlignment="1" applyProtection="1"/>
    <xf numFmtId="0" fontId="21" fillId="0" borderId="0" xfId="9" applyNumberFormat="1" applyFill="1" applyBorder="1" applyAlignment="1" applyProtection="1"/>
    <xf numFmtId="167" fontId="65" fillId="0" borderId="0" xfId="1" applyNumberFormat="1" applyFont="1" applyAlignment="1">
      <alignment horizontal="centerContinuous" vertical="center"/>
    </xf>
    <xf numFmtId="167" fontId="21" fillId="0" borderId="0" xfId="1" applyNumberFormat="1" applyFill="1" applyBorder="1" applyAlignment="1" applyProtection="1"/>
    <xf numFmtId="0" fontId="66" fillId="0" borderId="0" xfId="9" applyNumberFormat="1" applyFont="1" applyFill="1" applyBorder="1" applyAlignment="1" applyProtection="1">
      <alignment horizontal="left"/>
    </xf>
    <xf numFmtId="165" fontId="9" fillId="4" borderId="0" xfId="0" applyNumberFormat="1" applyFont="1" applyFill="1" applyAlignment="1">
      <alignment horizontal="centerContinuous"/>
    </xf>
    <xf numFmtId="166" fontId="67" fillId="4" borderId="0" xfId="0" applyNumberFormat="1" applyFont="1" applyFill="1" applyAlignment="1">
      <alignment horizontal="centerContinuous"/>
    </xf>
    <xf numFmtId="0" fontId="21" fillId="4" borderId="0" xfId="0" applyFont="1" applyFill="1" applyBorder="1" applyAlignment="1">
      <alignment vertical="top" wrapText="1"/>
    </xf>
    <xf numFmtId="166" fontId="9" fillId="4" borderId="0" xfId="0" applyNumberFormat="1" applyFont="1" applyFill="1" applyBorder="1"/>
    <xf numFmtId="165" fontId="9" fillId="4" borderId="0" xfId="0" applyNumberFormat="1" applyFont="1" applyFill="1" applyBorder="1"/>
    <xf numFmtId="0" fontId="21" fillId="0" borderId="0" xfId="9" applyNumberFormat="1" applyFont="1" applyFill="1" applyBorder="1" applyAlignment="1" applyProtection="1"/>
    <xf numFmtId="0" fontId="0" fillId="0" borderId="0" xfId="0" applyBorder="1" applyAlignment="1">
      <alignment wrapText="1"/>
    </xf>
    <xf numFmtId="166" fontId="67" fillId="4" borderId="0" xfId="0" applyNumberFormat="1" applyFont="1" applyFill="1" applyAlignment="1">
      <alignment horizontal="centerContinuous" wrapText="1"/>
    </xf>
    <xf numFmtId="165" fontId="9" fillId="4" borderId="0" xfId="0" applyNumberFormat="1" applyFont="1" applyFill="1" applyAlignment="1">
      <alignment horizontal="centerContinuous" wrapText="1"/>
    </xf>
    <xf numFmtId="166" fontId="9" fillId="4" borderId="0" xfId="0" applyNumberFormat="1" applyFont="1" applyFill="1" applyBorder="1" applyAlignment="1">
      <alignment wrapText="1"/>
    </xf>
    <xf numFmtId="165" fontId="9" fillId="4" borderId="0" xfId="0" applyNumberFormat="1" applyFont="1" applyFill="1" applyBorder="1" applyAlignment="1">
      <alignment wrapText="1"/>
    </xf>
    <xf numFmtId="0" fontId="0" fillId="0" borderId="0" xfId="0" applyAlignment="1">
      <alignment wrapText="1"/>
    </xf>
    <xf numFmtId="0" fontId="62" fillId="0" borderId="0" xfId="9" applyNumberFormat="1" applyFont="1" applyFill="1" applyBorder="1" applyAlignment="1" applyProtection="1"/>
    <xf numFmtId="167" fontId="21" fillId="0" borderId="0" xfId="1" applyNumberFormat="1" applyFont="1" applyFill="1" applyBorder="1" applyAlignment="1" applyProtection="1"/>
    <xf numFmtId="0" fontId="21" fillId="0" borderId="0" xfId="0" applyFont="1" applyBorder="1" applyAlignment="1"/>
    <xf numFmtId="166" fontId="9" fillId="0" borderId="0" xfId="0" applyNumberFormat="1" applyFont="1" applyBorder="1"/>
    <xf numFmtId="165" fontId="9" fillId="0" borderId="0" xfId="0" applyNumberFormat="1" applyFont="1" applyBorder="1"/>
    <xf numFmtId="9" fontId="21" fillId="0" borderId="0" xfId="14" applyFill="1" applyBorder="1" applyAlignment="1" applyProtection="1"/>
    <xf numFmtId="0" fontId="21" fillId="0" borderId="0" xfId="9"/>
    <xf numFmtId="165" fontId="24" fillId="4" borderId="0" xfId="0" applyNumberFormat="1" applyFont="1" applyFill="1" applyAlignment="1">
      <alignment horizontal="centerContinuous"/>
    </xf>
    <xf numFmtId="165" fontId="6" fillId="4" borderId="0" xfId="0" applyNumberFormat="1" applyFont="1" applyFill="1" applyBorder="1"/>
    <xf numFmtId="167" fontId="69" fillId="0" borderId="0" xfId="1" applyNumberFormat="1" applyFont="1" applyAlignment="1">
      <alignment horizontal="left" vertical="center"/>
    </xf>
    <xf numFmtId="5" fontId="7" fillId="2" borderId="11" xfId="0" applyNumberFormat="1" applyFont="1" applyFill="1" applyBorder="1" applyAlignment="1"/>
    <xf numFmtId="5" fontId="7" fillId="2" borderId="12" xfId="0" applyNumberFormat="1" applyFont="1" applyFill="1" applyBorder="1" applyAlignment="1"/>
    <xf numFmtId="0" fontId="6" fillId="0" borderId="0" xfId="8" applyFont="1" applyAlignment="1">
      <alignment vertical="top" wrapText="1"/>
    </xf>
    <xf numFmtId="0" fontId="6" fillId="0" borderId="0" xfId="8" applyFont="1" applyAlignment="1">
      <alignment vertical="top"/>
    </xf>
    <xf numFmtId="0" fontId="51" fillId="0" borderId="0" xfId="8" applyFont="1" applyAlignment="1">
      <alignment vertical="top"/>
    </xf>
    <xf numFmtId="0" fontId="6" fillId="0" borderId="0" xfId="8" applyFont="1" applyFill="1" applyBorder="1" applyAlignment="1">
      <alignment vertical="top" wrapText="1"/>
    </xf>
    <xf numFmtId="169" fontId="6" fillId="0" borderId="0" xfId="3" applyNumberFormat="1" applyFont="1" applyFill="1" applyBorder="1" applyAlignment="1">
      <alignment vertical="top"/>
    </xf>
    <xf numFmtId="0" fontId="6" fillId="0" borderId="0" xfId="8" applyFont="1" applyFill="1" applyBorder="1" applyAlignment="1">
      <alignment vertical="top"/>
    </xf>
    <xf numFmtId="0" fontId="17" fillId="0" borderId="0" xfId="8" applyFont="1" applyFill="1" applyBorder="1" applyAlignment="1">
      <alignment vertical="top"/>
    </xf>
    <xf numFmtId="0" fontId="70" fillId="0" borderId="0" xfId="8" applyFont="1" applyAlignment="1">
      <alignment horizontal="left" vertical="top" wrapText="1"/>
    </xf>
    <xf numFmtId="0" fontId="6" fillId="0" borderId="0" xfId="8" applyFont="1" applyFill="1" applyAlignment="1">
      <alignment vertical="top"/>
    </xf>
    <xf numFmtId="0" fontId="71" fillId="0" borderId="0" xfId="8" applyFont="1" applyAlignment="1">
      <alignment vertical="top" wrapText="1"/>
    </xf>
    <xf numFmtId="0" fontId="6" fillId="4" borderId="0" xfId="8" applyFont="1" applyFill="1" applyAlignment="1">
      <alignment vertical="top" wrapText="1"/>
    </xf>
    <xf numFmtId="0" fontId="0" fillId="4" borderId="0" xfId="0" applyFill="1" applyBorder="1" applyAlignment="1"/>
    <xf numFmtId="166" fontId="67" fillId="0" borderId="0" xfId="0" applyNumberFormat="1" applyFont="1" applyFill="1" applyAlignment="1">
      <alignment horizontal="centerContinuous"/>
    </xf>
    <xf numFmtId="165" fontId="9" fillId="0" borderId="0" xfId="0" applyNumberFormat="1" applyFont="1" applyFill="1" applyAlignment="1">
      <alignment horizontal="centerContinuous"/>
    </xf>
    <xf numFmtId="166" fontId="9" fillId="0" borderId="0" xfId="0" applyNumberFormat="1" applyFont="1" applyFill="1" applyBorder="1"/>
    <xf numFmtId="165" fontId="9" fillId="0" borderId="0" xfId="0" applyNumberFormat="1" applyFont="1" applyFill="1" applyBorder="1"/>
    <xf numFmtId="0" fontId="6" fillId="0" borderId="0" xfId="8" applyFont="1" applyFill="1" applyAlignment="1">
      <alignment vertical="top" wrapText="1"/>
    </xf>
    <xf numFmtId="37" fontId="9" fillId="0" borderId="81" xfId="0" applyNumberFormat="1" applyFont="1" applyBorder="1"/>
    <xf numFmtId="37" fontId="9" fillId="0" borderId="82" xfId="0" applyNumberFormat="1" applyFont="1" applyBorder="1"/>
    <xf numFmtId="37" fontId="9" fillId="0" borderId="83" xfId="0" applyNumberFormat="1" applyFont="1" applyBorder="1"/>
    <xf numFmtId="37" fontId="9" fillId="0" borderId="84" xfId="0" applyNumberFormat="1" applyFont="1" applyBorder="1"/>
    <xf numFmtId="37" fontId="9" fillId="0" borderId="85" xfId="0" applyNumberFormat="1" applyFont="1" applyBorder="1"/>
    <xf numFmtId="37" fontId="9" fillId="0" borderId="86" xfId="0" applyNumberFormat="1" applyFont="1" applyBorder="1"/>
    <xf numFmtId="37" fontId="30" fillId="0" borderId="87" xfId="0" applyNumberFormat="1" applyFont="1" applyBorder="1"/>
    <xf numFmtId="37" fontId="7" fillId="2" borderId="81" xfId="0" applyNumberFormat="1" applyFont="1" applyFill="1" applyBorder="1" applyAlignment="1"/>
    <xf numFmtId="37" fontId="7" fillId="2" borderId="82" xfId="0" applyNumberFormat="1" applyFont="1" applyFill="1" applyBorder="1" applyAlignment="1"/>
    <xf numFmtId="37" fontId="7" fillId="2" borderId="83" xfId="0" applyNumberFormat="1" applyFont="1" applyFill="1" applyBorder="1" applyAlignment="1"/>
    <xf numFmtId="37" fontId="30" fillId="0" borderId="88" xfId="0" applyNumberFormat="1" applyFont="1" applyBorder="1"/>
    <xf numFmtId="0" fontId="7" fillId="2" borderId="89" xfId="0" applyNumberFormat="1" applyFont="1" applyFill="1" applyBorder="1" applyAlignment="1">
      <alignment horizontal="left"/>
    </xf>
    <xf numFmtId="0" fontId="7" fillId="2" borderId="90" xfId="0" applyNumberFormat="1" applyFont="1" applyFill="1" applyBorder="1" applyAlignment="1">
      <alignment horizontal="left"/>
    </xf>
    <xf numFmtId="0" fontId="7" fillId="2" borderId="91" xfId="0" applyNumberFormat="1" applyFont="1" applyFill="1" applyBorder="1" applyAlignment="1">
      <alignment horizontal="left"/>
    </xf>
    <xf numFmtId="0" fontId="29" fillId="2" borderId="92" xfId="0" applyNumberFormat="1" applyFont="1" applyFill="1" applyBorder="1" applyAlignment="1">
      <alignment horizontal="left" indent="5"/>
    </xf>
    <xf numFmtId="165" fontId="2" fillId="0" borderId="0" xfId="0" applyNumberFormat="1" applyFont="1" applyBorder="1"/>
    <xf numFmtId="0" fontId="49" fillId="0" borderId="0" xfId="0" applyFont="1" applyBorder="1" applyAlignment="1">
      <alignment vertical="top" wrapText="1"/>
    </xf>
    <xf numFmtId="0" fontId="32" fillId="0" borderId="0" xfId="0" applyFont="1" applyBorder="1" applyAlignment="1">
      <alignment horizontal="center" vertical="top"/>
    </xf>
    <xf numFmtId="0" fontId="39" fillId="0" borderId="0" xfId="0" applyFont="1" applyBorder="1" applyAlignment="1">
      <alignment horizontal="center" vertical="top" wrapText="1"/>
    </xf>
    <xf numFmtId="0" fontId="0" fillId="4" borderId="0" xfId="0" applyFill="1" applyBorder="1" applyAlignment="1">
      <alignment horizontal="center" vertical="top"/>
    </xf>
    <xf numFmtId="0" fontId="56" fillId="0" borderId="0" xfId="0" applyFont="1" applyAlignment="1"/>
    <xf numFmtId="0" fontId="73" fillId="0" borderId="0" xfId="0" applyFont="1" applyBorder="1" applyAlignment="1">
      <alignment horizontal="center"/>
    </xf>
    <xf numFmtId="0" fontId="72" fillId="0" borderId="0" xfId="0" applyFont="1" applyBorder="1" applyAlignment="1">
      <alignment vertical="top" wrapText="1"/>
    </xf>
    <xf numFmtId="0" fontId="32" fillId="4" borderId="0" xfId="0" applyFont="1" applyFill="1" applyBorder="1" applyAlignment="1">
      <alignment horizontal="center" vertical="top"/>
    </xf>
    <xf numFmtId="164" fontId="32" fillId="0" borderId="0" xfId="0" applyNumberFormat="1" applyFont="1" applyBorder="1" applyAlignment="1">
      <alignment vertical="top" wrapText="1"/>
    </xf>
    <xf numFmtId="0" fontId="39" fillId="0" borderId="0" xfId="0" applyFont="1" applyBorder="1" applyAlignment="1">
      <alignment horizontal="center"/>
    </xf>
    <xf numFmtId="0" fontId="43" fillId="4" borderId="0" xfId="0" applyFont="1" applyFill="1" applyBorder="1" applyAlignment="1">
      <alignment vertical="top" wrapText="1"/>
    </xf>
    <xf numFmtId="0" fontId="6" fillId="0" borderId="44" xfId="0" applyNumberFormat="1" applyFont="1" applyBorder="1" applyAlignment="1"/>
    <xf numFmtId="0" fontId="17" fillId="0" borderId="73" xfId="0" applyNumberFormat="1" applyFont="1" applyBorder="1" applyAlignment="1">
      <alignment horizontal="right"/>
    </xf>
    <xf numFmtId="0" fontId="17" fillId="0" borderId="74" xfId="0" applyNumberFormat="1" applyFont="1" applyBorder="1" applyAlignment="1">
      <alignment horizontal="right"/>
    </xf>
    <xf numFmtId="0" fontId="17" fillId="0" borderId="75" xfId="0" applyNumberFormat="1" applyFont="1" applyBorder="1" applyAlignment="1">
      <alignment horizontal="right"/>
    </xf>
    <xf numFmtId="37" fontId="6" fillId="0" borderId="7" xfId="0" applyNumberFormat="1" applyFont="1" applyFill="1" applyBorder="1" applyAlignment="1"/>
    <xf numFmtId="37" fontId="6" fillId="0" borderId="3" xfId="0" applyNumberFormat="1" applyFont="1" applyFill="1" applyBorder="1" applyAlignment="1"/>
    <xf numFmtId="37" fontId="6" fillId="0" borderId="4" xfId="0" applyNumberFormat="1" applyFont="1" applyFill="1" applyBorder="1" applyAlignment="1"/>
    <xf numFmtId="0" fontId="17" fillId="0" borderId="44" xfId="0" applyNumberFormat="1" applyFont="1" applyBorder="1" applyAlignment="1">
      <alignment horizontal="left" indent="3"/>
    </xf>
    <xf numFmtId="37" fontId="17" fillId="0" borderId="7" xfId="0" applyNumberFormat="1" applyFont="1" applyBorder="1" applyAlignment="1"/>
    <xf numFmtId="37" fontId="17" fillId="0" borderId="3" xfId="0" applyNumberFormat="1" applyFont="1" applyBorder="1" applyAlignment="1"/>
    <xf numFmtId="5" fontId="17" fillId="0" borderId="3" xfId="0" applyNumberFormat="1" applyFont="1" applyBorder="1" applyAlignment="1"/>
    <xf numFmtId="5" fontId="17" fillId="0" borderId="4" xfId="0" applyNumberFormat="1" applyFont="1" applyBorder="1" applyAlignment="1"/>
    <xf numFmtId="37" fontId="6" fillId="0" borderId="4" xfId="0" applyNumberFormat="1" applyFont="1" applyBorder="1" applyAlignment="1"/>
    <xf numFmtId="37" fontId="6" fillId="0" borderId="44" xfId="0" applyNumberFormat="1" applyFont="1" applyBorder="1" applyAlignment="1"/>
    <xf numFmtId="37" fontId="6" fillId="0" borderId="47" xfId="0" applyNumberFormat="1" applyFont="1" applyBorder="1" applyAlignment="1"/>
    <xf numFmtId="37" fontId="6" fillId="0" borderId="20" xfId="0" applyNumberFormat="1" applyFont="1" applyBorder="1" applyAlignment="1"/>
    <xf numFmtId="0" fontId="6" fillId="0" borderId="77" xfId="0" applyNumberFormat="1" applyFont="1" applyBorder="1" applyAlignment="1"/>
    <xf numFmtId="0" fontId="6" fillId="0" borderId="13" xfId="0" applyNumberFormat="1" applyFont="1" applyBorder="1" applyAlignment="1">
      <alignment horizontal="left" indent="3"/>
    </xf>
    <xf numFmtId="0" fontId="6" fillId="0" borderId="53" xfId="0" applyNumberFormat="1" applyFont="1" applyBorder="1" applyAlignment="1">
      <alignment horizontal="left" indent="3"/>
    </xf>
    <xf numFmtId="5" fontId="6" fillId="0" borderId="3" xfId="0" applyNumberFormat="1" applyFont="1" applyBorder="1" applyAlignment="1"/>
    <xf numFmtId="5" fontId="6" fillId="0" borderId="4" xfId="0" applyNumberFormat="1" applyFont="1" applyBorder="1" applyAlignment="1"/>
    <xf numFmtId="165" fontId="6" fillId="0" borderId="0" xfId="0" applyNumberFormat="1" applyFont="1" applyAlignment="1">
      <alignment horizontal="centerContinuous"/>
    </xf>
    <xf numFmtId="3" fontId="7" fillId="2" borderId="0" xfId="0" applyNumberFormat="1" applyFont="1" applyFill="1" applyAlignment="1"/>
    <xf numFmtId="165" fontId="58" fillId="0" borderId="0" xfId="0" applyNumberFormat="1" applyFont="1" applyAlignment="1"/>
    <xf numFmtId="0" fontId="9" fillId="0" borderId="0" xfId="9" applyNumberFormat="1" applyFont="1" applyFill="1" applyBorder="1" applyAlignment="1" applyProtection="1"/>
    <xf numFmtId="0" fontId="75" fillId="0" borderId="0" xfId="9" applyFont="1" applyBorder="1" applyAlignment="1">
      <alignment vertical="center"/>
    </xf>
    <xf numFmtId="0" fontId="75" fillId="0" borderId="0" xfId="9" applyFont="1" applyAlignment="1">
      <alignment vertical="center"/>
    </xf>
    <xf numFmtId="0" fontId="77" fillId="0" borderId="47" xfId="9" applyFont="1" applyFill="1" applyBorder="1" applyAlignment="1">
      <alignment horizontal="left" vertical="center"/>
    </xf>
    <xf numFmtId="0" fontId="77" fillId="0" borderId="93" xfId="9" applyFont="1" applyFill="1" applyBorder="1" applyAlignment="1">
      <alignment horizontal="left" vertical="center"/>
    </xf>
    <xf numFmtId="0" fontId="77" fillId="0" borderId="13" xfId="9" applyFont="1" applyFill="1" applyBorder="1" applyAlignment="1">
      <alignment horizontal="left" vertical="center"/>
    </xf>
    <xf numFmtId="0" fontId="77" fillId="0" borderId="94" xfId="9" applyFont="1" applyFill="1" applyBorder="1" applyAlignment="1">
      <alignment horizontal="left" vertical="center"/>
    </xf>
    <xf numFmtId="166" fontId="77" fillId="0" borderId="13" xfId="9" applyNumberFormat="1" applyFont="1" applyFill="1" applyBorder="1" applyAlignment="1">
      <alignment horizontal="left" vertical="center"/>
    </xf>
    <xf numFmtId="0" fontId="78" fillId="0" borderId="94" xfId="9" applyFont="1" applyFill="1" applyBorder="1" applyAlignment="1">
      <alignment horizontal="left" vertical="center"/>
    </xf>
    <xf numFmtId="166" fontId="78" fillId="0" borderId="13" xfId="9" applyNumberFormat="1" applyFont="1" applyFill="1" applyBorder="1" applyAlignment="1">
      <alignment horizontal="left" vertical="center"/>
    </xf>
    <xf numFmtId="0" fontId="77" fillId="0" borderId="95" xfId="9" applyFont="1" applyFill="1" applyBorder="1" applyAlignment="1">
      <alignment horizontal="left" vertical="center"/>
    </xf>
    <xf numFmtId="0" fontId="77" fillId="0" borderId="44" xfId="9" applyFont="1" applyFill="1" applyBorder="1" applyAlignment="1">
      <alignment vertical="center"/>
    </xf>
    <xf numFmtId="0" fontId="77" fillId="0" borderId="77" xfId="9" applyFont="1" applyFill="1" applyBorder="1" applyAlignment="1">
      <alignment vertical="center"/>
    </xf>
    <xf numFmtId="0" fontId="77" fillId="0" borderId="13" xfId="9" applyFont="1" applyFill="1" applyBorder="1" applyAlignment="1">
      <alignment vertical="center"/>
    </xf>
    <xf numFmtId="0" fontId="77" fillId="0" borderId="79" xfId="9" applyFont="1" applyFill="1" applyBorder="1" applyAlignment="1">
      <alignment vertical="center"/>
    </xf>
    <xf numFmtId="166" fontId="78" fillId="0" borderId="53" xfId="9" applyNumberFormat="1" applyFont="1" applyFill="1" applyBorder="1" applyAlignment="1">
      <alignment horizontal="left" vertical="center"/>
    </xf>
    <xf numFmtId="0" fontId="78" fillId="0" borderId="96" xfId="9" applyFont="1" applyFill="1" applyBorder="1" applyAlignment="1">
      <alignment horizontal="left" vertical="center"/>
    </xf>
    <xf numFmtId="0" fontId="78" fillId="0" borderId="44" xfId="9" applyFont="1" applyFill="1" applyBorder="1" applyAlignment="1">
      <alignment vertical="center"/>
    </xf>
    <xf numFmtId="0" fontId="79" fillId="0" borderId="47" xfId="9" applyNumberFormat="1" applyFont="1" applyFill="1" applyBorder="1" applyAlignment="1" applyProtection="1"/>
    <xf numFmtId="166" fontId="78" fillId="0" borderId="77" xfId="9" applyNumberFormat="1" applyFont="1" applyFill="1" applyBorder="1" applyAlignment="1">
      <alignment horizontal="left" vertical="center"/>
    </xf>
    <xf numFmtId="0" fontId="78" fillId="0" borderId="93" xfId="9" applyFont="1" applyFill="1" applyBorder="1" applyAlignment="1">
      <alignment horizontal="left" vertical="center"/>
    </xf>
    <xf numFmtId="166" fontId="78" fillId="0" borderId="79" xfId="9" applyNumberFormat="1" applyFont="1" applyFill="1" applyBorder="1" applyAlignment="1">
      <alignment horizontal="left" vertical="center"/>
    </xf>
    <xf numFmtId="0" fontId="78" fillId="0" borderId="95" xfId="9" applyFont="1" applyFill="1" applyBorder="1" applyAlignment="1">
      <alignment horizontal="left" vertical="center"/>
    </xf>
    <xf numFmtId="0" fontId="78" fillId="0" borderId="47" xfId="9" applyFont="1" applyFill="1" applyBorder="1" applyAlignment="1">
      <alignment horizontal="right" vertical="center"/>
    </xf>
    <xf numFmtId="0" fontId="78" fillId="0" borderId="15" xfId="9" applyFont="1" applyFill="1" applyBorder="1" applyAlignment="1">
      <alignment vertical="center"/>
    </xf>
    <xf numFmtId="0" fontId="78" fillId="0" borderId="82" xfId="9" applyFont="1" applyFill="1" applyBorder="1" applyAlignment="1">
      <alignment horizontal="left" vertical="center"/>
    </xf>
    <xf numFmtId="0" fontId="78" fillId="0" borderId="79" xfId="9" applyFont="1" applyFill="1" applyBorder="1" applyAlignment="1">
      <alignment vertical="center"/>
    </xf>
    <xf numFmtId="0" fontId="78" fillId="0" borderId="47" xfId="9" applyFont="1" applyFill="1" applyBorder="1" applyAlignment="1">
      <alignment horizontal="left" vertical="center"/>
    </xf>
    <xf numFmtId="0" fontId="77" fillId="0" borderId="7" xfId="9" applyFont="1" applyFill="1" applyBorder="1" applyAlignment="1">
      <alignment vertical="center"/>
    </xf>
    <xf numFmtId="0" fontId="77" fillId="0" borderId="3" xfId="9" applyFont="1" applyFill="1" applyBorder="1" applyAlignment="1">
      <alignment horizontal="left" vertical="center"/>
    </xf>
    <xf numFmtId="37" fontId="77" fillId="0" borderId="47" xfId="1" applyNumberFormat="1" applyFont="1" applyFill="1" applyBorder="1" applyAlignment="1">
      <alignment horizontal="right" vertical="center"/>
    </xf>
    <xf numFmtId="37" fontId="77" fillId="0" borderId="20" xfId="1" applyNumberFormat="1" applyFont="1" applyFill="1" applyBorder="1" applyAlignment="1">
      <alignment horizontal="right" vertical="center"/>
    </xf>
    <xf numFmtId="37" fontId="77" fillId="0" borderId="97" xfId="1" applyNumberFormat="1" applyFont="1" applyFill="1" applyBorder="1" applyAlignment="1">
      <alignment horizontal="right" vertical="center"/>
    </xf>
    <xf numFmtId="37" fontId="77" fillId="0" borderId="98" xfId="1" applyNumberFormat="1" applyFont="1" applyFill="1" applyBorder="1" applyAlignment="1">
      <alignment horizontal="right" vertical="center"/>
    </xf>
    <xf numFmtId="37" fontId="77" fillId="0" borderId="99" xfId="1" applyNumberFormat="1" applyFont="1" applyFill="1" applyBorder="1" applyAlignment="1">
      <alignment horizontal="right" vertical="center"/>
    </xf>
    <xf numFmtId="37" fontId="77" fillId="0" borderId="100" xfId="1" applyNumberFormat="1" applyFont="1" applyFill="1" applyBorder="1" applyAlignment="1">
      <alignment horizontal="right" vertical="center"/>
    </xf>
    <xf numFmtId="37" fontId="77" fillId="0" borderId="101" xfId="1" applyNumberFormat="1" applyFont="1" applyFill="1" applyBorder="1" applyAlignment="1">
      <alignment horizontal="right" vertical="center"/>
    </xf>
    <xf numFmtId="37" fontId="77" fillId="0" borderId="94" xfId="1" applyNumberFormat="1" applyFont="1" applyFill="1" applyBorder="1" applyAlignment="1">
      <alignment horizontal="right" vertical="center"/>
    </xf>
    <xf numFmtId="37" fontId="77" fillId="0" borderId="102" xfId="1" applyNumberFormat="1" applyFont="1" applyFill="1" applyBorder="1" applyAlignment="1">
      <alignment horizontal="right" vertical="center"/>
    </xf>
    <xf numFmtId="37" fontId="77" fillId="0" borderId="103" xfId="1" applyNumberFormat="1" applyFont="1" applyFill="1" applyBorder="1" applyAlignment="1">
      <alignment horizontal="right" vertical="center"/>
    </xf>
    <xf numFmtId="37" fontId="77" fillId="0" borderId="104" xfId="1" applyNumberFormat="1" applyFont="1" applyFill="1" applyBorder="1" applyAlignment="1">
      <alignment horizontal="right" vertical="center"/>
    </xf>
    <xf numFmtId="37" fontId="77" fillId="0" borderId="3" xfId="1" applyNumberFormat="1" applyFont="1" applyFill="1" applyBorder="1" applyAlignment="1">
      <alignment horizontal="right" vertical="center"/>
    </xf>
    <xf numFmtId="37" fontId="77" fillId="0" borderId="4" xfId="1" applyNumberFormat="1" applyFont="1" applyFill="1" applyBorder="1" applyAlignment="1">
      <alignment horizontal="right" vertical="center"/>
    </xf>
    <xf numFmtId="37" fontId="9" fillId="0" borderId="0" xfId="1" applyNumberFormat="1" applyFont="1" applyFill="1" applyBorder="1" applyAlignment="1" applyProtection="1"/>
    <xf numFmtId="37" fontId="79" fillId="0" borderId="47" xfId="1" applyNumberFormat="1" applyFont="1" applyFill="1" applyBorder="1" applyAlignment="1" applyProtection="1"/>
    <xf numFmtId="37" fontId="79" fillId="0" borderId="20" xfId="1" applyNumberFormat="1" applyFont="1" applyFill="1" applyBorder="1" applyAlignment="1" applyProtection="1"/>
    <xf numFmtId="37" fontId="78" fillId="0" borderId="97" xfId="1" applyNumberFormat="1" applyFont="1" applyFill="1" applyBorder="1" applyAlignment="1">
      <alignment horizontal="right" vertical="center"/>
    </xf>
    <xf numFmtId="37" fontId="78" fillId="0" borderId="98" xfId="1" applyNumberFormat="1" applyFont="1" applyFill="1" applyBorder="1" applyAlignment="1">
      <alignment horizontal="right" vertical="center"/>
    </xf>
    <xf numFmtId="37" fontId="78" fillId="0" borderId="99" xfId="1" applyNumberFormat="1" applyFont="1" applyFill="1" applyBorder="1" applyAlignment="1">
      <alignment horizontal="right" vertical="center"/>
    </xf>
    <xf numFmtId="37" fontId="78" fillId="0" borderId="100" xfId="1" applyNumberFormat="1" applyFont="1" applyFill="1" applyBorder="1" applyAlignment="1">
      <alignment horizontal="right" vertical="center"/>
    </xf>
    <xf numFmtId="37" fontId="78" fillId="0" borderId="101" xfId="1" applyNumberFormat="1" applyFont="1" applyFill="1" applyBorder="1" applyAlignment="1">
      <alignment horizontal="right" vertical="center"/>
    </xf>
    <xf numFmtId="37" fontId="78" fillId="0" borderId="102" xfId="1" applyNumberFormat="1" applyFont="1" applyFill="1" applyBorder="1" applyAlignment="1">
      <alignment horizontal="right" vertical="center"/>
    </xf>
    <xf numFmtId="37" fontId="78" fillId="0" borderId="103" xfId="1" applyNumberFormat="1" applyFont="1" applyFill="1" applyBorder="1" applyAlignment="1">
      <alignment horizontal="right" vertical="center"/>
    </xf>
    <xf numFmtId="37" fontId="78" fillId="0" borderId="104" xfId="1" applyNumberFormat="1" applyFont="1" applyFill="1" applyBorder="1" applyAlignment="1">
      <alignment horizontal="right" vertical="center"/>
    </xf>
    <xf numFmtId="37" fontId="78" fillId="0" borderId="85" xfId="1" applyNumberFormat="1" applyFont="1" applyFill="1" applyBorder="1" applyAlignment="1">
      <alignment horizontal="right" vertical="center"/>
    </xf>
    <xf numFmtId="37" fontId="78" fillId="0" borderId="105" xfId="1" applyNumberFormat="1" applyFont="1" applyFill="1" applyBorder="1" applyAlignment="1">
      <alignment horizontal="right" vertical="center"/>
    </xf>
    <xf numFmtId="37" fontId="78" fillId="0" borderId="47" xfId="1" applyNumberFormat="1" applyFont="1" applyFill="1" applyBorder="1" applyAlignment="1">
      <alignment horizontal="right" vertical="center"/>
    </xf>
    <xf numFmtId="37" fontId="78" fillId="0" borderId="20" xfId="1" applyNumberFormat="1" applyFont="1" applyFill="1" applyBorder="1" applyAlignment="1">
      <alignment horizontal="right" vertical="center"/>
    </xf>
    <xf numFmtId="37" fontId="6" fillId="0" borderId="46" xfId="0" applyNumberFormat="1" applyFont="1" applyBorder="1" applyAlignment="1"/>
    <xf numFmtId="0" fontId="71" fillId="0" borderId="8" xfId="0" applyNumberFormat="1" applyFont="1" applyBorder="1" applyAlignment="1"/>
    <xf numFmtId="0" fontId="71" fillId="0" borderId="0" xfId="0" applyNumberFormat="1" applyFont="1" applyBorder="1" applyAlignment="1"/>
    <xf numFmtId="0" fontId="71" fillId="0" borderId="46" xfId="0" applyNumberFormat="1" applyFont="1" applyBorder="1" applyAlignment="1"/>
    <xf numFmtId="0" fontId="71" fillId="0" borderId="0" xfId="0" applyNumberFormat="1" applyFont="1" applyAlignment="1"/>
    <xf numFmtId="0" fontId="53" fillId="0" borderId="0" xfId="12" applyFont="1"/>
    <xf numFmtId="0" fontId="0" fillId="0" borderId="0" xfId="0" applyAlignment="1"/>
    <xf numFmtId="0" fontId="21" fillId="0" borderId="0" xfId="12"/>
    <xf numFmtId="0" fontId="17" fillId="0" borderId="0" xfId="12" applyFont="1"/>
    <xf numFmtId="0" fontId="23" fillId="0" borderId="0" xfId="12" applyFont="1"/>
    <xf numFmtId="0" fontId="9" fillId="0" borderId="0" xfId="12" applyFont="1"/>
    <xf numFmtId="0" fontId="9" fillId="0" borderId="0" xfId="12" applyFont="1" applyFill="1" applyAlignment="1">
      <alignment vertical="center"/>
    </xf>
    <xf numFmtId="0" fontId="23" fillId="0" borderId="0" xfId="12" applyFont="1" applyFill="1" applyBorder="1" applyAlignment="1">
      <alignment horizontal="centerContinuous"/>
    </xf>
    <xf numFmtId="0" fontId="9" fillId="0" borderId="8" xfId="12" applyFont="1" applyFill="1" applyBorder="1" applyAlignment="1">
      <alignment horizontal="center"/>
    </xf>
    <xf numFmtId="0" fontId="9" fillId="0" borderId="46" xfId="12" applyFont="1" applyFill="1" applyBorder="1" applyAlignment="1">
      <alignment horizontal="center"/>
    </xf>
    <xf numFmtId="0" fontId="9" fillId="0" borderId="0" xfId="12" applyFont="1" applyFill="1"/>
    <xf numFmtId="0" fontId="9" fillId="0" borderId="0" xfId="12" applyFont="1" applyFill="1" applyBorder="1" applyAlignment="1">
      <alignment horizontal="center"/>
    </xf>
    <xf numFmtId="0" fontId="9" fillId="0" borderId="7" xfId="12" applyFont="1" applyFill="1" applyBorder="1" applyAlignment="1">
      <alignment horizontal="center" wrapText="1"/>
    </xf>
    <xf numFmtId="0" fontId="9" fillId="0" borderId="4" xfId="12" applyFont="1" applyFill="1" applyBorder="1" applyAlignment="1">
      <alignment horizontal="center" wrapText="1"/>
    </xf>
    <xf numFmtId="0" fontId="81" fillId="0" borderId="0" xfId="12" applyFont="1" applyFill="1" applyBorder="1" applyAlignment="1">
      <alignment horizontal="center"/>
    </xf>
    <xf numFmtId="0" fontId="9" fillId="0" borderId="2" xfId="12" applyFont="1" applyBorder="1"/>
    <xf numFmtId="37" fontId="9" fillId="0" borderId="8" xfId="12" applyNumberFormat="1" applyFont="1" applyBorder="1"/>
    <xf numFmtId="37" fontId="9" fillId="0" borderId="46" xfId="12" applyNumberFormat="1" applyFont="1" applyBorder="1"/>
    <xf numFmtId="3" fontId="9" fillId="0" borderId="0" xfId="12" applyNumberFormat="1" applyFont="1"/>
    <xf numFmtId="37" fontId="9" fillId="0" borderId="0" xfId="12" applyNumberFormat="1" applyFont="1" applyBorder="1"/>
    <xf numFmtId="37" fontId="9" fillId="0" borderId="78" xfId="12" applyNumberFormat="1" applyFont="1" applyBorder="1"/>
    <xf numFmtId="0" fontId="9" fillId="0" borderId="0" xfId="12" applyFont="1" applyBorder="1"/>
    <xf numFmtId="0" fontId="23" fillId="0" borderId="6" xfId="12" applyFont="1" applyBorder="1"/>
    <xf numFmtId="37" fontId="9" fillId="0" borderId="46" xfId="3" applyNumberFormat="1" applyFont="1" applyBorder="1"/>
    <xf numFmtId="168" fontId="23" fillId="0" borderId="0" xfId="3" applyNumberFormat="1" applyFont="1" applyBorder="1"/>
    <xf numFmtId="0" fontId="9" fillId="0" borderId="6" xfId="0" applyFont="1" applyBorder="1"/>
    <xf numFmtId="0" fontId="9" fillId="0" borderId="6" xfId="0" applyFont="1" applyBorder="1" applyAlignment="1">
      <alignment wrapText="1"/>
    </xf>
    <xf numFmtId="0" fontId="9" fillId="0" borderId="6" xfId="12" applyFont="1" applyBorder="1"/>
    <xf numFmtId="37" fontId="9" fillId="0" borderId="7" xfId="1" applyNumberFormat="1" applyFont="1" applyBorder="1"/>
    <xf numFmtId="37" fontId="9" fillId="0" borderId="4" xfId="1" applyNumberFormat="1" applyFont="1" applyBorder="1"/>
    <xf numFmtId="3" fontId="9" fillId="0" borderId="8" xfId="1" applyNumberFormat="1" applyFont="1" applyBorder="1"/>
    <xf numFmtId="3" fontId="9" fillId="0" borderId="6" xfId="1" applyNumberFormat="1" applyFont="1" applyBorder="1"/>
    <xf numFmtId="37" fontId="9" fillId="0" borderId="3" xfId="1" applyNumberFormat="1" applyFont="1" applyBorder="1"/>
    <xf numFmtId="167" fontId="9" fillId="0" borderId="0" xfId="1" applyNumberFormat="1" applyFont="1" applyBorder="1"/>
    <xf numFmtId="0" fontId="23" fillId="0" borderId="5" xfId="12" applyFont="1" applyBorder="1"/>
    <xf numFmtId="37" fontId="23" fillId="0" borderId="7" xfId="1" applyNumberFormat="1" applyFont="1" applyBorder="1"/>
    <xf numFmtId="37" fontId="23" fillId="0" borderId="4" xfId="1" applyNumberFormat="1" applyFont="1" applyBorder="1"/>
    <xf numFmtId="3" fontId="23" fillId="0" borderId="8" xfId="1" applyNumberFormat="1" applyFont="1" applyBorder="1"/>
    <xf numFmtId="3" fontId="23" fillId="0" borderId="6" xfId="1" applyNumberFormat="1" applyFont="1" applyBorder="1"/>
    <xf numFmtId="167" fontId="23" fillId="0" borderId="0" xfId="1" applyNumberFormat="1" applyFont="1" applyBorder="1"/>
    <xf numFmtId="0" fontId="82" fillId="0" borderId="0" xfId="12" applyFont="1"/>
    <xf numFmtId="170" fontId="9" fillId="0" borderId="0" xfId="12" applyNumberFormat="1" applyFont="1"/>
    <xf numFmtId="0" fontId="23" fillId="0" borderId="6" xfId="12" applyFont="1" applyBorder="1" applyAlignment="1">
      <alignment wrapText="1"/>
    </xf>
    <xf numFmtId="37" fontId="9" fillId="0" borderId="0" xfId="12" applyNumberFormat="1" applyFont="1"/>
    <xf numFmtId="37" fontId="9" fillId="0" borderId="8" xfId="12" applyNumberFormat="1" applyFont="1" applyBorder="1" applyAlignment="1"/>
    <xf numFmtId="37" fontId="9" fillId="0" borderId="46" xfId="12" applyNumberFormat="1" applyFont="1" applyBorder="1" applyAlignment="1"/>
    <xf numFmtId="37" fontId="9" fillId="0" borderId="8" xfId="1" applyNumberFormat="1" applyFont="1" applyBorder="1"/>
    <xf numFmtId="37" fontId="9" fillId="0" borderId="6" xfId="1" applyNumberFormat="1" applyFont="1" applyBorder="1"/>
    <xf numFmtId="37" fontId="9" fillId="0" borderId="4" xfId="12" applyNumberFormat="1" applyFont="1" applyBorder="1"/>
    <xf numFmtId="37" fontId="23" fillId="0" borderId="8" xfId="1" applyNumberFormat="1" applyFont="1" applyBorder="1"/>
    <xf numFmtId="37" fontId="23" fillId="0" borderId="6" xfId="1" applyNumberFormat="1" applyFont="1" applyBorder="1"/>
    <xf numFmtId="37" fontId="23" fillId="0" borderId="44" xfId="1" applyNumberFormat="1" applyFont="1" applyBorder="1"/>
    <xf numFmtId="37" fontId="23" fillId="0" borderId="3" xfId="1" applyNumberFormat="1" applyFont="1" applyBorder="1"/>
    <xf numFmtId="0" fontId="9" fillId="0" borderId="0" xfId="12" applyNumberFormat="1" applyFont="1"/>
    <xf numFmtId="37" fontId="9" fillId="0" borderId="106" xfId="12" applyNumberFormat="1" applyFont="1" applyBorder="1"/>
    <xf numFmtId="0" fontId="23" fillId="0" borderId="107" xfId="12" applyFont="1" applyBorder="1" applyAlignment="1">
      <alignment horizontal="left"/>
    </xf>
    <xf numFmtId="0" fontId="23" fillId="0" borderId="108" xfId="12" applyFont="1" applyBorder="1" applyAlignment="1">
      <alignment horizontal="left"/>
    </xf>
    <xf numFmtId="167" fontId="23" fillId="0" borderId="0" xfId="12" applyNumberFormat="1" applyFont="1" applyBorder="1" applyAlignment="1">
      <alignment horizontal="left"/>
    </xf>
    <xf numFmtId="168" fontId="23" fillId="0" borderId="0" xfId="3" applyNumberFormat="1" applyFont="1" applyBorder="1" applyAlignment="1">
      <alignment horizontal="left"/>
    </xf>
    <xf numFmtId="0" fontId="82" fillId="0" borderId="0" xfId="12" applyFont="1" applyAlignment="1">
      <alignment horizontal="left"/>
    </xf>
    <xf numFmtId="0" fontId="82" fillId="0" borderId="0" xfId="12" applyFont="1" applyBorder="1" applyAlignment="1">
      <alignment horizontal="left"/>
    </xf>
    <xf numFmtId="0" fontId="23" fillId="0" borderId="0" xfId="12" applyFont="1" applyBorder="1" applyAlignment="1">
      <alignment horizontal="left"/>
    </xf>
    <xf numFmtId="0" fontId="9" fillId="3" borderId="0" xfId="12" applyFont="1" applyFill="1" applyBorder="1" applyAlignment="1">
      <alignment horizontal="center"/>
    </xf>
    <xf numFmtId="0" fontId="23" fillId="3" borderId="0" xfId="12" applyFont="1" applyFill="1" applyBorder="1" applyAlignment="1">
      <alignment horizontal="left"/>
    </xf>
    <xf numFmtId="37" fontId="23" fillId="3" borderId="0" xfId="12" applyNumberFormat="1" applyFont="1" applyFill="1" applyBorder="1" applyAlignment="1">
      <alignment horizontal="left"/>
    </xf>
    <xf numFmtId="5" fontId="23" fillId="3" borderId="0" xfId="3" applyNumberFormat="1" applyFont="1" applyFill="1" applyBorder="1" applyAlignment="1">
      <alignment horizontal="left"/>
    </xf>
    <xf numFmtId="5" fontId="23" fillId="3" borderId="0" xfId="12" applyNumberFormat="1" applyFont="1" applyFill="1" applyBorder="1" applyAlignment="1">
      <alignment horizontal="left"/>
    </xf>
    <xf numFmtId="167" fontId="23" fillId="3" borderId="0" xfId="12" applyNumberFormat="1" applyFont="1" applyFill="1" applyBorder="1" applyAlignment="1">
      <alignment horizontal="left"/>
    </xf>
    <xf numFmtId="168" fontId="23" fillId="3" borderId="0" xfId="3" applyNumberFormat="1" applyFont="1" applyFill="1" applyBorder="1" applyAlignment="1">
      <alignment horizontal="left"/>
    </xf>
    <xf numFmtId="167" fontId="15" fillId="0" borderId="0" xfId="12" applyNumberFormat="1" applyFont="1" applyFill="1" applyAlignment="1">
      <alignment horizontal="centerContinuous"/>
    </xf>
    <xf numFmtId="167" fontId="16" fillId="0" borderId="0" xfId="12" applyNumberFormat="1" applyFont="1" applyFill="1"/>
    <xf numFmtId="0" fontId="16" fillId="0" borderId="0" xfId="12" applyFont="1" applyFill="1"/>
    <xf numFmtId="0" fontId="15" fillId="0" borderId="0" xfId="0" applyFont="1" applyFill="1" applyBorder="1" applyAlignment="1">
      <alignment wrapText="1"/>
    </xf>
    <xf numFmtId="0" fontId="22" fillId="7" borderId="0" xfId="12" applyFont="1" applyFill="1" applyAlignment="1">
      <alignment horizontal="centerContinuous"/>
    </xf>
    <xf numFmtId="0" fontId="15" fillId="7" borderId="0" xfId="12" applyFont="1" applyFill="1" applyAlignment="1">
      <alignment horizontal="centerContinuous"/>
    </xf>
    <xf numFmtId="167" fontId="15" fillId="7" borderId="0" xfId="12" applyNumberFormat="1" applyFont="1" applyFill="1" applyAlignment="1">
      <alignment horizontal="centerContinuous"/>
    </xf>
    <xf numFmtId="0" fontId="15" fillId="7" borderId="0" xfId="0" applyFont="1" applyFill="1" applyBorder="1" applyAlignment="1">
      <alignment vertical="top" wrapText="1"/>
    </xf>
    <xf numFmtId="0" fontId="15" fillId="7" borderId="0" xfId="0" applyFont="1" applyFill="1" applyBorder="1" applyAlignment="1"/>
    <xf numFmtId="0" fontId="16" fillId="7" borderId="0" xfId="12" applyFont="1" applyFill="1"/>
    <xf numFmtId="5" fontId="6" fillId="0" borderId="0" xfId="3" applyNumberFormat="1" applyFont="1" applyFill="1" applyBorder="1" applyAlignment="1">
      <alignment vertical="top"/>
    </xf>
    <xf numFmtId="0" fontId="6" fillId="0" borderId="0" xfId="8" applyFont="1" applyFill="1" applyBorder="1" applyAlignment="1">
      <alignment horizontal="center" vertical="top" wrapText="1"/>
    </xf>
    <xf numFmtId="7" fontId="6" fillId="0" borderId="0" xfId="3" applyNumberFormat="1" applyFont="1" applyFill="1" applyBorder="1" applyAlignment="1">
      <alignment vertical="top"/>
    </xf>
    <xf numFmtId="0" fontId="89" fillId="0" borderId="0" xfId="0" applyFont="1"/>
    <xf numFmtId="0" fontId="7" fillId="2" borderId="15" xfId="0" applyNumberFormat="1" applyFont="1" applyFill="1" applyBorder="1" applyAlignment="1">
      <alignment horizontal="left" indent="1"/>
    </xf>
    <xf numFmtId="0" fontId="28" fillId="0" borderId="79" xfId="0" applyNumberFormat="1" applyFont="1" applyFill="1" applyBorder="1" applyAlignment="1">
      <alignment horizontal="left" indent="2"/>
    </xf>
    <xf numFmtId="37" fontId="28" fillId="0" borderId="79" xfId="0" applyNumberFormat="1" applyFont="1" applyFill="1" applyBorder="1" applyAlignment="1"/>
    <xf numFmtId="37" fontId="28" fillId="0" borderId="111" xfId="0" applyNumberFormat="1" applyFont="1" applyFill="1" applyBorder="1" applyAlignment="1"/>
    <xf numFmtId="37" fontId="28" fillId="0" borderId="112" xfId="0" applyNumberFormat="1" applyFont="1" applyFill="1" applyBorder="1" applyAlignment="1"/>
    <xf numFmtId="0" fontId="28" fillId="0" borderId="113" xfId="0" applyNumberFormat="1" applyFont="1" applyFill="1" applyBorder="1" applyAlignment="1">
      <alignment horizontal="left" indent="2"/>
    </xf>
    <xf numFmtId="37" fontId="28" fillId="0" borderId="76" xfId="0" applyNumberFormat="1" applyFont="1" applyFill="1" applyBorder="1" applyAlignment="1"/>
    <xf numFmtId="37" fontId="28" fillId="0" borderId="114" xfId="0" applyNumberFormat="1" applyFont="1" applyFill="1" applyBorder="1" applyAlignment="1"/>
    <xf numFmtId="37" fontId="28" fillId="0" borderId="115" xfId="0" applyNumberFormat="1" applyFont="1" applyFill="1" applyBorder="1" applyAlignment="1"/>
    <xf numFmtId="0" fontId="77" fillId="0" borderId="96" xfId="9" applyFont="1" applyFill="1" applyBorder="1" applyAlignment="1">
      <alignment horizontal="left" vertical="center"/>
    </xf>
    <xf numFmtId="0" fontId="77" fillId="0" borderId="53" xfId="9" applyFont="1" applyFill="1" applyBorder="1" applyAlignment="1">
      <alignment vertical="center"/>
    </xf>
    <xf numFmtId="37" fontId="6" fillId="0" borderId="14" xfId="0" applyNumberFormat="1" applyFont="1" applyBorder="1" applyAlignment="1"/>
    <xf numFmtId="1" fontId="6" fillId="0" borderId="17" xfId="0" applyNumberFormat="1" applyFont="1" applyBorder="1" applyAlignment="1">
      <alignment horizontal="right"/>
    </xf>
    <xf numFmtId="3" fontId="6" fillId="0" borderId="56" xfId="0" applyNumberFormat="1" applyFont="1" applyBorder="1" applyAlignment="1"/>
    <xf numFmtId="37" fontId="7" fillId="2" borderId="20" xfId="0" applyNumberFormat="1" applyFont="1" applyFill="1" applyBorder="1" applyAlignment="1"/>
    <xf numFmtId="3" fontId="18" fillId="0" borderId="0" xfId="5" applyNumberFormat="1" applyFont="1" applyAlignment="1"/>
    <xf numFmtId="0" fontId="16" fillId="0" borderId="0" xfId="7"/>
    <xf numFmtId="0" fontId="15" fillId="2" borderId="0" xfId="13" applyFont="1" applyFill="1" applyAlignment="1">
      <alignment horizontal="center"/>
    </xf>
    <xf numFmtId="0" fontId="84" fillId="2" borderId="0" xfId="13" applyFont="1" applyFill="1" applyAlignment="1">
      <alignment horizontal="center"/>
    </xf>
    <xf numFmtId="0" fontId="15" fillId="2" borderId="0" xfId="13" applyFont="1" applyFill="1" applyAlignment="1">
      <alignment wrapText="1"/>
    </xf>
    <xf numFmtId="0" fontId="16" fillId="2" borderId="0" xfId="7" applyFill="1"/>
    <xf numFmtId="0" fontId="22" fillId="4" borderId="0" xfId="7" applyFont="1" applyFill="1" applyAlignment="1">
      <alignment horizontal="centerContinuous"/>
    </xf>
    <xf numFmtId="0" fontId="16" fillId="4" borderId="0" xfId="7" applyFont="1" applyFill="1"/>
    <xf numFmtId="37" fontId="7" fillId="2" borderId="13" xfId="0" applyNumberFormat="1" applyFont="1" applyFill="1" applyBorder="1" applyAlignment="1"/>
    <xf numFmtId="0" fontId="85" fillId="0" borderId="0" xfId="6"/>
    <xf numFmtId="0" fontId="86" fillId="0" borderId="0" xfId="6" applyFont="1"/>
    <xf numFmtId="0" fontId="9" fillId="0" borderId="0" xfId="6" applyFont="1"/>
    <xf numFmtId="3" fontId="30" fillId="0" borderId="48" xfId="11" applyNumberFormat="1" applyFont="1" applyBorder="1"/>
    <xf numFmtId="3" fontId="30" fillId="0" borderId="47" xfId="11" applyNumberFormat="1" applyFont="1" applyBorder="1"/>
    <xf numFmtId="3" fontId="30" fillId="0" borderId="44" xfId="11" applyNumberFormat="1" applyFont="1" applyBorder="1"/>
    <xf numFmtId="0" fontId="30" fillId="0" borderId="44" xfId="11" applyFont="1" applyBorder="1" applyAlignment="1">
      <alignment horizontal="left"/>
    </xf>
    <xf numFmtId="3" fontId="87" fillId="0" borderId="4" xfId="6" applyNumberFormat="1" applyFont="1" applyBorder="1"/>
    <xf numFmtId="3" fontId="87" fillId="0" borderId="3" xfId="6" applyNumberFormat="1" applyFont="1" applyBorder="1"/>
    <xf numFmtId="3" fontId="87" fillId="0" borderId="7" xfId="6" applyNumberFormat="1" applyFont="1" applyBorder="1"/>
    <xf numFmtId="0" fontId="87" fillId="0" borderId="5" xfId="11" applyFont="1" applyBorder="1"/>
    <xf numFmtId="3" fontId="87" fillId="0" borderId="116" xfId="6" applyNumberFormat="1" applyFont="1" applyBorder="1"/>
    <xf numFmtId="3" fontId="87" fillId="0" borderId="80" xfId="6" applyNumberFormat="1" applyFont="1" applyBorder="1"/>
    <xf numFmtId="3" fontId="87" fillId="0" borderId="13" xfId="6" applyNumberFormat="1" applyFont="1" applyBorder="1"/>
    <xf numFmtId="0" fontId="87" fillId="0" borderId="14" xfId="11" applyFont="1" applyBorder="1"/>
    <xf numFmtId="3" fontId="87" fillId="0" borderId="11" xfId="6" applyNumberFormat="1" applyFont="1" applyBorder="1"/>
    <xf numFmtId="0" fontId="87" fillId="0" borderId="9" xfId="11" applyFont="1" applyBorder="1"/>
    <xf numFmtId="3" fontId="87" fillId="0" borderId="15" xfId="6" applyNumberFormat="1" applyFont="1" applyBorder="1"/>
    <xf numFmtId="0" fontId="87" fillId="0" borderId="46" xfId="11" applyFont="1" applyBorder="1"/>
    <xf numFmtId="0" fontId="87" fillId="0" borderId="0" xfId="11" applyFont="1" applyBorder="1"/>
    <xf numFmtId="0" fontId="87" fillId="0" borderId="6" xfId="11" applyFont="1" applyBorder="1"/>
    <xf numFmtId="0" fontId="30" fillId="0" borderId="4" xfId="11" applyFont="1" applyBorder="1" applyAlignment="1">
      <alignment horizontal="center"/>
    </xf>
    <xf numFmtId="0" fontId="30" fillId="0" borderId="3" xfId="11" applyFont="1" applyBorder="1" applyAlignment="1">
      <alignment horizontal="center"/>
    </xf>
    <xf numFmtId="0" fontId="30" fillId="0" borderId="6" xfId="11" applyFont="1" applyBorder="1"/>
    <xf numFmtId="0" fontId="30" fillId="0" borderId="117" xfId="11" applyFont="1" applyBorder="1" applyAlignment="1">
      <alignment horizontal="center"/>
    </xf>
    <xf numFmtId="0" fontId="30" fillId="0" borderId="48" xfId="11" applyFont="1" applyBorder="1"/>
    <xf numFmtId="0" fontId="9" fillId="0" borderId="0" xfId="11" applyFont="1" applyAlignment="1">
      <alignment horizontal="centerContinuous"/>
    </xf>
    <xf numFmtId="0" fontId="17" fillId="0" borderId="0" xfId="11" applyFont="1" applyAlignment="1">
      <alignment horizontal="centerContinuous"/>
    </xf>
    <xf numFmtId="0" fontId="9" fillId="0" borderId="0" xfId="11" applyFont="1"/>
    <xf numFmtId="3" fontId="17" fillId="0" borderId="0" xfId="6" applyNumberFormat="1" applyFont="1" applyAlignment="1"/>
    <xf numFmtId="0" fontId="22" fillId="4" borderId="0" xfId="0" applyFont="1" applyFill="1" applyBorder="1" applyAlignment="1">
      <alignment horizontal="center" vertical="top"/>
    </xf>
    <xf numFmtId="3" fontId="15" fillId="0" borderId="0" xfId="0" applyNumberFormat="1" applyFont="1" applyAlignment="1"/>
    <xf numFmtId="165" fontId="15" fillId="0" borderId="0" xfId="0" applyNumberFormat="1" applyFont="1" applyAlignment="1"/>
    <xf numFmtId="3" fontId="31" fillId="0" borderId="0" xfId="0" applyNumberFormat="1" applyFont="1" applyAlignment="1"/>
    <xf numFmtId="3" fontId="15" fillId="6" borderId="0" xfId="0" applyNumberFormat="1" applyFont="1" applyFill="1" applyAlignment="1"/>
    <xf numFmtId="37" fontId="15" fillId="6" borderId="0" xfId="0" applyNumberFormat="1" applyFont="1" applyFill="1" applyAlignment="1"/>
    <xf numFmtId="3" fontId="15" fillId="4" borderId="0" xfId="0" applyNumberFormat="1" applyFont="1" applyFill="1" applyAlignment="1"/>
    <xf numFmtId="165" fontId="15" fillId="0" borderId="0" xfId="0" applyNumberFormat="1" applyFont="1" applyFill="1" applyAlignment="1"/>
    <xf numFmtId="165" fontId="22" fillId="4" borderId="0" xfId="0" applyNumberFormat="1" applyFont="1" applyFill="1" applyAlignment="1">
      <alignment horizontal="center" wrapText="1"/>
    </xf>
    <xf numFmtId="0" fontId="15" fillId="4" borderId="0" xfId="0" applyFont="1" applyFill="1" applyBorder="1" applyAlignment="1">
      <alignment wrapText="1"/>
    </xf>
    <xf numFmtId="0" fontId="15" fillId="4" borderId="0" xfId="0" applyFont="1" applyFill="1" applyBorder="1" applyAlignment="1"/>
    <xf numFmtId="165" fontId="50" fillId="0" borderId="0" xfId="0" applyNumberFormat="1" applyFont="1" applyAlignment="1"/>
    <xf numFmtId="165" fontId="15" fillId="4" borderId="0" xfId="0" applyNumberFormat="1" applyFont="1" applyFill="1" applyBorder="1" applyAlignment="1">
      <alignment vertical="top" wrapText="1"/>
    </xf>
    <xf numFmtId="3" fontId="45" fillId="0" borderId="0" xfId="0" applyNumberFormat="1" applyFont="1" applyAlignment="1"/>
    <xf numFmtId="165" fontId="45" fillId="0" borderId="0" xfId="0" applyNumberFormat="1" applyFont="1" applyAlignment="1"/>
    <xf numFmtId="165" fontId="45" fillId="0" borderId="0" xfId="0" applyNumberFormat="1" applyFont="1" applyFill="1" applyAlignment="1"/>
    <xf numFmtId="165" fontId="88" fillId="0" borderId="0" xfId="0" applyNumberFormat="1" applyFont="1" applyFill="1" applyAlignment="1"/>
    <xf numFmtId="165" fontId="15" fillId="0" borderId="0" xfId="0" applyNumberFormat="1" applyFont="1"/>
    <xf numFmtId="0" fontId="0" fillId="0" borderId="0" xfId="0" applyBorder="1" applyAlignment="1">
      <alignment vertical="top" wrapText="1"/>
    </xf>
    <xf numFmtId="0" fontId="15" fillId="4" borderId="0" xfId="0" applyFont="1" applyFill="1" applyBorder="1" applyAlignment="1">
      <alignment wrapText="1"/>
    </xf>
    <xf numFmtId="3" fontId="7" fillId="2" borderId="0" xfId="0" applyNumberFormat="1" applyFont="1" applyFill="1" applyAlignment="1">
      <alignment horizontal="center"/>
    </xf>
    <xf numFmtId="3" fontId="7" fillId="2" borderId="0" xfId="0" applyNumberFormat="1" applyFont="1" applyFill="1" applyBorder="1" applyAlignment="1">
      <alignment horizontal="center"/>
    </xf>
    <xf numFmtId="5" fontId="17" fillId="0" borderId="5" xfId="0" applyNumberFormat="1" applyFont="1" applyBorder="1" applyAlignment="1"/>
    <xf numFmtId="37" fontId="6" fillId="0" borderId="48" xfId="0" applyNumberFormat="1" applyFont="1" applyBorder="1" applyAlignment="1"/>
    <xf numFmtId="5" fontId="6" fillId="0" borderId="5" xfId="0" applyNumberFormat="1" applyFont="1" applyBorder="1" applyAlignment="1"/>
    <xf numFmtId="0" fontId="17" fillId="0" borderId="120" xfId="0" applyNumberFormat="1" applyFont="1" applyBorder="1" applyAlignment="1">
      <alignment horizontal="center"/>
    </xf>
    <xf numFmtId="0" fontId="17" fillId="0" borderId="74" xfId="0" applyNumberFormat="1" applyFont="1" applyBorder="1" applyAlignment="1">
      <alignment horizontal="center"/>
    </xf>
    <xf numFmtId="37" fontId="25" fillId="2" borderId="22" xfId="0" applyNumberFormat="1" applyFont="1" applyFill="1" applyBorder="1" applyAlignment="1">
      <alignment horizontal="center"/>
    </xf>
    <xf numFmtId="37" fontId="25" fillId="2" borderId="29" xfId="0" applyNumberFormat="1" applyFont="1" applyFill="1" applyBorder="1" applyAlignment="1">
      <alignment horizontal="center"/>
    </xf>
    <xf numFmtId="37" fontId="25" fillId="2" borderId="31" xfId="0" applyNumberFormat="1" applyFont="1" applyFill="1" applyBorder="1" applyAlignment="1">
      <alignment horizontal="center"/>
    </xf>
    <xf numFmtId="37" fontId="25" fillId="2" borderId="37" xfId="0" applyNumberFormat="1" applyFont="1" applyFill="1" applyBorder="1" applyAlignment="1">
      <alignment horizontal="center"/>
    </xf>
    <xf numFmtId="37" fontId="25" fillId="2" borderId="40" xfId="0" applyNumberFormat="1" applyFont="1" applyFill="1" applyBorder="1" applyAlignment="1">
      <alignment horizontal="center"/>
    </xf>
    <xf numFmtId="37" fontId="25" fillId="2" borderId="42" xfId="0" applyNumberFormat="1" applyFont="1" applyFill="1" applyBorder="1" applyAlignment="1">
      <alignment horizontal="center"/>
    </xf>
    <xf numFmtId="37" fontId="25" fillId="2" borderId="61" xfId="0" applyNumberFormat="1" applyFont="1" applyFill="1" applyBorder="1" applyAlignment="1">
      <alignment horizontal="center"/>
    </xf>
    <xf numFmtId="5" fontId="26" fillId="2" borderId="50" xfId="0" applyNumberFormat="1" applyFont="1" applyFill="1" applyBorder="1" applyAlignment="1">
      <alignment horizontal="center"/>
    </xf>
    <xf numFmtId="3" fontId="5" fillId="2" borderId="0" xfId="0" applyNumberFormat="1" applyFont="1" applyFill="1" applyBorder="1" applyAlignment="1">
      <alignment horizontal="center"/>
    </xf>
    <xf numFmtId="37" fontId="25" fillId="2" borderId="23" xfId="0" applyNumberFormat="1" applyFont="1" applyFill="1" applyBorder="1" applyAlignment="1">
      <alignment horizontal="center"/>
    </xf>
    <xf numFmtId="37" fontId="25" fillId="2" borderId="32" xfId="0" applyNumberFormat="1" applyFont="1" applyFill="1" applyBorder="1" applyAlignment="1">
      <alignment horizontal="center"/>
    </xf>
    <xf numFmtId="37" fontId="25" fillId="2" borderId="0" xfId="0" applyNumberFormat="1" applyFont="1" applyFill="1" applyAlignment="1">
      <alignment horizontal="center"/>
    </xf>
    <xf numFmtId="37" fontId="25" fillId="2" borderId="0" xfId="0" applyNumberFormat="1" applyFont="1" applyFill="1" applyBorder="1" applyAlignment="1">
      <alignment horizontal="center"/>
    </xf>
    <xf numFmtId="5" fontId="26" fillId="2" borderId="51" xfId="0" applyNumberFormat="1" applyFont="1" applyFill="1" applyBorder="1" applyAlignment="1">
      <alignment horizontal="center"/>
    </xf>
    <xf numFmtId="0" fontId="24" fillId="0" borderId="0" xfId="0" applyFont="1" applyFill="1" applyAlignment="1">
      <alignment horizontal="center"/>
    </xf>
    <xf numFmtId="0" fontId="0" fillId="0" borderId="0" xfId="0" applyFill="1" applyBorder="1" applyAlignment="1">
      <alignment horizontal="center" vertical="top" wrapText="1"/>
    </xf>
    <xf numFmtId="0" fontId="26" fillId="2" borderId="72" xfId="0" applyNumberFormat="1" applyFont="1" applyFill="1" applyBorder="1" applyAlignment="1">
      <alignment horizontal="center"/>
    </xf>
    <xf numFmtId="37" fontId="25" fillId="2" borderId="26" xfId="0" applyNumberFormat="1" applyFont="1" applyFill="1" applyBorder="1" applyAlignment="1">
      <alignment horizontal="center"/>
    </xf>
    <xf numFmtId="37" fontId="25" fillId="2" borderId="33" xfId="0" applyNumberFormat="1" applyFont="1" applyFill="1" applyBorder="1" applyAlignment="1">
      <alignment horizontal="center"/>
    </xf>
    <xf numFmtId="37" fontId="25" fillId="2" borderId="35" xfId="0" applyNumberFormat="1" applyFont="1" applyFill="1" applyBorder="1" applyAlignment="1">
      <alignment horizontal="center"/>
    </xf>
    <xf numFmtId="37" fontId="25" fillId="2" borderId="36" xfId="0" applyNumberFormat="1" applyFont="1" applyFill="1" applyBorder="1" applyAlignment="1">
      <alignment horizontal="center"/>
    </xf>
    <xf numFmtId="37" fontId="25" fillId="2" borderId="38" xfId="0" applyNumberFormat="1" applyFont="1" applyFill="1" applyBorder="1" applyAlignment="1">
      <alignment horizontal="center"/>
    </xf>
    <xf numFmtId="37" fontId="25" fillId="2" borderId="41" xfId="0" applyNumberFormat="1" applyFont="1" applyFill="1" applyBorder="1" applyAlignment="1">
      <alignment horizontal="center"/>
    </xf>
    <xf numFmtId="37" fontId="25" fillId="2" borderId="43" xfId="0" applyNumberFormat="1" applyFont="1" applyFill="1" applyBorder="1" applyAlignment="1">
      <alignment horizontal="center"/>
    </xf>
    <xf numFmtId="37" fontId="25" fillId="2" borderId="27" xfId="0" applyNumberFormat="1" applyFont="1" applyFill="1" applyBorder="1" applyAlignment="1">
      <alignment horizontal="center"/>
    </xf>
    <xf numFmtId="5" fontId="26" fillId="2" borderId="52" xfId="0" applyNumberFormat="1" applyFont="1" applyFill="1" applyBorder="1" applyAlignment="1">
      <alignment horizontal="center"/>
    </xf>
    <xf numFmtId="0" fontId="50" fillId="0" borderId="0" xfId="0" applyFont="1" applyAlignment="1">
      <alignment horizontal="center"/>
    </xf>
    <xf numFmtId="0" fontId="90" fillId="2" borderId="21" xfId="0" applyNumberFormat="1" applyFont="1" applyFill="1" applyBorder="1" applyAlignment="1">
      <alignment horizontal="left"/>
    </xf>
    <xf numFmtId="0" fontId="90" fillId="2" borderId="66" xfId="0" applyNumberFormat="1" applyFont="1" applyFill="1" applyBorder="1" applyAlignment="1">
      <alignment horizontal="left"/>
    </xf>
    <xf numFmtId="0" fontId="90" fillId="2" borderId="28" xfId="0" applyNumberFormat="1" applyFont="1" applyFill="1" applyBorder="1" applyAlignment="1">
      <alignment horizontal="left"/>
    </xf>
    <xf numFmtId="0" fontId="90" fillId="2" borderId="67" xfId="0" applyNumberFormat="1" applyFont="1" applyFill="1" applyBorder="1" applyAlignment="1">
      <alignment horizontal="left"/>
    </xf>
    <xf numFmtId="0" fontId="90" fillId="2" borderId="68" xfId="0" applyNumberFormat="1" applyFont="1" applyFill="1" applyBorder="1" applyAlignment="1">
      <alignment horizontal="left"/>
    </xf>
    <xf numFmtId="0" fontId="80" fillId="0" borderId="6" xfId="0" applyNumberFormat="1" applyFont="1" applyBorder="1"/>
    <xf numFmtId="0" fontId="90" fillId="2" borderId="69" xfId="0" applyNumberFormat="1" applyFont="1" applyFill="1" applyBorder="1" applyAlignment="1">
      <alignment horizontal="left"/>
    </xf>
    <xf numFmtId="0" fontId="36" fillId="2" borderId="70" xfId="0" applyNumberFormat="1" applyFont="1" applyFill="1" applyBorder="1" applyAlignment="1">
      <alignment horizontal="left"/>
    </xf>
    <xf numFmtId="37" fontId="6" fillId="0" borderId="53" xfId="0" applyNumberFormat="1" applyFont="1" applyBorder="1" applyAlignment="1"/>
    <xf numFmtId="37" fontId="6" fillId="0" borderId="54" xfId="0" applyNumberFormat="1" applyFont="1" applyBorder="1" applyAlignment="1"/>
    <xf numFmtId="37" fontId="6" fillId="0" borderId="55" xfId="0" applyNumberFormat="1" applyFont="1" applyBorder="1" applyAlignment="1"/>
    <xf numFmtId="5" fontId="7" fillId="2" borderId="54" xfId="0" applyNumberFormat="1" applyFont="1" applyFill="1" applyBorder="1" applyAlignment="1"/>
    <xf numFmtId="5" fontId="7" fillId="2" borderId="55" xfId="0" applyNumberFormat="1" applyFont="1" applyFill="1" applyBorder="1" applyAlignment="1"/>
    <xf numFmtId="0" fontId="0" fillId="0" borderId="0" xfId="0"/>
    <xf numFmtId="0" fontId="0" fillId="0" borderId="0" xfId="0" applyFill="1" applyBorder="1" applyAlignment="1">
      <alignment vertical="top" wrapText="1"/>
    </xf>
    <xf numFmtId="0" fontId="0" fillId="0" borderId="0" xfId="0" applyBorder="1" applyAlignment="1">
      <alignment horizontal="center"/>
    </xf>
    <xf numFmtId="0" fontId="22" fillId="4" borderId="0" xfId="0" applyFont="1" applyFill="1" applyBorder="1" applyAlignment="1">
      <alignment horizontal="center"/>
    </xf>
    <xf numFmtId="0" fontId="0" fillId="0" borderId="0" xfId="0" applyBorder="1"/>
    <xf numFmtId="37" fontId="3" fillId="0" borderId="11" xfId="0" applyNumberFormat="1" applyFont="1" applyBorder="1" applyAlignment="1"/>
    <xf numFmtId="37" fontId="23" fillId="0" borderId="109" xfId="12" applyNumberFormat="1" applyFont="1" applyBorder="1" applyAlignment="1">
      <alignment horizontal="right"/>
    </xf>
    <xf numFmtId="5" fontId="23" fillId="0" borderId="110" xfId="3" applyNumberFormat="1" applyFont="1" applyBorder="1" applyAlignment="1">
      <alignment horizontal="right"/>
    </xf>
    <xf numFmtId="0" fontId="23" fillId="0" borderId="108" xfId="12" applyFont="1" applyBorder="1" applyAlignment="1">
      <alignment horizontal="right"/>
    </xf>
    <xf numFmtId="0" fontId="3" fillId="0" borderId="76" xfId="0" applyNumberFormat="1" applyFont="1" applyBorder="1" applyAlignment="1">
      <alignment horizontal="left"/>
    </xf>
    <xf numFmtId="0" fontId="3" fillId="0" borderId="13" xfId="0" applyNumberFormat="1" applyFont="1" applyBorder="1" applyAlignment="1">
      <alignment horizontal="left" wrapText="1"/>
    </xf>
    <xf numFmtId="0" fontId="26" fillId="2" borderId="152" xfId="0" applyNumberFormat="1" applyFont="1" applyFill="1" applyBorder="1" applyAlignment="1">
      <alignment horizontal="right"/>
    </xf>
    <xf numFmtId="0" fontId="26" fillId="2" borderId="74" xfId="0" applyNumberFormat="1" applyFont="1" applyFill="1" applyBorder="1" applyAlignment="1">
      <alignment horizontal="center"/>
    </xf>
    <xf numFmtId="0" fontId="32" fillId="0" borderId="0" xfId="0" applyFont="1" applyBorder="1" applyAlignment="1">
      <alignment vertical="top" wrapText="1"/>
    </xf>
    <xf numFmtId="37" fontId="91" fillId="0" borderId="114" xfId="0" applyNumberFormat="1" applyFont="1" applyFill="1" applyBorder="1" applyAlignment="1"/>
    <xf numFmtId="37" fontId="87" fillId="0" borderId="11" xfId="6" applyNumberFormat="1" applyFont="1" applyBorder="1"/>
    <xf numFmtId="37" fontId="87" fillId="0" borderId="80" xfId="6" applyNumberFormat="1" applyFont="1" applyBorder="1"/>
    <xf numFmtId="0" fontId="0" fillId="0" borderId="0" xfId="0"/>
    <xf numFmtId="0" fontId="6" fillId="2" borderId="0" xfId="13" applyFont="1" applyFill="1" applyAlignment="1">
      <alignment wrapText="1"/>
    </xf>
    <xf numFmtId="37" fontId="32" fillId="0" borderId="0" xfId="0" applyNumberFormat="1" applyFont="1" applyBorder="1" applyAlignment="1">
      <alignment horizontal="right"/>
    </xf>
    <xf numFmtId="164" fontId="32" fillId="0" borderId="0" xfId="0" applyNumberFormat="1" applyFont="1" applyBorder="1" applyAlignment="1">
      <alignment horizontal="right" wrapText="1"/>
    </xf>
    <xf numFmtId="0" fontId="32" fillId="0" borderId="0" xfId="0" applyFont="1" applyBorder="1" applyAlignment="1">
      <alignment horizontal="right" wrapText="1"/>
    </xf>
    <xf numFmtId="0" fontId="3" fillId="2" borderId="0" xfId="13" applyFont="1" applyFill="1" applyAlignment="1">
      <alignment horizontal="left" wrapText="1"/>
    </xf>
    <xf numFmtId="0" fontId="6" fillId="2" borderId="0" xfId="13" applyFont="1" applyFill="1" applyAlignment="1">
      <alignment horizontal="left" wrapText="1"/>
    </xf>
    <xf numFmtId="0" fontId="70" fillId="2" borderId="0" xfId="13" applyFont="1" applyFill="1" applyAlignment="1">
      <alignment horizontal="left" wrapText="1"/>
    </xf>
    <xf numFmtId="0" fontId="70" fillId="0" borderId="0" xfId="13" applyFont="1" applyFill="1" applyAlignment="1">
      <alignment horizontal="left" wrapText="1"/>
    </xf>
    <xf numFmtId="4" fontId="26" fillId="0" borderId="57" xfId="0" applyNumberFormat="1" applyFont="1" applyFill="1" applyBorder="1" applyAlignment="1"/>
    <xf numFmtId="3" fontId="18" fillId="0" borderId="0" xfId="5" applyNumberFormat="1" applyFont="1" applyAlignment="1">
      <alignment horizontal="center"/>
    </xf>
    <xf numFmtId="0" fontId="15" fillId="0" borderId="0" xfId="5" applyBorder="1" applyAlignment="1">
      <alignment horizontal="center"/>
    </xf>
    <xf numFmtId="0" fontId="26" fillId="0" borderId="73" xfId="0" applyNumberFormat="1" applyFont="1" applyFill="1" applyBorder="1" applyAlignment="1">
      <alignment horizontal="right"/>
    </xf>
    <xf numFmtId="0" fontId="26" fillId="0" borderId="74" xfId="0" applyNumberFormat="1" applyFont="1" applyFill="1" applyBorder="1" applyAlignment="1">
      <alignment horizontal="right"/>
    </xf>
    <xf numFmtId="0" fontId="26" fillId="0" borderId="75" xfId="0" applyNumberFormat="1" applyFont="1" applyFill="1" applyBorder="1" applyAlignment="1">
      <alignment horizontal="right"/>
    </xf>
    <xf numFmtId="37" fontId="25" fillId="0" borderId="15" xfId="0" applyNumberFormat="1" applyFont="1" applyFill="1" applyBorder="1" applyAlignment="1"/>
    <xf numFmtId="37" fontId="25" fillId="0" borderId="11" xfId="0" applyNumberFormat="1" applyFont="1" applyFill="1" applyBorder="1" applyAlignment="1"/>
    <xf numFmtId="5" fontId="25" fillId="0" borderId="115" xfId="0" applyNumberFormat="1" applyFont="1" applyFill="1" applyBorder="1" applyAlignment="1"/>
    <xf numFmtId="5" fontId="25" fillId="0" borderId="12" xfId="0" applyNumberFormat="1" applyFont="1" applyFill="1" applyBorder="1" applyAlignment="1"/>
    <xf numFmtId="5" fontId="25" fillId="0" borderId="116" xfId="0" applyNumberFormat="1" applyFont="1" applyFill="1" applyBorder="1" applyAlignment="1"/>
    <xf numFmtId="0" fontId="26" fillId="0" borderId="44" xfId="0" applyNumberFormat="1" applyFont="1" applyFill="1" applyBorder="1" applyAlignment="1">
      <alignment horizontal="left"/>
    </xf>
    <xf numFmtId="37" fontId="26" fillId="0" borderId="44" xfId="0" applyNumberFormat="1" applyFont="1" applyFill="1" applyBorder="1" applyAlignment="1"/>
    <xf numFmtId="37" fontId="26" fillId="0" borderId="47" xfId="0" applyNumberFormat="1" applyFont="1" applyFill="1" applyBorder="1" applyAlignment="1"/>
    <xf numFmtId="5" fontId="26" fillId="0" borderId="20" xfId="0" applyNumberFormat="1" applyFont="1" applyFill="1" applyBorder="1" applyAlignment="1"/>
    <xf numFmtId="0" fontId="26" fillId="0" borderId="15" xfId="0" applyNumberFormat="1" applyFont="1" applyFill="1" applyBorder="1" applyAlignment="1">
      <alignment horizontal="left"/>
    </xf>
    <xf numFmtId="4" fontId="25" fillId="0" borderId="15" xfId="0" applyNumberFormat="1" applyFont="1" applyFill="1" applyBorder="1" applyAlignment="1"/>
    <xf numFmtId="164" fontId="26" fillId="0" borderId="11" xfId="0" applyNumberFormat="1" applyFont="1" applyFill="1" applyBorder="1" applyAlignment="1"/>
    <xf numFmtId="4" fontId="6" fillId="0" borderId="15" xfId="0" applyNumberFormat="1" applyFont="1" applyFill="1" applyBorder="1" applyAlignment="1"/>
    <xf numFmtId="5" fontId="25" fillId="0" borderId="153" xfId="0" applyNumberFormat="1" applyFont="1" applyFill="1" applyBorder="1" applyAlignment="1"/>
    <xf numFmtId="4" fontId="25" fillId="0" borderId="15" xfId="0" applyNumberFormat="1" applyFont="1" applyFill="1" applyBorder="1" applyAlignment="1">
      <alignment horizontal="right"/>
    </xf>
    <xf numFmtId="0" fontId="26" fillId="0" borderId="45" xfId="0" applyNumberFormat="1" applyFont="1" applyFill="1" applyBorder="1" applyAlignment="1">
      <alignment horizontal="left"/>
    </xf>
    <xf numFmtId="4" fontId="25" fillId="0" borderId="45" xfId="0" applyNumberFormat="1" applyFont="1" applyFill="1" applyBorder="1" applyAlignment="1">
      <alignment horizontal="right"/>
    </xf>
    <xf numFmtId="4" fontId="25" fillId="0" borderId="45" xfId="0" applyNumberFormat="1" applyFont="1" applyFill="1" applyBorder="1" applyAlignment="1"/>
    <xf numFmtId="5" fontId="25" fillId="0" borderId="154" xfId="0" applyNumberFormat="1" applyFont="1" applyFill="1" applyBorder="1" applyAlignment="1"/>
    <xf numFmtId="165" fontId="22" fillId="0" borderId="0" xfId="0" applyNumberFormat="1" applyFont="1" applyFill="1" applyAlignment="1">
      <alignment horizontal="centerContinuous"/>
    </xf>
    <xf numFmtId="3" fontId="58" fillId="0" borderId="0" xfId="5" applyNumberFormat="1" applyFont="1" applyAlignment="1"/>
    <xf numFmtId="3" fontId="3" fillId="0" borderId="0" xfId="5" applyNumberFormat="1" applyFont="1" applyAlignment="1"/>
    <xf numFmtId="1" fontId="17" fillId="0" borderId="17" xfId="5" applyNumberFormat="1" applyFont="1" applyBorder="1" applyAlignment="1">
      <alignment horizontal="right"/>
    </xf>
    <xf numFmtId="164" fontId="17" fillId="0" borderId="56" xfId="5" applyNumberFormat="1" applyFont="1" applyBorder="1" applyAlignment="1"/>
    <xf numFmtId="37" fontId="3" fillId="0" borderId="9" xfId="5" applyNumberFormat="1" applyFont="1" applyBorder="1" applyAlignment="1">
      <alignment horizontal="right"/>
    </xf>
    <xf numFmtId="37" fontId="3" fillId="0" borderId="12" xfId="5" applyNumberFormat="1" applyFont="1" applyBorder="1" applyAlignment="1"/>
    <xf numFmtId="37" fontId="3" fillId="0" borderId="16" xfId="5" applyNumberFormat="1" applyFont="1" applyBorder="1" applyAlignment="1">
      <alignment horizontal="right"/>
    </xf>
    <xf numFmtId="37" fontId="3" fillId="0" borderId="16" xfId="5" applyNumberFormat="1" applyFont="1" applyBorder="1" applyAlignment="1"/>
    <xf numFmtId="37" fontId="3" fillId="0" borderId="17" xfId="5" applyNumberFormat="1" applyFont="1" applyBorder="1" applyAlignment="1">
      <alignment horizontal="right"/>
    </xf>
    <xf numFmtId="37" fontId="3" fillId="0" borderId="17" xfId="5" applyNumberFormat="1" applyFont="1" applyBorder="1" applyAlignment="1"/>
    <xf numFmtId="1" fontId="3" fillId="0" borderId="17" xfId="5" applyNumberFormat="1" applyFont="1" applyBorder="1" applyAlignment="1">
      <alignment horizontal="right"/>
    </xf>
    <xf numFmtId="3" fontId="3" fillId="0" borderId="56" xfId="5" applyNumberFormat="1" applyFont="1" applyBorder="1" applyAlignment="1"/>
    <xf numFmtId="37" fontId="17" fillId="0" borderId="18" xfId="5" applyNumberFormat="1" applyFont="1" applyBorder="1" applyAlignment="1">
      <alignment horizontal="right"/>
    </xf>
    <xf numFmtId="37" fontId="17" fillId="0" borderId="18" xfId="5" applyNumberFormat="1" applyFont="1" applyBorder="1" applyAlignment="1"/>
    <xf numFmtId="37" fontId="3" fillId="0" borderId="9" xfId="5" applyNumberFormat="1" applyFont="1" applyBorder="1" applyAlignment="1"/>
    <xf numFmtId="37" fontId="17" fillId="0" borderId="14" xfId="5" applyNumberFormat="1" applyFont="1" applyBorder="1" applyAlignment="1">
      <alignment horizontal="right"/>
    </xf>
    <xf numFmtId="37" fontId="3" fillId="0" borderId="12" xfId="5" applyNumberFormat="1" applyFont="1" applyBorder="1" applyAlignment="1">
      <alignment horizontal="right"/>
    </xf>
    <xf numFmtId="37" fontId="3" fillId="0" borderId="14" xfId="5" applyNumberFormat="1" applyFont="1" applyBorder="1" applyAlignment="1"/>
    <xf numFmtId="37" fontId="3" fillId="0" borderId="6" xfId="5" applyNumberFormat="1" applyFont="1" applyBorder="1" applyAlignment="1"/>
    <xf numFmtId="37" fontId="3" fillId="0" borderId="10" xfId="5" applyNumberFormat="1" applyFont="1" applyBorder="1" applyAlignment="1"/>
    <xf numFmtId="37" fontId="3" fillId="0" borderId="5" xfId="5" applyNumberFormat="1" applyFont="1" applyBorder="1" applyAlignment="1"/>
    <xf numFmtId="37" fontId="17" fillId="0" borderId="5" xfId="5" applyNumberFormat="1" applyFont="1" applyBorder="1" applyAlignment="1"/>
    <xf numFmtId="165" fontId="3" fillId="0" borderId="0" xfId="5" applyNumberFormat="1" applyFont="1" applyAlignment="1"/>
    <xf numFmtId="3" fontId="17" fillId="0" borderId="0" xfId="5" applyNumberFormat="1" applyFont="1" applyAlignment="1">
      <alignment horizontal="centerContinuous"/>
    </xf>
    <xf numFmtId="165" fontId="17" fillId="0" borderId="0" xfId="5" applyNumberFormat="1" applyFont="1" applyAlignment="1">
      <alignment horizontal="centerContinuous"/>
    </xf>
    <xf numFmtId="0" fontId="3" fillId="0" borderId="73" xfId="5" applyNumberFormat="1" applyFont="1" applyBorder="1" applyAlignment="1">
      <alignment horizontal="right"/>
    </xf>
    <xf numFmtId="0" fontId="3" fillId="0" borderId="74" xfId="5" applyNumberFormat="1" applyFont="1" applyBorder="1" applyAlignment="1">
      <alignment horizontal="center"/>
    </xf>
    <xf numFmtId="0" fontId="3" fillId="0" borderId="74" xfId="5" applyNumberFormat="1" applyFont="1" applyBorder="1" applyAlignment="1">
      <alignment horizontal="right"/>
    </xf>
    <xf numFmtId="0" fontId="3" fillId="0" borderId="73" xfId="5" applyNumberFormat="1" applyFont="1" applyBorder="1" applyAlignment="1">
      <alignment horizontal="center"/>
    </xf>
    <xf numFmtId="0" fontId="3" fillId="0" borderId="75" xfId="5" applyNumberFormat="1" applyFont="1" applyBorder="1" applyAlignment="1">
      <alignment horizontal="right"/>
    </xf>
    <xf numFmtId="0" fontId="3" fillId="0" borderId="15" xfId="5" applyNumberFormat="1" applyFont="1" applyBorder="1" applyAlignment="1"/>
    <xf numFmtId="0" fontId="3" fillId="0" borderId="114" xfId="5" applyNumberFormat="1" applyFont="1" applyBorder="1" applyAlignment="1"/>
    <xf numFmtId="0" fontId="3" fillId="0" borderId="115" xfId="5" applyNumberFormat="1" applyFont="1" applyBorder="1" applyAlignment="1"/>
    <xf numFmtId="37" fontId="3" fillId="0" borderId="15" xfId="5" applyNumberFormat="1" applyFont="1" applyBorder="1" applyAlignment="1">
      <alignment horizontal="center"/>
    </xf>
    <xf numFmtId="37" fontId="3" fillId="0" borderId="11" xfId="5" applyNumberFormat="1" applyFont="1" applyBorder="1" applyAlignment="1">
      <alignment horizontal="center"/>
    </xf>
    <xf numFmtId="37" fontId="3" fillId="0" borderId="11" xfId="5" applyNumberFormat="1" applyFont="1" applyBorder="1" applyAlignment="1"/>
    <xf numFmtId="3" fontId="3" fillId="0" borderId="115" xfId="5" applyNumberFormat="1" applyFont="1" applyBorder="1" applyAlignment="1"/>
    <xf numFmtId="164" fontId="3" fillId="0" borderId="11" xfId="5" applyNumberFormat="1" applyFont="1" applyBorder="1" applyAlignment="1">
      <alignment horizontal="right"/>
    </xf>
    <xf numFmtId="3" fontId="3" fillId="0" borderId="11" xfId="5" applyNumberFormat="1" applyFont="1" applyBorder="1" applyAlignment="1">
      <alignment horizontal="right"/>
    </xf>
    <xf numFmtId="3" fontId="3" fillId="0" borderId="11" xfId="5" applyNumberFormat="1" applyFont="1" applyBorder="1" applyAlignment="1"/>
    <xf numFmtId="3" fontId="3" fillId="0" borderId="12" xfId="5" applyNumberFormat="1" applyFont="1" applyBorder="1" applyAlignment="1">
      <alignment horizontal="right"/>
    </xf>
    <xf numFmtId="164" fontId="3" fillId="0" borderId="11" xfId="5" applyNumberFormat="1" applyFont="1" applyBorder="1" applyAlignment="1"/>
    <xf numFmtId="0" fontId="3" fillId="0" borderId="11" xfId="5" applyNumberFormat="1" applyFont="1" applyBorder="1" applyAlignment="1"/>
    <xf numFmtId="0" fontId="3" fillId="0" borderId="80" xfId="5" applyNumberFormat="1" applyFont="1" applyBorder="1" applyAlignment="1"/>
    <xf numFmtId="0" fontId="3" fillId="0" borderId="116" xfId="5" applyNumberFormat="1" applyFont="1" applyBorder="1" applyAlignment="1"/>
    <xf numFmtId="41" fontId="3" fillId="0" borderId="11" xfId="5" applyNumberFormat="1" applyFont="1" applyBorder="1" applyAlignment="1"/>
    <xf numFmtId="3" fontId="3" fillId="0" borderId="12" xfId="5" applyNumberFormat="1" applyFont="1" applyBorder="1" applyAlignment="1"/>
    <xf numFmtId="0" fontId="3" fillId="0" borderId="13" xfId="5" applyNumberFormat="1" applyFont="1" applyBorder="1" applyAlignment="1"/>
    <xf numFmtId="0" fontId="3" fillId="0" borderId="7" xfId="5" applyNumberFormat="1" applyFont="1" applyBorder="1" applyAlignment="1"/>
    <xf numFmtId="0" fontId="17" fillId="0" borderId="3" xfId="5" applyNumberFormat="1" applyFont="1" applyBorder="1" applyAlignment="1"/>
    <xf numFmtId="37" fontId="17" fillId="0" borderId="53" xfId="5" applyNumberFormat="1" applyFont="1" applyBorder="1" applyAlignment="1">
      <alignment horizontal="center"/>
    </xf>
    <xf numFmtId="37" fontId="17" fillId="0" borderId="3" xfId="5" applyNumberFormat="1" applyFont="1" applyBorder="1" applyAlignment="1">
      <alignment horizontal="center"/>
    </xf>
    <xf numFmtId="164" fontId="17" fillId="0" borderId="3" xfId="5" applyNumberFormat="1" applyFont="1" applyBorder="1" applyAlignment="1"/>
    <xf numFmtId="164" fontId="17" fillId="0" borderId="4" xfId="5" applyNumberFormat="1" applyFont="1" applyBorder="1" applyAlignment="1"/>
    <xf numFmtId="0" fontId="3" fillId="0" borderId="8" xfId="5" applyNumberFormat="1" applyFont="1" applyBorder="1" applyAlignment="1"/>
    <xf numFmtId="0" fontId="17" fillId="0" borderId="0" xfId="5" applyNumberFormat="1" applyFont="1" applyBorder="1" applyAlignment="1"/>
    <xf numFmtId="41" fontId="3" fillId="0" borderId="12" xfId="5" applyNumberFormat="1" applyFont="1" applyBorder="1" applyAlignment="1"/>
    <xf numFmtId="37" fontId="3" fillId="0" borderId="53" xfId="5" applyNumberFormat="1" applyFont="1" applyBorder="1" applyAlignment="1">
      <alignment horizontal="center"/>
    </xf>
    <xf numFmtId="37" fontId="3" fillId="0" borderId="54" xfId="5" applyNumberFormat="1" applyFont="1" applyBorder="1" applyAlignment="1">
      <alignment horizontal="center"/>
    </xf>
    <xf numFmtId="3" fontId="17" fillId="0" borderId="54" xfId="5" applyNumberFormat="1" applyFont="1" applyBorder="1" applyAlignment="1"/>
    <xf numFmtId="37" fontId="17" fillId="0" borderId="54" xfId="5" applyNumberFormat="1" applyFont="1" applyBorder="1" applyAlignment="1">
      <alignment horizontal="center"/>
    </xf>
    <xf numFmtId="41" fontId="17" fillId="0" borderId="54" xfId="5" applyNumberFormat="1" applyFont="1" applyBorder="1" applyAlignment="1"/>
    <xf numFmtId="3" fontId="17" fillId="0" borderId="55" xfId="5" applyNumberFormat="1" applyFont="1" applyBorder="1" applyAlignment="1"/>
    <xf numFmtId="0" fontId="3" fillId="0" borderId="78" xfId="5" applyNumberFormat="1" applyFont="1" applyBorder="1" applyAlignment="1"/>
    <xf numFmtId="37" fontId="3" fillId="0" borderId="8" xfId="5" applyNumberFormat="1" applyFont="1" applyBorder="1" applyAlignment="1">
      <alignment horizontal="center"/>
    </xf>
    <xf numFmtId="37" fontId="3" fillId="0" borderId="0" xfId="5" applyNumberFormat="1" applyFont="1" applyAlignment="1">
      <alignment horizontal="center"/>
    </xf>
    <xf numFmtId="37" fontId="3" fillId="0" borderId="8" xfId="5" applyNumberFormat="1" applyFont="1" applyBorder="1" applyAlignment="1"/>
    <xf numFmtId="37" fontId="3" fillId="0" borderId="0" xfId="5" applyNumberFormat="1" applyFont="1" applyAlignment="1"/>
    <xf numFmtId="37" fontId="3" fillId="0" borderId="0" xfId="5" applyNumberFormat="1" applyFont="1" applyBorder="1" applyAlignment="1"/>
    <xf numFmtId="37" fontId="3" fillId="0" borderId="46" xfId="5" applyNumberFormat="1" applyFont="1" applyBorder="1" applyAlignment="1"/>
    <xf numFmtId="37" fontId="3" fillId="0" borderId="7" xfId="5" applyNumberFormat="1" applyFont="1" applyBorder="1" applyAlignment="1">
      <alignment horizontal="center"/>
    </xf>
    <xf numFmtId="37" fontId="3" fillId="0" borderId="3" xfId="5" applyNumberFormat="1" applyFont="1" applyBorder="1" applyAlignment="1">
      <alignment horizontal="center"/>
    </xf>
    <xf numFmtId="3" fontId="3" fillId="0" borderId="3" xfId="5" applyNumberFormat="1" applyFont="1" applyBorder="1" applyAlignment="1"/>
    <xf numFmtId="37" fontId="3" fillId="0" borderId="7" xfId="5" applyNumberFormat="1" applyFont="1" applyBorder="1" applyAlignment="1"/>
    <xf numFmtId="37" fontId="3" fillId="0" borderId="3" xfId="5" applyNumberFormat="1" applyFont="1" applyBorder="1" applyAlignment="1"/>
    <xf numFmtId="37" fontId="3" fillId="0" borderId="4" xfId="5" applyNumberFormat="1" applyFont="1" applyBorder="1" applyAlignment="1"/>
    <xf numFmtId="37" fontId="3" fillId="0" borderId="15" xfId="5" applyNumberFormat="1" applyFont="1" applyBorder="1" applyAlignment="1"/>
    <xf numFmtId="0" fontId="3" fillId="0" borderId="79" xfId="5" applyNumberFormat="1" applyFont="1" applyBorder="1" applyAlignment="1"/>
    <xf numFmtId="0" fontId="3" fillId="0" borderId="11" xfId="5" applyNumberFormat="1" applyFont="1" applyBorder="1" applyAlignment="1">
      <alignment horizontal="fill"/>
    </xf>
    <xf numFmtId="37" fontId="3" fillId="0" borderId="80" xfId="5" applyNumberFormat="1" applyFont="1" applyBorder="1" applyAlignment="1">
      <alignment horizontal="center"/>
    </xf>
    <xf numFmtId="0" fontId="3" fillId="0" borderId="3" xfId="5" applyNumberFormat="1" applyFont="1" applyBorder="1" applyAlignment="1">
      <alignment horizontal="fill"/>
    </xf>
    <xf numFmtId="0" fontId="3" fillId="0" borderId="3" xfId="5" applyNumberFormat="1" applyFont="1" applyBorder="1" applyAlignment="1"/>
    <xf numFmtId="3" fontId="3" fillId="0" borderId="0" xfId="5" applyNumberFormat="1" applyFont="1" applyAlignment="1">
      <alignment horizontal="fill"/>
    </xf>
    <xf numFmtId="3" fontId="57" fillId="0" borderId="0" xfId="5" applyNumberFormat="1" applyFont="1" applyAlignment="1"/>
    <xf numFmtId="3" fontId="15" fillId="0" borderId="0" xfId="5" applyNumberFormat="1" applyFont="1" applyAlignment="1"/>
    <xf numFmtId="165" fontId="15" fillId="0" borderId="0" xfId="5" applyNumberFormat="1" applyFont="1" applyAlignment="1"/>
    <xf numFmtId="3" fontId="31" fillId="0" borderId="0" xfId="5" applyNumberFormat="1" applyFont="1" applyAlignment="1"/>
    <xf numFmtId="3" fontId="15" fillId="6" borderId="0" xfId="5" applyNumberFormat="1" applyFont="1" applyFill="1" applyAlignment="1"/>
    <xf numFmtId="37" fontId="15" fillId="6" borderId="0" xfId="5" applyNumberFormat="1" applyFont="1" applyFill="1" applyAlignment="1"/>
    <xf numFmtId="3" fontId="15" fillId="4" borderId="0" xfId="5" applyNumberFormat="1" applyFont="1" applyFill="1" applyAlignment="1"/>
    <xf numFmtId="165" fontId="15" fillId="4" borderId="0" xfId="5" applyNumberFormat="1" applyFont="1" applyFill="1" applyAlignment="1"/>
    <xf numFmtId="165" fontId="15" fillId="0" borderId="0" xfId="5" applyNumberFormat="1" applyFont="1" applyFill="1" applyAlignment="1"/>
    <xf numFmtId="165" fontId="15" fillId="0" borderId="0" xfId="5" applyNumberFormat="1" applyFont="1" applyFill="1" applyAlignment="1">
      <alignment horizontal="centerContinuous"/>
    </xf>
    <xf numFmtId="0" fontId="45" fillId="0" borderId="0" xfId="5" applyFont="1" applyFill="1" applyBorder="1" applyAlignment="1">
      <alignment vertical="top" wrapText="1"/>
    </xf>
    <xf numFmtId="0" fontId="15" fillId="0" borderId="0" xfId="5" applyFont="1" applyFill="1" applyBorder="1" applyAlignment="1">
      <alignment vertical="top" wrapText="1"/>
    </xf>
    <xf numFmtId="3" fontId="45" fillId="0" borderId="0" xfId="5" applyNumberFormat="1" applyFont="1" applyAlignment="1"/>
    <xf numFmtId="165" fontId="45" fillId="0" borderId="0" xfId="5" applyNumberFormat="1" applyFont="1" applyAlignment="1"/>
    <xf numFmtId="165" fontId="45" fillId="0" borderId="0" xfId="5" applyNumberFormat="1" applyFont="1" applyFill="1" applyAlignment="1"/>
    <xf numFmtId="165" fontId="88" fillId="0" borderId="0" xfId="5" applyNumberFormat="1" applyFont="1" applyFill="1" applyAlignment="1"/>
    <xf numFmtId="165" fontId="3" fillId="0" borderId="0" xfId="5" applyNumberFormat="1" applyFont="1" applyFill="1" applyAlignment="1"/>
    <xf numFmtId="165" fontId="51" fillId="0" borderId="0" xfId="5" applyNumberFormat="1" applyFont="1" applyAlignment="1"/>
    <xf numFmtId="0" fontId="55" fillId="0" borderId="0" xfId="15" applyFont="1"/>
    <xf numFmtId="0" fontId="16" fillId="0" borderId="0" xfId="15"/>
    <xf numFmtId="0" fontId="23" fillId="0" borderId="3" xfId="15" applyFont="1" applyBorder="1" applyAlignment="1">
      <alignment horizontal="center"/>
    </xf>
    <xf numFmtId="0" fontId="23" fillId="0" borderId="4" xfId="15" applyFont="1" applyBorder="1" applyAlignment="1">
      <alignment horizontal="center"/>
    </xf>
    <xf numFmtId="0" fontId="9" fillId="0" borderId="9" xfId="15" applyFont="1" applyBorder="1"/>
    <xf numFmtId="0" fontId="9" fillId="0" borderId="9" xfId="15" applyFont="1" applyBorder="1" applyAlignment="1">
      <alignment horizontal="center"/>
    </xf>
    <xf numFmtId="37" fontId="3" fillId="0" borderId="8" xfId="5" applyNumberFormat="1" applyFont="1" applyBorder="1"/>
    <xf numFmtId="37" fontId="3" fillId="0" borderId="11" xfId="5" applyNumberFormat="1" applyFont="1" applyBorder="1"/>
    <xf numFmtId="37" fontId="3" fillId="0" borderId="12" xfId="5" applyNumberFormat="1" applyFont="1" applyBorder="1"/>
    <xf numFmtId="37" fontId="3" fillId="0" borderId="13" xfId="5" applyNumberFormat="1" applyFont="1" applyBorder="1"/>
    <xf numFmtId="0" fontId="9" fillId="0" borderId="5" xfId="15" applyFont="1" applyBorder="1"/>
    <xf numFmtId="0" fontId="9" fillId="0" borderId="5" xfId="15" applyFont="1" applyBorder="1" applyAlignment="1">
      <alignment horizontal="center"/>
    </xf>
    <xf numFmtId="37" fontId="3" fillId="0" borderId="7" xfId="5" applyNumberFormat="1" applyFont="1" applyBorder="1"/>
    <xf numFmtId="37" fontId="3" fillId="0" borderId="3" xfId="5" applyNumberFormat="1" applyFont="1" applyBorder="1"/>
    <xf numFmtId="37" fontId="3" fillId="0" borderId="4" xfId="5" applyNumberFormat="1" applyFont="1" applyBorder="1"/>
    <xf numFmtId="37" fontId="3" fillId="0" borderId="10" xfId="5" applyNumberFormat="1" applyFont="1" applyBorder="1"/>
    <xf numFmtId="0" fontId="23" fillId="0" borderId="8" xfId="15" applyFont="1" applyBorder="1" applyAlignment="1">
      <alignment horizontal="left"/>
    </xf>
    <xf numFmtId="0" fontId="23" fillId="0" borderId="2" xfId="15" applyFont="1" applyBorder="1" applyAlignment="1">
      <alignment horizontal="center"/>
    </xf>
    <xf numFmtId="37" fontId="23" fillId="0" borderId="8" xfId="15" applyNumberFormat="1" applyFont="1" applyBorder="1"/>
    <xf numFmtId="37" fontId="23" fillId="0" borderId="0" xfId="15" applyNumberFormat="1" applyFont="1" applyBorder="1"/>
    <xf numFmtId="5" fontId="23" fillId="0" borderId="0" xfId="15" applyNumberFormat="1" applyFont="1" applyBorder="1"/>
    <xf numFmtId="5" fontId="23" fillId="0" borderId="6" xfId="15" applyNumberFormat="1" applyFont="1" applyBorder="1"/>
    <xf numFmtId="0" fontId="9" fillId="0" borderId="7" xfId="15" applyFont="1" applyBorder="1"/>
    <xf numFmtId="0" fontId="9" fillId="0" borderId="3" xfId="15" applyFont="1" applyBorder="1"/>
    <xf numFmtId="0" fontId="9" fillId="0" borderId="4" xfId="15" applyFont="1" applyBorder="1"/>
    <xf numFmtId="0" fontId="9" fillId="0" borderId="13" xfId="15" applyFont="1" applyBorder="1"/>
    <xf numFmtId="0" fontId="16" fillId="0" borderId="14" xfId="15" applyBorder="1"/>
    <xf numFmtId="0" fontId="9" fillId="0" borderId="14" xfId="15" applyFont="1" applyBorder="1"/>
    <xf numFmtId="0" fontId="9" fillId="0" borderId="10" xfId="15" applyFont="1" applyBorder="1"/>
    <xf numFmtId="0" fontId="16" fillId="0" borderId="10" xfId="15" applyBorder="1"/>
    <xf numFmtId="0" fontId="23" fillId="0" borderId="48" xfId="15" applyFont="1" applyBorder="1"/>
    <xf numFmtId="0" fontId="16" fillId="0" borderId="47" xfId="15" applyBorder="1"/>
    <xf numFmtId="37" fontId="23" fillId="0" borderId="44" xfId="15" applyNumberFormat="1" applyFont="1" applyBorder="1"/>
    <xf numFmtId="37" fontId="23" fillId="0" borderId="47" xfId="15" applyNumberFormat="1" applyFont="1" applyBorder="1"/>
    <xf numFmtId="5" fontId="23" fillId="0" borderId="47" xfId="15" applyNumberFormat="1" applyFont="1" applyBorder="1"/>
    <xf numFmtId="5" fontId="23" fillId="0" borderId="48" xfId="15" applyNumberFormat="1" applyFont="1" applyBorder="1"/>
    <xf numFmtId="0" fontId="16" fillId="0" borderId="0" xfId="15" applyFont="1" applyBorder="1"/>
    <xf numFmtId="0" fontId="16" fillId="0" borderId="0" xfId="15" applyBorder="1"/>
    <xf numFmtId="0" fontId="31" fillId="3" borderId="0" xfId="15" applyFont="1" applyFill="1"/>
    <xf numFmtId="0" fontId="16" fillId="3" borderId="0" xfId="15" applyFill="1"/>
    <xf numFmtId="37" fontId="16" fillId="3" borderId="0" xfId="15" applyNumberFormat="1" applyFill="1"/>
    <xf numFmtId="0" fontId="16" fillId="5" borderId="0" xfId="15" applyFont="1" applyFill="1"/>
    <xf numFmtId="37" fontId="16" fillId="5" borderId="0" xfId="15" applyNumberFormat="1" applyFont="1" applyFill="1"/>
    <xf numFmtId="1" fontId="16" fillId="5" borderId="0" xfId="15" applyNumberFormat="1" applyFont="1" applyFill="1"/>
    <xf numFmtId="164" fontId="16" fillId="3" borderId="0" xfId="15" applyNumberFormat="1" applyFill="1"/>
    <xf numFmtId="164" fontId="16" fillId="5" borderId="0" xfId="15" applyNumberFormat="1" applyFont="1" applyFill="1"/>
    <xf numFmtId="0" fontId="22" fillId="4" borderId="0" xfId="15" applyFont="1" applyFill="1" applyAlignment="1">
      <alignment horizontal="centerContinuous"/>
    </xf>
    <xf numFmtId="0" fontId="15" fillId="4" borderId="0" xfId="15" applyFont="1" applyFill="1" applyAlignment="1">
      <alignment horizontal="centerContinuous"/>
    </xf>
    <xf numFmtId="0" fontId="31" fillId="0" borderId="0" xfId="15" applyFont="1"/>
    <xf numFmtId="0" fontId="16" fillId="4" borderId="0" xfId="15" applyFont="1" applyFill="1"/>
    <xf numFmtId="0" fontId="41" fillId="0" borderId="0" xfId="15" applyFont="1" applyFill="1" applyAlignment="1"/>
    <xf numFmtId="0" fontId="40" fillId="0" borderId="0" xfId="15" applyFont="1" applyFill="1" applyAlignment="1"/>
    <xf numFmtId="0" fontId="53" fillId="0" borderId="0" xfId="15" applyFont="1"/>
    <xf numFmtId="0" fontId="53" fillId="0" borderId="0" xfId="16" applyFont="1"/>
    <xf numFmtId="0" fontId="15" fillId="0" borderId="0" xfId="5" applyAlignment="1"/>
    <xf numFmtId="0" fontId="16" fillId="0" borderId="0" xfId="16"/>
    <xf numFmtId="0" fontId="17" fillId="0" borderId="0" xfId="16" applyFont="1"/>
    <xf numFmtId="0" fontId="15" fillId="0" borderId="0" xfId="5" applyAlignment="1">
      <alignment horizontal="center"/>
    </xf>
    <xf numFmtId="0" fontId="23" fillId="0" borderId="0" xfId="16" applyFont="1"/>
    <xf numFmtId="0" fontId="9" fillId="0" borderId="0" xfId="16" applyFont="1"/>
    <xf numFmtId="0" fontId="9" fillId="0" borderId="0" xfId="16" applyFont="1" applyFill="1" applyAlignment="1">
      <alignment vertical="center"/>
    </xf>
    <xf numFmtId="0" fontId="23" fillId="0" borderId="0" xfId="16" applyFont="1" applyFill="1" applyBorder="1" applyAlignment="1">
      <alignment horizontal="centerContinuous"/>
    </xf>
    <xf numFmtId="0" fontId="9" fillId="0" borderId="8" xfId="16" applyFont="1" applyFill="1" applyBorder="1" applyAlignment="1">
      <alignment horizontal="center"/>
    </xf>
    <xf numFmtId="0" fontId="9" fillId="0" borderId="46" xfId="16" applyFont="1" applyFill="1" applyBorder="1" applyAlignment="1">
      <alignment horizontal="center"/>
    </xf>
    <xf numFmtId="0" fontId="9" fillId="0" borderId="0" xfId="16" applyFont="1" applyFill="1"/>
    <xf numFmtId="0" fontId="9" fillId="0" borderId="0" xfId="16" applyFont="1" applyFill="1" applyBorder="1" applyAlignment="1">
      <alignment horizontal="center"/>
    </xf>
    <xf numFmtId="0" fontId="9" fillId="0" borderId="7" xfId="16" applyFont="1" applyFill="1" applyBorder="1" applyAlignment="1">
      <alignment horizontal="center" wrapText="1"/>
    </xf>
    <xf numFmtId="0" fontId="9" fillId="0" borderId="4" xfId="16" applyFont="1" applyFill="1" applyBorder="1" applyAlignment="1">
      <alignment horizontal="center" wrapText="1"/>
    </xf>
    <xf numFmtId="0" fontId="81" fillId="0" borderId="0" xfId="16" applyFont="1" applyFill="1" applyBorder="1" applyAlignment="1">
      <alignment horizontal="center"/>
    </xf>
    <xf numFmtId="0" fontId="9" fillId="0" borderId="2" xfId="16" applyFont="1" applyBorder="1"/>
    <xf numFmtId="37" fontId="9" fillId="0" borderId="8" xfId="16" applyNumberFormat="1" applyFont="1" applyBorder="1"/>
    <xf numFmtId="37" fontId="9" fillId="0" borderId="46" xfId="16" applyNumberFormat="1" applyFont="1" applyBorder="1"/>
    <xf numFmtId="3" fontId="9" fillId="0" borderId="0" xfId="16" applyNumberFormat="1" applyFont="1"/>
    <xf numFmtId="37" fontId="9" fillId="0" borderId="0" xfId="16" applyNumberFormat="1" applyFont="1" applyBorder="1"/>
    <xf numFmtId="37" fontId="9" fillId="0" borderId="78" xfId="16" applyNumberFormat="1" applyFont="1" applyBorder="1"/>
    <xf numFmtId="0" fontId="9" fillId="0" borderId="0" xfId="16" applyFont="1" applyBorder="1"/>
    <xf numFmtId="0" fontId="23" fillId="0" borderId="6" xfId="16" applyFont="1" applyBorder="1"/>
    <xf numFmtId="37" fontId="9" fillId="0" borderId="46" xfId="4" applyNumberFormat="1" applyFont="1" applyBorder="1"/>
    <xf numFmtId="168" fontId="23" fillId="0" borderId="0" xfId="4" applyNumberFormat="1" applyFont="1" applyBorder="1"/>
    <xf numFmtId="0" fontId="9" fillId="0" borderId="6" xfId="5" applyFont="1" applyBorder="1"/>
    <xf numFmtId="0" fontId="9" fillId="0" borderId="6" xfId="5" applyFont="1" applyBorder="1" applyAlignment="1">
      <alignment wrapText="1"/>
    </xf>
    <xf numFmtId="0" fontId="9" fillId="0" borderId="6" xfId="16" applyFont="1" applyBorder="1"/>
    <xf numFmtId="37" fontId="9" fillId="0" borderId="7" xfId="2" applyNumberFormat="1" applyFont="1" applyBorder="1"/>
    <xf numFmtId="37" fontId="9" fillId="0" borderId="4" xfId="2" applyNumberFormat="1" applyFont="1" applyBorder="1"/>
    <xf numFmtId="3" fontId="9" fillId="0" borderId="8" xfId="2" applyNumberFormat="1" applyFont="1" applyBorder="1"/>
    <xf numFmtId="3" fontId="9" fillId="0" borderId="6" xfId="2" applyNumberFormat="1" applyFont="1" applyBorder="1"/>
    <xf numFmtId="37" fontId="9" fillId="0" borderId="3" xfId="2" applyNumberFormat="1" applyFont="1" applyBorder="1"/>
    <xf numFmtId="167" fontId="9" fillId="0" borderId="0" xfId="2" applyNumberFormat="1" applyFont="1" applyBorder="1"/>
    <xf numFmtId="0" fontId="23" fillId="0" borderId="5" xfId="16" applyFont="1" applyBorder="1"/>
    <xf numFmtId="37" fontId="23" fillId="0" borderId="7" xfId="2" applyNumberFormat="1" applyFont="1" applyBorder="1"/>
    <xf numFmtId="37" fontId="23" fillId="0" borderId="4" xfId="2" applyNumberFormat="1" applyFont="1" applyBorder="1"/>
    <xf numFmtId="3" fontId="23" fillId="0" borderId="8" xfId="2" applyNumberFormat="1" applyFont="1" applyBorder="1"/>
    <xf numFmtId="3" fontId="23" fillId="0" borderId="6" xfId="2" applyNumberFormat="1" applyFont="1" applyBorder="1"/>
    <xf numFmtId="167" fontId="23" fillId="0" borderId="0" xfId="2" applyNumberFormat="1" applyFont="1" applyBorder="1"/>
    <xf numFmtId="0" fontId="82" fillId="0" borderId="0" xfId="16" applyFont="1"/>
    <xf numFmtId="170" fontId="9" fillId="0" borderId="0" xfId="16" applyNumberFormat="1" applyFont="1"/>
    <xf numFmtId="0" fontId="23" fillId="0" borderId="6" xfId="16" applyFont="1" applyBorder="1" applyAlignment="1">
      <alignment wrapText="1"/>
    </xf>
    <xf numFmtId="37" fontId="9" fillId="0" borderId="0" xfId="16" applyNumberFormat="1" applyFont="1"/>
    <xf numFmtId="37" fontId="9" fillId="0" borderId="8" xfId="16" applyNumberFormat="1" applyFont="1" applyBorder="1" applyAlignment="1"/>
    <xf numFmtId="37" fontId="9" fillId="0" borderId="46" xfId="16" applyNumberFormat="1" applyFont="1" applyBorder="1" applyAlignment="1"/>
    <xf numFmtId="37" fontId="9" fillId="0" borderId="8" xfId="2" applyNumberFormat="1" applyFont="1" applyBorder="1"/>
    <xf numFmtId="37" fontId="9" fillId="0" borderId="6" xfId="2" applyNumberFormat="1" applyFont="1" applyBorder="1"/>
    <xf numFmtId="37" fontId="9" fillId="0" borderId="4" xfId="16" applyNumberFormat="1" applyFont="1" applyBorder="1"/>
    <xf numFmtId="37" fontId="23" fillId="0" borderId="8" xfId="2" applyNumberFormat="1" applyFont="1" applyBorder="1"/>
    <xf numFmtId="37" fontId="23" fillId="0" borderId="6" xfId="2" applyNumberFormat="1" applyFont="1" applyBorder="1"/>
    <xf numFmtId="37" fontId="23" fillId="0" borderId="44" xfId="2" applyNumberFormat="1" applyFont="1" applyBorder="1"/>
    <xf numFmtId="37" fontId="23" fillId="0" borderId="3" xfId="2" applyNumberFormat="1" applyFont="1" applyBorder="1"/>
    <xf numFmtId="0" fontId="23" fillId="0" borderId="48" xfId="16" applyFont="1" applyBorder="1"/>
    <xf numFmtId="0" fontId="23" fillId="0" borderId="0" xfId="16" applyFont="1" applyBorder="1"/>
    <xf numFmtId="37" fontId="23" fillId="0" borderId="20" xfId="2" applyNumberFormat="1" applyFont="1" applyBorder="1"/>
    <xf numFmtId="3" fontId="23" fillId="0" borderId="0" xfId="2" applyNumberFormat="1" applyFont="1" applyBorder="1"/>
    <xf numFmtId="0" fontId="9" fillId="0" borderId="0" xfId="16" applyNumberFormat="1" applyFont="1"/>
    <xf numFmtId="37" fontId="9" fillId="0" borderId="74" xfId="16" applyNumberFormat="1" applyFont="1" applyBorder="1"/>
    <xf numFmtId="0" fontId="23" fillId="0" borderId="107" xfId="16" applyFont="1" applyBorder="1" applyAlignment="1">
      <alignment horizontal="left"/>
    </xf>
    <xf numFmtId="0" fontId="23" fillId="0" borderId="108" xfId="16" applyFont="1" applyBorder="1" applyAlignment="1">
      <alignment horizontal="left"/>
    </xf>
    <xf numFmtId="37" fontId="23" fillId="0" borderId="109" xfId="16" applyNumberFormat="1" applyFont="1" applyBorder="1" applyAlignment="1">
      <alignment horizontal="right"/>
    </xf>
    <xf numFmtId="5" fontId="23" fillId="0" borderId="110" xfId="4" applyNumberFormat="1" applyFont="1" applyBorder="1" applyAlignment="1">
      <alignment horizontal="right"/>
    </xf>
    <xf numFmtId="0" fontId="23" fillId="0" borderId="108" xfId="16" applyFont="1" applyBorder="1" applyAlignment="1">
      <alignment horizontal="right"/>
    </xf>
    <xf numFmtId="167" fontId="23" fillId="0" borderId="0" xfId="16" applyNumberFormat="1" applyFont="1" applyBorder="1" applyAlignment="1">
      <alignment horizontal="left"/>
    </xf>
    <xf numFmtId="168" fontId="23" fillId="0" borderId="0" xfId="4" applyNumberFormat="1" applyFont="1" applyBorder="1" applyAlignment="1">
      <alignment horizontal="left"/>
    </xf>
    <xf numFmtId="0" fontId="82" fillId="0" borderId="0" xfId="16" applyFont="1" applyAlignment="1">
      <alignment horizontal="left"/>
    </xf>
    <xf numFmtId="0" fontId="23" fillId="0" borderId="0" xfId="16" applyFont="1" applyBorder="1" applyAlignment="1">
      <alignment horizontal="left"/>
    </xf>
    <xf numFmtId="0" fontId="82" fillId="0" borderId="0" xfId="16" applyFont="1" applyBorder="1" applyAlignment="1">
      <alignment horizontal="left"/>
    </xf>
    <xf numFmtId="0" fontId="9" fillId="3" borderId="0" xfId="16" applyFont="1" applyFill="1" applyBorder="1" applyAlignment="1">
      <alignment horizontal="center"/>
    </xf>
    <xf numFmtId="0" fontId="23" fillId="3" borderId="0" xfId="16" applyFont="1" applyFill="1" applyBorder="1" applyAlignment="1">
      <alignment horizontal="left"/>
    </xf>
    <xf numFmtId="37" fontId="23" fillId="3" borderId="0" xfId="16" applyNumberFormat="1" applyFont="1" applyFill="1" applyBorder="1" applyAlignment="1">
      <alignment horizontal="left"/>
    </xf>
    <xf numFmtId="5" fontId="23" fillId="3" borderId="0" xfId="4" applyNumberFormat="1" applyFont="1" applyFill="1" applyBorder="1" applyAlignment="1">
      <alignment horizontal="left"/>
    </xf>
    <xf numFmtId="5" fontId="23" fillId="3" borderId="0" xfId="16" applyNumberFormat="1" applyFont="1" applyFill="1" applyBorder="1" applyAlignment="1">
      <alignment horizontal="left"/>
    </xf>
    <xf numFmtId="167" fontId="23" fillId="3" borderId="0" xfId="16" applyNumberFormat="1" applyFont="1" applyFill="1" applyBorder="1" applyAlignment="1">
      <alignment horizontal="left"/>
    </xf>
    <xf numFmtId="168" fontId="23" fillId="3" borderId="0" xfId="4" applyNumberFormat="1" applyFont="1" applyFill="1" applyBorder="1" applyAlignment="1">
      <alignment horizontal="left"/>
    </xf>
    <xf numFmtId="167" fontId="15" fillId="0" borderId="0" xfId="16" applyNumberFormat="1" applyFont="1" applyFill="1" applyAlignment="1">
      <alignment horizontal="centerContinuous"/>
    </xf>
    <xf numFmtId="167" fontId="16" fillId="0" borderId="0" xfId="16" applyNumberFormat="1" applyFont="1" applyFill="1"/>
    <xf numFmtId="0" fontId="16" fillId="0" borderId="0" xfId="16" applyFont="1" applyFill="1"/>
    <xf numFmtId="0" fontId="22" fillId="7" borderId="0" xfId="16" applyFont="1" applyFill="1" applyAlignment="1">
      <alignment horizontal="centerContinuous"/>
    </xf>
    <xf numFmtId="0" fontId="15" fillId="7" borderId="0" xfId="16" applyFont="1" applyFill="1" applyAlignment="1">
      <alignment horizontal="centerContinuous"/>
    </xf>
    <xf numFmtId="167" fontId="15" fillId="7" borderId="0" xfId="16" applyNumberFormat="1" applyFont="1" applyFill="1" applyAlignment="1">
      <alignment horizontal="centerContinuous"/>
    </xf>
    <xf numFmtId="0" fontId="15" fillId="7" borderId="0" xfId="5" applyFont="1" applyFill="1" applyBorder="1" applyAlignment="1">
      <alignment vertical="top" wrapText="1"/>
    </xf>
    <xf numFmtId="0" fontId="15" fillId="0" borderId="0" xfId="5" applyFont="1" applyFill="1" applyBorder="1" applyAlignment="1">
      <alignment wrapText="1"/>
    </xf>
    <xf numFmtId="0" fontId="15" fillId="7" borderId="0" xfId="5" applyFont="1" applyFill="1" applyBorder="1" applyAlignment="1"/>
    <xf numFmtId="0" fontId="15" fillId="0" borderId="0" xfId="5" applyFont="1" applyFill="1" applyBorder="1" applyAlignment="1"/>
    <xf numFmtId="0" fontId="16" fillId="7" borderId="0" xfId="16" applyFont="1" applyFill="1"/>
    <xf numFmtId="165" fontId="58" fillId="0" borderId="0" xfId="5" applyNumberFormat="1" applyFont="1" applyAlignment="1"/>
    <xf numFmtId="0" fontId="17" fillId="0" borderId="73" xfId="5" applyNumberFormat="1" applyFont="1" applyBorder="1" applyAlignment="1">
      <alignment horizontal="right"/>
    </xf>
    <xf numFmtId="0" fontId="17" fillId="0" borderId="74" xfId="5" applyNumberFormat="1" applyFont="1" applyBorder="1" applyAlignment="1">
      <alignment horizontal="right"/>
    </xf>
    <xf numFmtId="0" fontId="17" fillId="0" borderId="120" xfId="5" applyNumberFormat="1" applyFont="1" applyBorder="1" applyAlignment="1">
      <alignment horizontal="center"/>
    </xf>
    <xf numFmtId="0" fontId="17" fillId="0" borderId="74" xfId="5" applyNumberFormat="1" applyFont="1" applyBorder="1" applyAlignment="1">
      <alignment horizontal="center"/>
    </xf>
    <xf numFmtId="0" fontId="17" fillId="0" borderId="75" xfId="5" applyNumberFormat="1" applyFont="1" applyBorder="1" applyAlignment="1">
      <alignment horizontal="right"/>
    </xf>
    <xf numFmtId="0" fontId="3" fillId="0" borderId="76" xfId="5" applyNumberFormat="1" applyFont="1" applyBorder="1" applyAlignment="1">
      <alignment horizontal="left"/>
    </xf>
    <xf numFmtId="0" fontId="3" fillId="0" borderId="13" xfId="5" applyNumberFormat="1" applyFont="1" applyBorder="1" applyAlignment="1">
      <alignment horizontal="left"/>
    </xf>
    <xf numFmtId="37" fontId="93" fillId="0" borderId="11" xfId="5" applyNumberFormat="1" applyFont="1" applyBorder="1" applyAlignment="1"/>
    <xf numFmtId="0" fontId="3" fillId="0" borderId="53" xfId="5" applyNumberFormat="1" applyFont="1" applyBorder="1" applyAlignment="1">
      <alignment horizontal="left"/>
    </xf>
    <xf numFmtId="37" fontId="3" fillId="0" borderId="7" xfId="5" applyNumberFormat="1" applyFont="1" applyFill="1" applyBorder="1" applyAlignment="1"/>
    <xf numFmtId="37" fontId="3" fillId="0" borderId="3" xfId="5" applyNumberFormat="1" applyFont="1" applyFill="1" applyBorder="1" applyAlignment="1"/>
    <xf numFmtId="37" fontId="3" fillId="0" borderId="5" xfId="5" applyNumberFormat="1" applyFont="1" applyFill="1" applyBorder="1" applyAlignment="1"/>
    <xf numFmtId="37" fontId="3" fillId="0" borderId="55" xfId="5" applyNumberFormat="1" applyFont="1" applyBorder="1" applyAlignment="1"/>
    <xf numFmtId="0" fontId="17" fillId="0" borderId="44" xfId="5" applyNumberFormat="1" applyFont="1" applyBorder="1" applyAlignment="1">
      <alignment horizontal="left" indent="3"/>
    </xf>
    <xf numFmtId="37" fontId="17" fillId="0" borderId="7" xfId="5" applyNumberFormat="1" applyFont="1" applyBorder="1" applyAlignment="1"/>
    <xf numFmtId="37" fontId="17" fillId="0" borderId="3" xfId="5" applyNumberFormat="1" applyFont="1" applyBorder="1" applyAlignment="1"/>
    <xf numFmtId="5" fontId="17" fillId="0" borderId="3" xfId="5" applyNumberFormat="1" applyFont="1" applyBorder="1" applyAlignment="1"/>
    <xf numFmtId="5" fontId="17" fillId="0" borderId="47" xfId="5" applyNumberFormat="1" applyFont="1" applyBorder="1" applyAlignment="1"/>
    <xf numFmtId="5" fontId="17" fillId="0" borderId="5" xfId="5" applyNumberFormat="1" applyFont="1" applyBorder="1" applyAlignment="1"/>
    <xf numFmtId="37" fontId="17" fillId="0" borderId="44" xfId="5" applyNumberFormat="1" applyFont="1" applyBorder="1" applyAlignment="1"/>
    <xf numFmtId="37" fontId="17" fillId="0" borderId="47" xfId="5" applyNumberFormat="1" applyFont="1" applyBorder="1" applyAlignment="1"/>
    <xf numFmtId="5" fontId="17" fillId="0" borderId="4" xfId="5" applyNumberFormat="1" applyFont="1" applyBorder="1" applyAlignment="1"/>
    <xf numFmtId="0" fontId="3" fillId="0" borderId="44" xfId="5" applyNumberFormat="1" applyFont="1" applyBorder="1" applyAlignment="1"/>
    <xf numFmtId="165" fontId="3" fillId="0" borderId="0" xfId="5" applyNumberFormat="1" applyFont="1" applyBorder="1" applyAlignment="1"/>
    <xf numFmtId="37" fontId="3" fillId="0" borderId="44" xfId="5" applyNumberFormat="1" applyFont="1" applyBorder="1" applyAlignment="1"/>
    <xf numFmtId="37" fontId="3" fillId="0" borderId="47" xfId="5" applyNumberFormat="1" applyFont="1" applyBorder="1" applyAlignment="1"/>
    <xf numFmtId="37" fontId="3" fillId="0" borderId="48" xfId="5" applyNumberFormat="1" applyFont="1" applyBorder="1" applyAlignment="1"/>
    <xf numFmtId="37" fontId="3" fillId="0" borderId="20" xfId="5" applyNumberFormat="1" applyFont="1" applyBorder="1" applyAlignment="1"/>
    <xf numFmtId="0" fontId="3" fillId="0" borderId="77" xfId="5" applyNumberFormat="1" applyFont="1" applyBorder="1" applyAlignment="1"/>
    <xf numFmtId="0" fontId="3" fillId="0" borderId="13" xfId="5" applyNumberFormat="1" applyFont="1" applyBorder="1" applyAlignment="1">
      <alignment horizontal="left" indent="3"/>
    </xf>
    <xf numFmtId="0" fontId="3" fillId="0" borderId="53" xfId="5" applyNumberFormat="1" applyFont="1" applyBorder="1" applyAlignment="1">
      <alignment horizontal="left" indent="3"/>
    </xf>
    <xf numFmtId="5" fontId="3" fillId="0" borderId="3" xfId="5" applyNumberFormat="1" applyFont="1" applyBorder="1" applyAlignment="1"/>
    <xf numFmtId="5" fontId="3" fillId="0" borderId="5" xfId="5" applyNumberFormat="1" applyFont="1" applyBorder="1" applyAlignment="1"/>
    <xf numFmtId="5" fontId="3" fillId="0" borderId="4" xfId="5" applyNumberFormat="1" applyFont="1" applyBorder="1" applyAlignment="1"/>
    <xf numFmtId="165" fontId="2" fillId="0" borderId="0" xfId="5" applyNumberFormat="1" applyFont="1" applyAlignment="1"/>
    <xf numFmtId="0" fontId="15" fillId="0" borderId="0" xfId="5" applyBorder="1" applyAlignment="1">
      <alignment vertical="top" wrapText="1"/>
    </xf>
    <xf numFmtId="165" fontId="2" fillId="0" borderId="0" xfId="5" applyNumberFormat="1" applyFont="1" applyBorder="1"/>
    <xf numFmtId="165" fontId="2" fillId="0" borderId="0" xfId="5" applyNumberFormat="1" applyFont="1" applyFill="1" applyAlignment="1"/>
    <xf numFmtId="165" fontId="22" fillId="4" borderId="0" xfId="5" applyNumberFormat="1" applyFont="1" applyFill="1" applyAlignment="1">
      <alignment horizontal="center" wrapText="1"/>
    </xf>
    <xf numFmtId="0" fontId="15" fillId="4" borderId="0" xfId="5" applyFont="1" applyFill="1" applyAlignment="1">
      <alignment wrapText="1"/>
    </xf>
    <xf numFmtId="0" fontId="15" fillId="4" borderId="0" xfId="5" applyFont="1" applyFill="1" applyBorder="1" applyAlignment="1">
      <alignment wrapText="1"/>
    </xf>
    <xf numFmtId="0" fontId="15" fillId="4" borderId="0" xfId="5" applyFont="1" applyFill="1" applyBorder="1" applyAlignment="1"/>
    <xf numFmtId="165" fontId="50" fillId="0" borderId="0" xfId="5" applyNumberFormat="1" applyFont="1" applyAlignment="1"/>
    <xf numFmtId="165" fontId="57" fillId="0" borderId="0" xfId="5" applyNumberFormat="1" applyFont="1" applyAlignment="1"/>
    <xf numFmtId="0" fontId="15" fillId="0" borderId="0" xfId="5"/>
    <xf numFmtId="5" fontId="17" fillId="0" borderId="20" xfId="5" applyNumberFormat="1" applyFont="1" applyBorder="1" applyAlignment="1"/>
    <xf numFmtId="5" fontId="17" fillId="0" borderId="48" xfId="5" applyNumberFormat="1" applyFont="1" applyBorder="1" applyAlignment="1"/>
    <xf numFmtId="165" fontId="27" fillId="0" borderId="0" xfId="5" applyNumberFormat="1" applyFont="1" applyAlignment="1"/>
    <xf numFmtId="0" fontId="18" fillId="0" borderId="0" xfId="5" applyNumberFormat="1" applyFont="1" applyAlignment="1"/>
    <xf numFmtId="3" fontId="7" fillId="2" borderId="0" xfId="5" applyNumberFormat="1" applyFont="1" applyFill="1" applyAlignment="1"/>
    <xf numFmtId="3" fontId="7" fillId="2" borderId="0" xfId="5" applyNumberFormat="1" applyFont="1" applyFill="1" applyAlignment="1">
      <alignment horizontal="center"/>
    </xf>
    <xf numFmtId="3" fontId="7" fillId="2" borderId="0" xfId="5" applyNumberFormat="1" applyFont="1" applyFill="1" applyBorder="1" applyAlignment="1">
      <alignment horizontal="center"/>
    </xf>
    <xf numFmtId="3" fontId="55" fillId="2" borderId="0" xfId="5" applyNumberFormat="1" applyFont="1" applyFill="1" applyAlignment="1"/>
    <xf numFmtId="0" fontId="9" fillId="0" borderId="0" xfId="5" applyNumberFormat="1" applyFont="1" applyAlignment="1">
      <alignment horizontal="center"/>
    </xf>
    <xf numFmtId="0" fontId="10" fillId="0" borderId="0" xfId="5" applyNumberFormat="1" applyFont="1" applyAlignment="1"/>
    <xf numFmtId="3" fontId="7" fillId="2" borderId="122" xfId="5" applyNumberFormat="1" applyFont="1" applyFill="1" applyBorder="1" applyAlignment="1"/>
    <xf numFmtId="0" fontId="26" fillId="2" borderId="71" xfId="5" applyNumberFormat="1" applyFont="1" applyFill="1" applyBorder="1" applyAlignment="1">
      <alignment horizontal="right"/>
    </xf>
    <xf numFmtId="0" fontId="26" fillId="2" borderId="159" xfId="5" applyNumberFormat="1" applyFont="1" applyFill="1" applyBorder="1" applyAlignment="1">
      <alignment horizontal="center"/>
    </xf>
    <xf numFmtId="0" fontId="26" fillId="2" borderId="160" xfId="5" applyNumberFormat="1" applyFont="1" applyFill="1" applyBorder="1" applyAlignment="1">
      <alignment horizontal="center"/>
    </xf>
    <xf numFmtId="0" fontId="90" fillId="2" borderId="28" xfId="5" applyNumberFormat="1" applyFont="1" applyFill="1" applyBorder="1" applyAlignment="1">
      <alignment horizontal="left"/>
    </xf>
    <xf numFmtId="37" fontId="25" fillId="2" borderId="28" xfId="5" applyNumberFormat="1" applyFont="1" applyFill="1" applyBorder="1" applyAlignment="1"/>
    <xf numFmtId="37" fontId="25" fillId="2" borderId="42" xfId="5" applyNumberFormat="1" applyFont="1" applyFill="1" applyBorder="1" applyAlignment="1">
      <alignment horizontal="center"/>
    </xf>
    <xf numFmtId="37" fontId="25" fillId="2" borderId="37" xfId="5" applyNumberFormat="1" applyFont="1" applyFill="1" applyBorder="1" applyAlignment="1">
      <alignment horizontal="center"/>
    </xf>
    <xf numFmtId="37" fontId="25" fillId="2" borderId="0" xfId="5" applyNumberFormat="1" applyFont="1" applyFill="1" applyBorder="1" applyAlignment="1">
      <alignment horizontal="center"/>
    </xf>
    <xf numFmtId="0" fontId="90" fillId="2" borderId="21" xfId="5" applyNumberFormat="1" applyFont="1" applyFill="1" applyBorder="1" applyAlignment="1">
      <alignment horizontal="left"/>
    </xf>
    <xf numFmtId="37" fontId="25" fillId="2" borderId="21" xfId="5" applyNumberFormat="1" applyFont="1" applyFill="1" applyBorder="1" applyAlignment="1"/>
    <xf numFmtId="37" fontId="25" fillId="2" borderId="37" xfId="5" applyNumberFormat="1" applyFont="1" applyFill="1" applyBorder="1" applyAlignment="1">
      <alignment horizontal="right"/>
    </xf>
    <xf numFmtId="37" fontId="25" fillId="2" borderId="22" xfId="5" applyNumberFormat="1" applyFont="1" applyFill="1" applyBorder="1" applyAlignment="1">
      <alignment horizontal="right"/>
    </xf>
    <xf numFmtId="37" fontId="25" fillId="2" borderId="23" xfId="5" applyNumberFormat="1" applyFont="1" applyFill="1" applyBorder="1" applyAlignment="1">
      <alignment horizontal="right"/>
    </xf>
    <xf numFmtId="0" fontId="36" fillId="2" borderId="28" xfId="5" applyNumberFormat="1" applyFont="1" applyFill="1" applyBorder="1" applyAlignment="1">
      <alignment horizontal="left"/>
    </xf>
    <xf numFmtId="3" fontId="26" fillId="2" borderId="30" xfId="5" applyNumberFormat="1" applyFont="1" applyFill="1" applyBorder="1" applyAlignment="1"/>
    <xf numFmtId="3" fontId="26" fillId="2" borderId="31" xfId="5" applyNumberFormat="1" applyFont="1" applyFill="1" applyBorder="1" applyAlignment="1">
      <alignment horizontal="right"/>
    </xf>
    <xf numFmtId="3" fontId="26" fillId="2" borderId="30" xfId="5" applyNumberFormat="1" applyFont="1" applyFill="1" applyBorder="1" applyAlignment="1">
      <alignment horizontal="right"/>
    </xf>
    <xf numFmtId="0" fontId="15" fillId="0" borderId="0" xfId="5" applyBorder="1"/>
    <xf numFmtId="0" fontId="26" fillId="2" borderId="165" xfId="5" applyNumberFormat="1" applyFont="1" applyFill="1" applyBorder="1" applyAlignment="1">
      <alignment horizontal="right"/>
    </xf>
    <xf numFmtId="37" fontId="25" fillId="2" borderId="8" xfId="5" applyNumberFormat="1" applyFont="1" applyFill="1" applyBorder="1" applyAlignment="1"/>
    <xf numFmtId="37" fontId="25" fillId="2" borderId="46" xfId="5" applyNumberFormat="1" applyFont="1" applyFill="1" applyBorder="1" applyAlignment="1">
      <alignment horizontal="center"/>
    </xf>
    <xf numFmtId="37" fontId="25" fillId="2" borderId="25" xfId="5" applyNumberFormat="1" applyFont="1" applyFill="1" applyBorder="1" applyAlignment="1">
      <alignment horizontal="right"/>
    </xf>
    <xf numFmtId="37" fontId="25" fillId="2" borderId="4" xfId="5" applyNumberFormat="1" applyFont="1" applyFill="1" applyBorder="1" applyAlignment="1">
      <alignment horizontal="right"/>
    </xf>
    <xf numFmtId="0" fontId="36" fillId="2" borderId="70" xfId="5" applyNumberFormat="1" applyFont="1" applyFill="1" applyBorder="1" applyAlignment="1">
      <alignment horizontal="left"/>
    </xf>
    <xf numFmtId="37" fontId="26" fillId="2" borderId="49" xfId="5" applyNumberFormat="1" applyFont="1" applyFill="1" applyBorder="1" applyAlignment="1">
      <alignment horizontal="right"/>
    </xf>
    <xf numFmtId="41" fontId="26" fillId="2" borderId="51" xfId="5" applyNumberFormat="1" applyFont="1" applyFill="1" applyBorder="1" applyAlignment="1">
      <alignment horizontal="right"/>
    </xf>
    <xf numFmtId="3" fontId="26" fillId="2" borderId="49" xfId="5" applyNumberFormat="1" applyFont="1" applyFill="1" applyBorder="1" applyAlignment="1">
      <alignment horizontal="right"/>
    </xf>
    <xf numFmtId="41" fontId="26" fillId="2" borderId="50" xfId="5" applyNumberFormat="1" applyFont="1" applyFill="1" applyBorder="1" applyAlignment="1">
      <alignment horizontal="right"/>
    </xf>
    <xf numFmtId="41" fontId="26" fillId="2" borderId="166" xfId="5" applyNumberFormat="1" applyFont="1" applyFill="1" applyBorder="1" applyAlignment="1">
      <alignment horizontal="right"/>
    </xf>
    <xf numFmtId="0" fontId="24" fillId="0" borderId="0" xfId="5" applyFont="1" applyFill="1" applyAlignment="1">
      <alignment horizontal="center"/>
    </xf>
    <xf numFmtId="0" fontId="24" fillId="0" borderId="0" xfId="5" applyFont="1" applyFill="1" applyAlignment="1">
      <alignment horizontal="centerContinuous"/>
    </xf>
    <xf numFmtId="0" fontId="31" fillId="0" borderId="0" xfId="5" applyFont="1"/>
    <xf numFmtId="0" fontId="22" fillId="4" borderId="0" xfId="5" applyFont="1" applyFill="1" applyBorder="1" applyAlignment="1">
      <alignment horizontal="center"/>
    </xf>
    <xf numFmtId="0" fontId="15" fillId="0" borderId="0" xfId="5" applyFill="1" applyBorder="1" applyAlignment="1">
      <alignment horizontal="center" vertical="top" wrapText="1"/>
    </xf>
    <xf numFmtId="0" fontId="15" fillId="0" borderId="0" xfId="5" applyFill="1" applyBorder="1" applyAlignment="1">
      <alignment vertical="top" wrapText="1"/>
    </xf>
    <xf numFmtId="0" fontId="50" fillId="0" borderId="0" xfId="5" applyFont="1" applyAlignment="1">
      <alignment horizontal="center"/>
    </xf>
    <xf numFmtId="165" fontId="55" fillId="0" borderId="0" xfId="5" applyNumberFormat="1" applyFont="1" applyAlignment="1"/>
    <xf numFmtId="165" fontId="3" fillId="0" borderId="0" xfId="5" applyNumberFormat="1" applyFont="1" applyAlignment="1">
      <alignment horizontal="centerContinuous"/>
    </xf>
    <xf numFmtId="37" fontId="3" fillId="0" borderId="4" xfId="5" applyNumberFormat="1" applyFont="1" applyFill="1" applyBorder="1" applyAlignment="1"/>
    <xf numFmtId="37" fontId="3" fillId="0" borderId="53" xfId="5" applyNumberFormat="1" applyFont="1" applyBorder="1" applyAlignment="1"/>
    <xf numFmtId="37" fontId="3" fillId="0" borderId="54" xfId="5" applyNumberFormat="1" applyFont="1" applyBorder="1" applyAlignment="1"/>
    <xf numFmtId="165" fontId="1" fillId="0" borderId="0" xfId="5" applyNumberFormat="1" applyFont="1" applyAlignment="1"/>
    <xf numFmtId="0" fontId="71" fillId="0" borderId="8" xfId="5" applyNumberFormat="1" applyFont="1" applyBorder="1" applyAlignment="1"/>
    <xf numFmtId="0" fontId="71" fillId="0" borderId="0" xfId="5" applyNumberFormat="1" applyFont="1" applyBorder="1" applyAlignment="1"/>
    <xf numFmtId="0" fontId="71" fillId="0" borderId="46" xfId="5" applyNumberFormat="1" applyFont="1" applyBorder="1" applyAlignment="1"/>
    <xf numFmtId="0" fontId="71" fillId="0" borderId="0" xfId="5" applyNumberFormat="1" applyFont="1" applyAlignment="1"/>
    <xf numFmtId="0" fontId="17" fillId="0" borderId="0" xfId="5" applyNumberFormat="1" applyFont="1" applyBorder="1" applyAlignment="1">
      <alignment horizontal="left" indent="5"/>
    </xf>
    <xf numFmtId="37" fontId="17" fillId="0" borderId="0" xfId="5" applyNumberFormat="1" applyFont="1" applyBorder="1" applyAlignment="1"/>
    <xf numFmtId="5" fontId="17" fillId="0" borderId="0" xfId="5" applyNumberFormat="1" applyFont="1" applyBorder="1" applyAlignment="1"/>
    <xf numFmtId="165" fontId="19" fillId="2" borderId="0" xfId="5" applyNumberFormat="1" applyFont="1" applyFill="1" applyAlignment="1"/>
    <xf numFmtId="165" fontId="2" fillId="0" borderId="0" xfId="5" applyNumberFormat="1" applyFont="1" applyBorder="1" applyAlignment="1"/>
    <xf numFmtId="165" fontId="31" fillId="0" borderId="0" xfId="5" applyNumberFormat="1" applyFont="1" applyAlignment="1"/>
    <xf numFmtId="165" fontId="2" fillId="3" borderId="0" xfId="5" applyNumberFormat="1" applyFont="1" applyFill="1" applyAlignment="1"/>
    <xf numFmtId="170" fontId="2" fillId="3" borderId="0" xfId="5" applyNumberFormat="1" applyFont="1" applyFill="1" applyAlignment="1"/>
    <xf numFmtId="165" fontId="42" fillId="4" borderId="0" xfId="5" applyNumberFormat="1" applyFont="1" applyFill="1" applyAlignment="1">
      <alignment horizontal="centerContinuous"/>
    </xf>
    <xf numFmtId="165" fontId="22" fillId="4" borderId="0" xfId="5" applyNumberFormat="1" applyFont="1" applyFill="1" applyAlignment="1">
      <alignment horizontal="centerContinuous"/>
    </xf>
    <xf numFmtId="165" fontId="20" fillId="2" borderId="0" xfId="5" applyNumberFormat="1" applyFont="1" applyFill="1" applyAlignment="1">
      <alignment horizontal="centerContinuous"/>
    </xf>
    <xf numFmtId="165" fontId="19" fillId="2" borderId="0" xfId="5" applyNumberFormat="1" applyFont="1" applyFill="1" applyAlignment="1">
      <alignment horizontal="centerContinuous"/>
    </xf>
    <xf numFmtId="0" fontId="27" fillId="4" borderId="0" xfId="5" applyFont="1" applyFill="1" applyBorder="1" applyAlignment="1">
      <alignment vertical="top" wrapText="1"/>
    </xf>
    <xf numFmtId="165" fontId="3" fillId="0" borderId="0" xfId="5" applyNumberFormat="1" applyFont="1"/>
    <xf numFmtId="165" fontId="55" fillId="0" borderId="0" xfId="5" applyNumberFormat="1" applyFont="1"/>
    <xf numFmtId="0" fontId="28" fillId="2" borderId="73" xfId="5" applyNumberFormat="1" applyFont="1" applyFill="1" applyBorder="1" applyAlignment="1">
      <alignment horizontal="right"/>
    </xf>
    <xf numFmtId="0" fontId="28" fillId="2" borderId="74" xfId="5" applyNumberFormat="1" applyFont="1" applyFill="1" applyBorder="1" applyAlignment="1">
      <alignment horizontal="right"/>
    </xf>
    <xf numFmtId="0" fontId="28" fillId="2" borderId="75" xfId="5" applyNumberFormat="1" applyFont="1" applyFill="1" applyBorder="1" applyAlignment="1">
      <alignment horizontal="right"/>
    </xf>
    <xf numFmtId="0" fontId="7" fillId="2" borderId="76" xfId="5" applyNumberFormat="1" applyFont="1" applyFill="1" applyBorder="1" applyAlignment="1">
      <alignment horizontal="left" indent="1"/>
    </xf>
    <xf numFmtId="37" fontId="7" fillId="2" borderId="15" xfId="5" applyNumberFormat="1" applyFont="1" applyFill="1" applyBorder="1" applyAlignment="1"/>
    <xf numFmtId="5" fontId="7" fillId="2" borderId="11" xfId="5" applyNumberFormat="1" applyFont="1" applyFill="1" applyBorder="1" applyAlignment="1"/>
    <xf numFmtId="5" fontId="7" fillId="2" borderId="12" xfId="5" applyNumberFormat="1" applyFont="1" applyFill="1" applyBorder="1" applyAlignment="1"/>
    <xf numFmtId="0" fontId="7" fillId="2" borderId="13" xfId="5" applyNumberFormat="1" applyFont="1" applyFill="1" applyBorder="1" applyAlignment="1">
      <alignment horizontal="left" indent="1"/>
    </xf>
    <xf numFmtId="37" fontId="7" fillId="2" borderId="11" xfId="5" applyNumberFormat="1" applyFont="1" applyFill="1" applyBorder="1" applyAlignment="1"/>
    <xf numFmtId="37" fontId="7" fillId="2" borderId="12" xfId="5" applyNumberFormat="1" applyFont="1" applyFill="1" applyBorder="1" applyAlignment="1"/>
    <xf numFmtId="165" fontId="3" fillId="0" borderId="0" xfId="5" applyNumberFormat="1" applyFont="1" applyAlignment="1">
      <alignment horizontal="right"/>
    </xf>
    <xf numFmtId="37" fontId="7" fillId="2" borderId="13" xfId="5" applyNumberFormat="1" applyFont="1" applyFill="1" applyBorder="1" applyAlignment="1"/>
    <xf numFmtId="0" fontId="8" fillId="2" borderId="13" xfId="5" applyNumberFormat="1" applyFont="1" applyFill="1" applyBorder="1" applyAlignment="1">
      <alignment horizontal="left" indent="2"/>
    </xf>
    <xf numFmtId="37" fontId="8" fillId="2" borderId="15" xfId="5" applyNumberFormat="1" applyFont="1" applyFill="1" applyBorder="1" applyAlignment="1"/>
    <xf numFmtId="37" fontId="8" fillId="2" borderId="11" xfId="5" applyNumberFormat="1" applyFont="1" applyFill="1" applyBorder="1" applyAlignment="1"/>
    <xf numFmtId="37" fontId="8" fillId="2" borderId="12" xfId="5" applyNumberFormat="1" applyFont="1" applyFill="1" applyBorder="1" applyAlignment="1"/>
    <xf numFmtId="0" fontId="7" fillId="2" borderId="53" xfId="5" applyNumberFormat="1" applyFont="1" applyFill="1" applyBorder="1" applyAlignment="1">
      <alignment horizontal="left" indent="1"/>
    </xf>
    <xf numFmtId="37" fontId="7" fillId="2" borderId="8" xfId="5" applyNumberFormat="1" applyFont="1" applyFill="1" applyBorder="1" applyAlignment="1"/>
    <xf numFmtId="37" fontId="7" fillId="2" borderId="0" xfId="5" applyNumberFormat="1" applyFont="1" applyFill="1" applyBorder="1" applyAlignment="1"/>
    <xf numFmtId="37" fontId="7" fillId="2" borderId="46" xfId="5" applyNumberFormat="1" applyFont="1" applyFill="1" applyBorder="1" applyAlignment="1"/>
    <xf numFmtId="0" fontId="7" fillId="2" borderId="77" xfId="5" applyNumberFormat="1" applyFont="1" applyFill="1" applyBorder="1" applyAlignment="1">
      <alignment horizontal="left" indent="2"/>
    </xf>
    <xf numFmtId="37" fontId="7" fillId="2" borderId="44" xfId="5" applyNumberFormat="1" applyFont="1" applyFill="1" applyBorder="1" applyAlignment="1"/>
    <xf numFmtId="37" fontId="7" fillId="2" borderId="47" xfId="5" applyNumberFormat="1" applyFont="1" applyFill="1" applyBorder="1" applyAlignment="1"/>
    <xf numFmtId="37" fontId="7" fillId="2" borderId="20" xfId="5" applyNumberFormat="1" applyFont="1" applyFill="1" applyBorder="1" applyAlignment="1"/>
    <xf numFmtId="165" fontId="3" fillId="0" borderId="0" xfId="5" applyNumberFormat="1" applyFont="1" applyBorder="1"/>
    <xf numFmtId="0" fontId="7" fillId="2" borderId="13" xfId="5" applyNumberFormat="1" applyFont="1" applyFill="1" applyBorder="1" applyAlignment="1">
      <alignment horizontal="left" indent="2"/>
    </xf>
    <xf numFmtId="0" fontId="28" fillId="2" borderId="13" xfId="5" applyNumberFormat="1" applyFont="1" applyFill="1" applyBorder="1" applyAlignment="1">
      <alignment horizontal="left" indent="2"/>
    </xf>
    <xf numFmtId="5" fontId="28" fillId="2" borderId="11" xfId="5" applyNumberFormat="1" applyFont="1" applyFill="1" applyBorder="1" applyAlignment="1"/>
    <xf numFmtId="5" fontId="28" fillId="2" borderId="116" xfId="5" applyNumberFormat="1" applyFont="1" applyFill="1" applyBorder="1" applyAlignment="1"/>
    <xf numFmtId="0" fontId="7" fillId="0" borderId="13" xfId="5" applyNumberFormat="1" applyFont="1" applyFill="1" applyBorder="1" applyAlignment="1">
      <alignment horizontal="left" indent="2"/>
    </xf>
    <xf numFmtId="170" fontId="28" fillId="2" borderId="15" xfId="5" applyNumberFormat="1" applyFont="1" applyFill="1" applyBorder="1" applyAlignment="1"/>
    <xf numFmtId="37" fontId="28" fillId="2" borderId="11" xfId="5" applyNumberFormat="1" applyFont="1" applyFill="1" applyBorder="1" applyAlignment="1"/>
    <xf numFmtId="0" fontId="28" fillId="0" borderId="79" xfId="5" applyNumberFormat="1" applyFont="1" applyFill="1" applyBorder="1" applyAlignment="1">
      <alignment horizontal="left" indent="2"/>
    </xf>
    <xf numFmtId="5" fontId="28" fillId="2" borderId="154" xfId="5" applyNumberFormat="1" applyFont="1" applyFill="1" applyBorder="1" applyAlignment="1"/>
    <xf numFmtId="0" fontId="28" fillId="0" borderId="113" xfId="5" applyNumberFormat="1" applyFont="1" applyFill="1" applyBorder="1" applyAlignment="1">
      <alignment horizontal="left" indent="2"/>
    </xf>
    <xf numFmtId="37" fontId="28" fillId="0" borderId="76" xfId="5" applyNumberFormat="1" applyFont="1" applyFill="1" applyBorder="1" applyAlignment="1"/>
    <xf numFmtId="37" fontId="28" fillId="0" borderId="114" xfId="5" applyNumberFormat="1" applyFont="1" applyFill="1" applyBorder="1" applyAlignment="1"/>
    <xf numFmtId="37" fontId="28" fillId="0" borderId="115" xfId="5" applyNumberFormat="1" applyFont="1" applyFill="1" applyBorder="1" applyAlignment="1"/>
    <xf numFmtId="0" fontId="7" fillId="2" borderId="15" xfId="5" applyNumberFormat="1" applyFont="1" applyFill="1" applyBorder="1" applyAlignment="1">
      <alignment horizontal="left" indent="1"/>
    </xf>
    <xf numFmtId="37" fontId="7" fillId="2" borderId="15" xfId="5" applyNumberFormat="1" applyFont="1" applyFill="1" applyBorder="1" applyAlignment="1">
      <alignment horizontal="right"/>
    </xf>
    <xf numFmtId="37" fontId="7" fillId="0" borderId="15" xfId="5" applyNumberFormat="1" applyFont="1" applyFill="1" applyBorder="1" applyAlignment="1"/>
    <xf numFmtId="37" fontId="7" fillId="2" borderId="53" xfId="5" applyNumberFormat="1" applyFont="1" applyFill="1" applyBorder="1" applyAlignment="1"/>
    <xf numFmtId="5" fontId="7" fillId="2" borderId="54" xfId="5" applyNumberFormat="1" applyFont="1" applyFill="1" applyBorder="1" applyAlignment="1"/>
    <xf numFmtId="37" fontId="7" fillId="0" borderId="53" xfId="5" applyNumberFormat="1" applyFont="1" applyFill="1" applyBorder="1" applyAlignment="1"/>
    <xf numFmtId="5" fontId="7" fillId="2" borderId="55" xfId="5" applyNumberFormat="1" applyFont="1" applyFill="1" applyBorder="1" applyAlignment="1"/>
    <xf numFmtId="165" fontId="7" fillId="0" borderId="0" xfId="5" applyNumberFormat="1" applyFont="1" applyFill="1" applyBorder="1" applyAlignment="1"/>
    <xf numFmtId="165" fontId="8" fillId="2" borderId="0" xfId="5" applyNumberFormat="1" applyFont="1" applyFill="1" applyBorder="1" applyAlignment="1"/>
    <xf numFmtId="165" fontId="31" fillId="0" borderId="0" xfId="5" applyNumberFormat="1" applyFont="1"/>
    <xf numFmtId="165" fontId="15" fillId="4" borderId="0" xfId="5" applyNumberFormat="1" applyFont="1" applyFill="1"/>
    <xf numFmtId="165" fontId="15" fillId="4" borderId="0" xfId="5" applyNumberFormat="1" applyFont="1" applyFill="1" applyAlignment="1">
      <alignment horizontal="centerContinuous"/>
    </xf>
    <xf numFmtId="165" fontId="3" fillId="0" borderId="0" xfId="5" applyNumberFormat="1" applyFont="1" applyFill="1"/>
    <xf numFmtId="0" fontId="15" fillId="4" borderId="0" xfId="5" applyFont="1" applyFill="1" applyBorder="1" applyAlignment="1">
      <alignment vertical="top" wrapText="1"/>
    </xf>
    <xf numFmtId="0" fontId="38" fillId="0" borderId="0" xfId="5" applyFont="1" applyFill="1" applyBorder="1" applyAlignment="1">
      <alignment vertical="top" wrapText="1"/>
    </xf>
    <xf numFmtId="165" fontId="15" fillId="4" borderId="0" xfId="5" applyNumberFormat="1" applyFont="1" applyFill="1" applyBorder="1" applyAlignment="1">
      <alignment vertical="top" wrapText="1"/>
    </xf>
    <xf numFmtId="165" fontId="3" fillId="4" borderId="0" xfId="5" applyNumberFormat="1" applyFont="1" applyFill="1"/>
    <xf numFmtId="165" fontId="7" fillId="4" borderId="0" xfId="5" applyNumberFormat="1" applyFont="1" applyFill="1" applyAlignment="1">
      <alignment horizontal="right"/>
    </xf>
    <xf numFmtId="165" fontId="7" fillId="4" borderId="0" xfId="5" applyNumberFormat="1" applyFont="1" applyFill="1" applyAlignment="1"/>
    <xf numFmtId="165" fontId="7" fillId="2" borderId="0" xfId="5" applyNumberFormat="1" applyFont="1" applyFill="1" applyAlignment="1"/>
    <xf numFmtId="165" fontId="52" fillId="2" borderId="0" xfId="5" applyNumberFormat="1" applyFont="1" applyFill="1" applyAlignment="1"/>
    <xf numFmtId="165" fontId="7" fillId="2" borderId="0" xfId="5" applyNumberFormat="1" applyFont="1" applyFill="1" applyBorder="1" applyAlignment="1"/>
    <xf numFmtId="165" fontId="13" fillId="2" borderId="0" xfId="5" applyNumberFormat="1" applyFont="1" applyFill="1" applyAlignment="1"/>
    <xf numFmtId="165" fontId="9" fillId="0" borderId="0" xfId="5" applyNumberFormat="1" applyFont="1" applyAlignment="1"/>
    <xf numFmtId="1" fontId="17" fillId="0" borderId="17" xfId="5" applyNumberFormat="1" applyFont="1" applyFill="1" applyBorder="1" applyAlignment="1">
      <alignment horizontal="right"/>
    </xf>
    <xf numFmtId="164" fontId="17" fillId="0" borderId="56" xfId="5" applyNumberFormat="1" applyFont="1" applyFill="1" applyBorder="1" applyAlignment="1"/>
    <xf numFmtId="3" fontId="58" fillId="0" borderId="0" xfId="5" applyNumberFormat="1" applyFont="1" applyFill="1" applyAlignment="1"/>
    <xf numFmtId="3" fontId="3" fillId="0" borderId="0" xfId="5" applyNumberFormat="1" applyFont="1" applyFill="1" applyAlignment="1"/>
    <xf numFmtId="37" fontId="3" fillId="0" borderId="167" xfId="5" applyNumberFormat="1" applyFont="1" applyFill="1" applyBorder="1" applyAlignment="1">
      <alignment horizontal="right"/>
    </xf>
    <xf numFmtId="37" fontId="3" fillId="0" borderId="151" xfId="5" applyNumberFormat="1" applyFont="1" applyFill="1" applyBorder="1" applyAlignment="1"/>
    <xf numFmtId="37" fontId="3" fillId="0" borderId="14" xfId="5" applyNumberFormat="1" applyFont="1" applyFill="1" applyBorder="1" applyAlignment="1">
      <alignment horizontal="right"/>
    </xf>
    <xf numFmtId="37" fontId="3" fillId="0" borderId="116" xfId="5" applyNumberFormat="1" applyFont="1" applyFill="1" applyBorder="1" applyAlignment="1"/>
    <xf numFmtId="0" fontId="3" fillId="0" borderId="13" xfId="5" applyNumberFormat="1" applyFont="1" applyFill="1" applyBorder="1" applyAlignment="1">
      <alignment horizontal="left" indent="1"/>
    </xf>
    <xf numFmtId="0" fontId="15" fillId="0" borderId="80" xfId="5" applyNumberFormat="1" applyFill="1" applyBorder="1" applyAlignment="1">
      <alignment horizontal="left" indent="1"/>
    </xf>
    <xf numFmtId="37" fontId="3" fillId="0" borderId="9" xfId="5" applyNumberFormat="1" applyFont="1" applyFill="1" applyBorder="1" applyAlignment="1">
      <alignment horizontal="right"/>
    </xf>
    <xf numFmtId="37" fontId="3" fillId="0" borderId="12" xfId="5" applyNumberFormat="1" applyFont="1" applyFill="1" applyBorder="1" applyAlignment="1"/>
    <xf numFmtId="37" fontId="3" fillId="0" borderId="16" xfId="5" applyNumberFormat="1" applyFont="1" applyFill="1" applyBorder="1" applyAlignment="1">
      <alignment horizontal="right"/>
    </xf>
    <xf numFmtId="37" fontId="3" fillId="0" borderId="16" xfId="5" applyNumberFormat="1" applyFont="1" applyFill="1" applyBorder="1" applyAlignment="1"/>
    <xf numFmtId="37" fontId="3" fillId="0" borderId="17" xfId="5" applyNumberFormat="1" applyFont="1" applyFill="1" applyBorder="1" applyAlignment="1">
      <alignment horizontal="right"/>
    </xf>
    <xf numFmtId="37" fontId="3" fillId="0" borderId="17" xfId="5" applyNumberFormat="1" applyFont="1" applyFill="1" applyBorder="1" applyAlignment="1"/>
    <xf numFmtId="1" fontId="3" fillId="0" borderId="17" xfId="5" applyNumberFormat="1" applyFont="1" applyFill="1" applyBorder="1" applyAlignment="1">
      <alignment horizontal="right"/>
    </xf>
    <xf numFmtId="3" fontId="3" fillId="0" borderId="56" xfId="5" applyNumberFormat="1" applyFont="1" applyFill="1" applyBorder="1" applyAlignment="1"/>
    <xf numFmtId="37" fontId="17" fillId="0" borderId="18" xfId="5" applyNumberFormat="1" applyFont="1" applyFill="1" applyBorder="1" applyAlignment="1">
      <alignment horizontal="right"/>
    </xf>
    <xf numFmtId="37" fontId="17" fillId="0" borderId="18" xfId="5" applyNumberFormat="1" applyFont="1" applyFill="1" applyBorder="1" applyAlignment="1"/>
    <xf numFmtId="37" fontId="3" fillId="0" borderId="9" xfId="5" applyNumberFormat="1" applyFont="1" applyFill="1" applyBorder="1" applyAlignment="1"/>
    <xf numFmtId="37" fontId="17" fillId="0" borderId="14" xfId="5" applyNumberFormat="1" applyFont="1" applyFill="1" applyBorder="1" applyAlignment="1">
      <alignment horizontal="right"/>
    </xf>
    <xf numFmtId="0" fontId="3" fillId="0" borderId="13" xfId="5" applyNumberFormat="1" applyFont="1" applyFill="1" applyBorder="1" applyAlignment="1">
      <alignment horizontal="left" indent="4"/>
    </xf>
    <xf numFmtId="0" fontId="3" fillId="0" borderId="80" xfId="5" applyNumberFormat="1" applyFont="1" applyFill="1" applyBorder="1" applyAlignment="1">
      <alignment horizontal="left" indent="4"/>
    </xf>
    <xf numFmtId="0" fontId="3" fillId="0" borderId="116" xfId="5" applyNumberFormat="1" applyFont="1" applyFill="1" applyBorder="1" applyAlignment="1">
      <alignment horizontal="left" indent="4"/>
    </xf>
    <xf numFmtId="0" fontId="3" fillId="0" borderId="13" xfId="5" applyNumberFormat="1" applyFont="1" applyBorder="1" applyAlignment="1">
      <alignment horizontal="left" indent="4"/>
    </xf>
    <xf numFmtId="37" fontId="3" fillId="0" borderId="10" xfId="5" applyNumberFormat="1" applyFont="1" applyFill="1" applyBorder="1" applyAlignment="1"/>
    <xf numFmtId="37" fontId="3" fillId="0" borderId="55" xfId="5" applyNumberFormat="1" applyFont="1" applyFill="1" applyBorder="1" applyAlignment="1"/>
    <xf numFmtId="37" fontId="3" fillId="0" borderId="169" xfId="5" applyNumberFormat="1" applyFont="1" applyBorder="1" applyAlignment="1"/>
    <xf numFmtId="37" fontId="3" fillId="0" borderId="153" xfId="5" applyNumberFormat="1" applyFont="1" applyBorder="1" applyAlignment="1"/>
    <xf numFmtId="0" fontId="15" fillId="0" borderId="80" xfId="5" applyNumberFormat="1" applyBorder="1" applyAlignment="1">
      <alignment horizontal="left" indent="4"/>
    </xf>
    <xf numFmtId="0" fontId="17" fillId="0" borderId="44" xfId="5" applyNumberFormat="1" applyFont="1" applyBorder="1" applyAlignment="1"/>
    <xf numFmtId="0" fontId="15" fillId="0" borderId="47" xfId="5" applyNumberFormat="1" applyBorder="1" applyAlignment="1"/>
    <xf numFmtId="0" fontId="15" fillId="0" borderId="128" xfId="5" applyNumberFormat="1" applyFont="1" applyBorder="1" applyAlignment="1"/>
    <xf numFmtId="0" fontId="15" fillId="0" borderId="0" xfId="5" applyNumberFormat="1" applyFont="1" applyBorder="1" applyAlignment="1"/>
    <xf numFmtId="37" fontId="3" fillId="0" borderId="8" xfId="5" applyNumberFormat="1" applyFont="1" applyBorder="1" applyAlignment="1">
      <alignment horizontal="right"/>
    </xf>
    <xf numFmtId="37" fontId="3" fillId="0" borderId="0" xfId="5" applyNumberFormat="1" applyFont="1" applyBorder="1" applyAlignment="1">
      <alignment horizontal="center"/>
    </xf>
    <xf numFmtId="37" fontId="3" fillId="0" borderId="0" xfId="5" applyNumberFormat="1" applyFont="1" applyBorder="1" applyAlignment="1">
      <alignment horizontal="right"/>
    </xf>
    <xf numFmtId="37" fontId="3" fillId="0" borderId="46" xfId="5" applyNumberFormat="1" applyFont="1" applyBorder="1" applyAlignment="1">
      <alignment horizontal="right"/>
    </xf>
    <xf numFmtId="37" fontId="3" fillId="0" borderId="11" xfId="5" applyNumberFormat="1" applyFont="1" applyBorder="1" applyAlignment="1">
      <alignment horizontal="right"/>
    </xf>
    <xf numFmtId="37" fontId="3" fillId="0" borderId="11" xfId="5" quotePrefix="1" applyNumberFormat="1" applyFont="1" applyBorder="1" applyAlignment="1">
      <alignment horizontal="right"/>
    </xf>
    <xf numFmtId="37" fontId="3" fillId="0" borderId="116" xfId="5" applyNumberFormat="1" applyFont="1" applyBorder="1" applyAlignment="1"/>
    <xf numFmtId="3" fontId="3" fillId="0" borderId="80" xfId="5" applyNumberFormat="1" applyFont="1" applyBorder="1" applyAlignment="1"/>
    <xf numFmtId="37" fontId="3" fillId="0" borderId="116" xfId="5" applyNumberFormat="1" applyFont="1" applyBorder="1" applyAlignment="1">
      <alignment horizontal="right"/>
    </xf>
    <xf numFmtId="3" fontId="94" fillId="0" borderId="0" xfId="5" applyNumberFormat="1" applyFont="1" applyAlignment="1"/>
    <xf numFmtId="0" fontId="3" fillId="0" borderId="53" xfId="5" applyNumberFormat="1" applyFont="1" applyBorder="1" applyAlignment="1"/>
    <xf numFmtId="0" fontId="3" fillId="0" borderId="54" xfId="5" applyNumberFormat="1" applyFont="1" applyBorder="1" applyAlignment="1"/>
    <xf numFmtId="37" fontId="3" fillId="0" borderId="54" xfId="5" quotePrefix="1" applyNumberFormat="1" applyFont="1" applyBorder="1" applyAlignment="1">
      <alignment horizontal="right"/>
    </xf>
    <xf numFmtId="37" fontId="3" fillId="0" borderId="54" xfId="5" applyNumberFormat="1" applyFont="1" applyBorder="1" applyAlignment="1">
      <alignment horizontal="right"/>
    </xf>
    <xf numFmtId="0" fontId="3" fillId="0" borderId="0" xfId="5" applyNumberFormat="1" applyFont="1" applyBorder="1" applyAlignment="1"/>
    <xf numFmtId="37" fontId="3" fillId="0" borderId="0" xfId="5" quotePrefix="1" applyNumberFormat="1" applyFont="1" applyBorder="1" applyAlignment="1">
      <alignment horizontal="right"/>
    </xf>
    <xf numFmtId="0" fontId="3" fillId="0" borderId="168" xfId="5" applyNumberFormat="1" applyFont="1" applyBorder="1" applyAlignment="1"/>
    <xf numFmtId="37" fontId="3" fillId="0" borderId="77" xfId="5" applyNumberFormat="1" applyFont="1" applyBorder="1" applyAlignment="1">
      <alignment horizontal="center"/>
    </xf>
    <xf numFmtId="37" fontId="3" fillId="0" borderId="168" xfId="5" applyNumberFormat="1" applyFont="1" applyBorder="1" applyAlignment="1">
      <alignment horizontal="center"/>
    </xf>
    <xf numFmtId="37" fontId="3" fillId="0" borderId="168" xfId="5" applyNumberFormat="1" applyFont="1" applyBorder="1" applyAlignment="1"/>
    <xf numFmtId="37" fontId="3" fillId="0" borderId="168" xfId="5" applyNumberFormat="1" applyFont="1" applyBorder="1" applyAlignment="1">
      <alignment horizontal="right"/>
    </xf>
    <xf numFmtId="0" fontId="3" fillId="0" borderId="12" xfId="5" applyNumberFormat="1" applyFont="1" applyBorder="1" applyAlignment="1"/>
    <xf numFmtId="0" fontId="3" fillId="0" borderId="12" xfId="5" applyNumberFormat="1" applyFont="1" applyBorder="1" applyAlignment="1">
      <alignment wrapText="1"/>
    </xf>
    <xf numFmtId="37" fontId="3" fillId="0" borderId="116" xfId="5" applyNumberFormat="1" applyFont="1" applyFill="1" applyBorder="1" applyAlignment="1">
      <alignment horizontal="left"/>
    </xf>
    <xf numFmtId="0" fontId="3" fillId="0" borderId="11" xfId="5" applyNumberFormat="1" applyFont="1" applyBorder="1" applyAlignment="1">
      <alignment wrapText="1"/>
    </xf>
    <xf numFmtId="37" fontId="17" fillId="0" borderId="3" xfId="5" applyNumberFormat="1" applyFont="1" applyBorder="1" applyAlignment="1">
      <alignment horizontal="right"/>
    </xf>
    <xf numFmtId="37" fontId="17" fillId="0" borderId="4" xfId="5" applyNumberFormat="1" applyFont="1" applyBorder="1" applyAlignment="1"/>
    <xf numFmtId="0" fontId="17" fillId="0" borderId="168" xfId="5" applyNumberFormat="1" applyFont="1" applyBorder="1" applyAlignment="1"/>
    <xf numFmtId="37" fontId="17" fillId="0" borderId="77" xfId="5" applyNumberFormat="1" applyFont="1" applyBorder="1" applyAlignment="1">
      <alignment horizontal="center"/>
    </xf>
    <xf numFmtId="37" fontId="17" fillId="0" borderId="168" xfId="5" applyNumberFormat="1" applyFont="1" applyBorder="1" applyAlignment="1">
      <alignment horizontal="center"/>
    </xf>
    <xf numFmtId="0" fontId="17" fillId="0" borderId="80" xfId="5" applyNumberFormat="1" applyFont="1" applyBorder="1" applyAlignment="1"/>
    <xf numFmtId="37" fontId="17" fillId="0" borderId="13" xfId="5" applyNumberFormat="1" applyFont="1" applyBorder="1" applyAlignment="1">
      <alignment horizontal="center"/>
    </xf>
    <xf numFmtId="37" fontId="17" fillId="0" borderId="80" xfId="5" applyNumberFormat="1" applyFont="1" applyBorder="1" applyAlignment="1">
      <alignment horizontal="center"/>
    </xf>
    <xf numFmtId="37" fontId="3" fillId="0" borderId="170" xfId="5" applyNumberFormat="1" applyFont="1" applyBorder="1" applyAlignment="1"/>
    <xf numFmtId="37" fontId="3" fillId="0" borderId="80" xfId="5" applyNumberFormat="1" applyFont="1" applyBorder="1" applyAlignment="1">
      <alignment horizontal="right"/>
    </xf>
    <xf numFmtId="37" fontId="3" fillId="0" borderId="13" xfId="5" applyNumberFormat="1" applyFont="1" applyBorder="1" applyAlignment="1">
      <alignment horizontal="center"/>
    </xf>
    <xf numFmtId="37" fontId="3" fillId="0" borderId="80" xfId="5" applyNumberFormat="1" applyFont="1" applyBorder="1" applyAlignment="1"/>
    <xf numFmtId="37" fontId="3" fillId="0" borderId="151" xfId="5" applyNumberFormat="1" applyFont="1" applyBorder="1" applyAlignment="1"/>
    <xf numFmtId="0" fontId="17" fillId="0" borderId="54" xfId="5" applyNumberFormat="1" applyFont="1" applyBorder="1" applyAlignment="1">
      <alignment horizontal="left"/>
    </xf>
    <xf numFmtId="3" fontId="3" fillId="0" borderId="55" xfId="5" applyNumberFormat="1" applyFont="1" applyBorder="1" applyAlignment="1"/>
    <xf numFmtId="37" fontId="17" fillId="0" borderId="55" xfId="5" applyNumberFormat="1" applyFont="1" applyBorder="1" applyAlignment="1"/>
    <xf numFmtId="37" fontId="17" fillId="0" borderId="54" xfId="5" applyNumberFormat="1" applyFont="1" applyBorder="1" applyAlignment="1"/>
    <xf numFmtId="37" fontId="17" fillId="0" borderId="53" xfId="5" applyNumberFormat="1" applyFont="1" applyBorder="1" applyAlignment="1"/>
    <xf numFmtId="37" fontId="58" fillId="0" borderId="0" xfId="5" applyNumberFormat="1" applyFont="1" applyAlignment="1"/>
    <xf numFmtId="0" fontId="80" fillId="0" borderId="0" xfId="15" applyFont="1"/>
    <xf numFmtId="0" fontId="16" fillId="0" borderId="0" xfId="15" applyFont="1"/>
    <xf numFmtId="37" fontId="9" fillId="0" borderId="8" xfId="5" applyNumberFormat="1" applyFont="1" applyBorder="1"/>
    <xf numFmtId="37" fontId="9" fillId="0" borderId="11" xfId="5" applyNumberFormat="1" applyFont="1" applyBorder="1"/>
    <xf numFmtId="37" fontId="9" fillId="0" borderId="12" xfId="5" applyNumberFormat="1" applyFont="1" applyBorder="1"/>
    <xf numFmtId="37" fontId="9" fillId="0" borderId="13" xfId="5" applyNumberFormat="1" applyFont="1" applyBorder="1"/>
    <xf numFmtId="37" fontId="9" fillId="0" borderId="12" xfId="5" applyNumberFormat="1" applyFont="1" applyBorder="1" applyAlignment="1"/>
    <xf numFmtId="0" fontId="9" fillId="0" borderId="14" xfId="15" applyFont="1" applyBorder="1" applyAlignment="1">
      <alignment horizontal="center"/>
    </xf>
    <xf numFmtId="0" fontId="9" fillId="0" borderId="9" xfId="15" applyFont="1" applyBorder="1" applyAlignment="1">
      <alignment wrapText="1"/>
    </xf>
    <xf numFmtId="0" fontId="9" fillId="0" borderId="6" xfId="15" applyFont="1" applyBorder="1"/>
    <xf numFmtId="0" fontId="9" fillId="0" borderId="171" xfId="15" applyFont="1" applyBorder="1" applyAlignment="1">
      <alignment horizontal="center"/>
    </xf>
    <xf numFmtId="37" fontId="9" fillId="0" borderId="79" xfId="5" applyNumberFormat="1" applyFont="1" applyBorder="1"/>
    <xf numFmtId="37" fontId="9" fillId="0" borderId="0" xfId="5" applyNumberFormat="1" applyFont="1" applyBorder="1"/>
    <xf numFmtId="37" fontId="9" fillId="0" borderId="46" xfId="5" applyNumberFormat="1" applyFont="1" applyBorder="1" applyAlignment="1"/>
    <xf numFmtId="37" fontId="9" fillId="0" borderId="46" xfId="5" applyNumberFormat="1" applyFont="1" applyBorder="1"/>
    <xf numFmtId="0" fontId="23" fillId="0" borderId="78" xfId="15" applyFont="1" applyBorder="1" applyAlignment="1">
      <alignment horizontal="left"/>
    </xf>
    <xf numFmtId="37" fontId="23" fillId="0" borderId="78" xfId="15" applyNumberFormat="1" applyFont="1" applyBorder="1"/>
    <xf numFmtId="37" fontId="23" fillId="0" borderId="127" xfId="15" applyNumberFormat="1" applyFont="1" applyBorder="1"/>
    <xf numFmtId="5" fontId="23" fillId="0" borderId="127" xfId="15" applyNumberFormat="1" applyFont="1" applyBorder="1"/>
    <xf numFmtId="5" fontId="23" fillId="0" borderId="2" xfId="15" applyNumberFormat="1" applyFont="1" applyBorder="1"/>
    <xf numFmtId="0" fontId="9" fillId="0" borderId="13" xfId="15" applyFont="1" applyBorder="1" applyAlignment="1">
      <alignment wrapText="1"/>
    </xf>
    <xf numFmtId="0" fontId="23" fillId="0" borderId="2" xfId="15" applyFont="1" applyBorder="1"/>
    <xf numFmtId="0" fontId="16" fillId="0" borderId="2" xfId="15" applyFont="1" applyBorder="1"/>
    <xf numFmtId="5" fontId="23" fillId="0" borderId="117" xfId="15" applyNumberFormat="1" applyFont="1" applyBorder="1"/>
    <xf numFmtId="0" fontId="52" fillId="0" borderId="5" xfId="15" applyFont="1" applyBorder="1" applyAlignment="1">
      <alignment horizontal="center"/>
    </xf>
    <xf numFmtId="0" fontId="50" fillId="0" borderId="5" xfId="5" applyFont="1" applyBorder="1" applyAlignment="1">
      <alignment horizontal="center"/>
    </xf>
    <xf numFmtId="0" fontId="50" fillId="0" borderId="7" xfId="5" applyFont="1" applyBorder="1" applyAlignment="1">
      <alignment horizontal="center"/>
    </xf>
    <xf numFmtId="0" fontId="50" fillId="0" borderId="3" xfId="5" applyFont="1" applyBorder="1" applyAlignment="1">
      <alignment horizontal="center"/>
    </xf>
    <xf numFmtId="0" fontId="50" fillId="0" borderId="4" xfId="5" applyFont="1" applyBorder="1" applyAlignment="1">
      <alignment horizontal="center"/>
    </xf>
    <xf numFmtId="0" fontId="16" fillId="0" borderId="46" xfId="16" applyBorder="1"/>
    <xf numFmtId="0" fontId="9" fillId="0" borderId="48" xfId="16" applyFont="1" applyBorder="1"/>
    <xf numFmtId="37" fontId="9" fillId="0" borderId="44" xfId="16" applyNumberFormat="1" applyFont="1" applyBorder="1" applyAlignment="1"/>
    <xf numFmtId="37" fontId="9" fillId="0" borderId="20" xfId="16" applyNumberFormat="1" applyFont="1" applyBorder="1" applyAlignment="1"/>
    <xf numFmtId="37" fontId="9" fillId="0" borderId="44" xfId="16" applyNumberFormat="1" applyFont="1" applyBorder="1" applyAlignment="1">
      <alignment horizontal="right"/>
    </xf>
    <xf numFmtId="37" fontId="9" fillId="0" borderId="20" xfId="16" applyNumberFormat="1" applyFont="1" applyBorder="1" applyAlignment="1">
      <alignment horizontal="right"/>
    </xf>
    <xf numFmtId="37" fontId="9" fillId="0" borderId="0" xfId="16" applyNumberFormat="1" applyFont="1" applyAlignment="1">
      <alignment horizontal="right"/>
    </xf>
    <xf numFmtId="37" fontId="9" fillId="0" borderId="0" xfId="16" applyNumberFormat="1" applyFont="1" applyAlignment="1"/>
    <xf numFmtId="37" fontId="9" fillId="0" borderId="74" xfId="16" applyNumberFormat="1" applyFont="1" applyBorder="1" applyAlignment="1">
      <alignment horizontal="right"/>
    </xf>
    <xf numFmtId="37" fontId="23" fillId="0" borderId="109" xfId="16" applyNumberFormat="1" applyFont="1" applyBorder="1" applyAlignment="1"/>
    <xf numFmtId="5" fontId="23" fillId="0" borderId="110" xfId="4" applyNumberFormat="1" applyFont="1" applyBorder="1" applyAlignment="1"/>
    <xf numFmtId="37" fontId="23" fillId="0" borderId="108" xfId="16" applyNumberFormat="1" applyFont="1" applyBorder="1" applyAlignment="1">
      <alignment horizontal="right"/>
    </xf>
    <xf numFmtId="165" fontId="24" fillId="0" borderId="0" xfId="5" applyNumberFormat="1" applyFont="1" applyAlignment="1"/>
    <xf numFmtId="0" fontId="17" fillId="0" borderId="120" xfId="5" applyNumberFormat="1" applyFont="1" applyFill="1" applyBorder="1" applyAlignment="1">
      <alignment horizontal="center"/>
    </xf>
    <xf numFmtId="0" fontId="17" fillId="0" borderId="74" xfId="5" applyNumberFormat="1" applyFont="1" applyFill="1" applyBorder="1" applyAlignment="1">
      <alignment horizontal="center"/>
    </xf>
    <xf numFmtId="0" fontId="3" fillId="0" borderId="113" xfId="5" applyNumberFormat="1" applyFont="1" applyBorder="1" applyAlignment="1">
      <alignment horizontal="left"/>
    </xf>
    <xf numFmtId="37" fontId="3" fillId="0" borderId="11" xfId="5" applyNumberFormat="1" applyFont="1" applyFill="1" applyBorder="1" applyAlignment="1"/>
    <xf numFmtId="0" fontId="3" fillId="0" borderId="9" xfId="5" applyNumberFormat="1" applyFont="1" applyBorder="1" applyAlignment="1">
      <alignment horizontal="left"/>
    </xf>
    <xf numFmtId="37" fontId="3" fillId="0" borderId="9" xfId="5" applyNumberFormat="1" applyFont="1" applyBorder="1" applyAlignment="1">
      <alignment horizontal="left" indent="1"/>
    </xf>
    <xf numFmtId="165" fontId="3" fillId="0" borderId="13" xfId="5" applyNumberFormat="1" applyFont="1" applyBorder="1" applyAlignment="1"/>
    <xf numFmtId="37" fontId="3" fillId="0" borderId="9" xfId="5" applyNumberFormat="1" applyFont="1" applyBorder="1" applyAlignment="1">
      <alignment horizontal="left"/>
    </xf>
    <xf numFmtId="37" fontId="3" fillId="0" borderId="9" xfId="5" applyNumberFormat="1" applyFont="1" applyBorder="1" applyAlignment="1">
      <alignment horizontal="left" wrapText="1"/>
    </xf>
    <xf numFmtId="0" fontId="3" fillId="0" borderId="9" xfId="5" applyNumberFormat="1" applyFont="1" applyBorder="1" applyAlignment="1"/>
    <xf numFmtId="0" fontId="3" fillId="0" borderId="9" xfId="5" applyNumberFormat="1" applyFont="1" applyBorder="1" applyAlignment="1">
      <alignment wrapText="1"/>
    </xf>
    <xf numFmtId="0" fontId="3" fillId="0" borderId="9" xfId="5" applyNumberFormat="1" applyFont="1" applyBorder="1" applyAlignment="1">
      <alignment horizontal="left" indent="1"/>
    </xf>
    <xf numFmtId="0" fontId="3" fillId="0" borderId="9" xfId="5" applyNumberFormat="1" applyFont="1" applyBorder="1" applyAlignment="1">
      <alignment horizontal="left" wrapText="1" indent="1"/>
    </xf>
    <xf numFmtId="0" fontId="3" fillId="0" borderId="15" xfId="5" applyNumberFormat="1" applyFont="1" applyBorder="1" applyAlignment="1">
      <alignment wrapText="1"/>
    </xf>
    <xf numFmtId="0" fontId="3" fillId="0" borderId="14" xfId="5" applyNumberFormat="1" applyFont="1" applyBorder="1" applyAlignment="1">
      <alignment horizontal="left" indent="1"/>
    </xf>
    <xf numFmtId="0" fontId="3" fillId="0" borderId="14" xfId="5" applyNumberFormat="1" applyFont="1" applyBorder="1" applyAlignment="1"/>
    <xf numFmtId="0" fontId="17" fillId="0" borderId="48" xfId="5" applyNumberFormat="1" applyFont="1" applyBorder="1" applyAlignment="1">
      <alignment horizontal="left" indent="3"/>
    </xf>
    <xf numFmtId="5" fontId="17" fillId="0" borderId="5" xfId="5" applyNumberFormat="1" applyFont="1" applyFill="1" applyBorder="1" applyAlignment="1"/>
    <xf numFmtId="5" fontId="17" fillId="0" borderId="3" xfId="5" applyNumberFormat="1" applyFont="1" applyFill="1" applyBorder="1" applyAlignment="1"/>
    <xf numFmtId="0" fontId="3" fillId="0" borderId="48" xfId="5" applyNumberFormat="1" applyFont="1" applyBorder="1" applyAlignment="1"/>
    <xf numFmtId="37" fontId="95" fillId="0" borderId="4" xfId="5" applyNumberFormat="1" applyFont="1" applyBorder="1" applyAlignment="1"/>
    <xf numFmtId="37" fontId="3" fillId="0" borderId="48" xfId="5" applyNumberFormat="1" applyFont="1" applyFill="1" applyBorder="1" applyAlignment="1"/>
    <xf numFmtId="37" fontId="3" fillId="0" borderId="47" xfId="5" applyNumberFormat="1" applyFont="1" applyFill="1" applyBorder="1" applyAlignment="1"/>
    <xf numFmtId="0" fontId="3" fillId="0" borderId="169" xfId="5" applyNumberFormat="1" applyFont="1" applyBorder="1" applyAlignment="1"/>
    <xf numFmtId="0" fontId="3" fillId="0" borderId="14" xfId="5" applyNumberFormat="1" applyFont="1" applyBorder="1" applyAlignment="1">
      <alignment horizontal="left" indent="3"/>
    </xf>
    <xf numFmtId="0" fontId="3" fillId="0" borderId="10" xfId="5" applyNumberFormat="1" applyFont="1" applyBorder="1" applyAlignment="1">
      <alignment horizontal="left" indent="3"/>
    </xf>
    <xf numFmtId="5" fontId="3" fillId="0" borderId="5" xfId="5" applyNumberFormat="1" applyFont="1" applyFill="1" applyBorder="1" applyAlignment="1"/>
    <xf numFmtId="5" fontId="3" fillId="0" borderId="3" xfId="5" applyNumberFormat="1" applyFont="1" applyFill="1" applyBorder="1" applyAlignment="1"/>
    <xf numFmtId="0" fontId="24" fillId="0" borderId="0" xfId="5" applyFont="1"/>
    <xf numFmtId="0" fontId="17" fillId="0" borderId="73" xfId="5" applyNumberFormat="1" applyFont="1" applyFill="1" applyBorder="1" applyAlignment="1">
      <alignment horizontal="right"/>
    </xf>
    <xf numFmtId="0" fontId="17" fillId="0" borderId="74" xfId="5" applyNumberFormat="1" applyFont="1" applyFill="1" applyBorder="1" applyAlignment="1">
      <alignment horizontal="right"/>
    </xf>
    <xf numFmtId="0" fontId="17" fillId="0" borderId="75" xfId="5" applyNumberFormat="1" applyFont="1" applyFill="1" applyBorder="1" applyAlignment="1">
      <alignment horizontal="right"/>
    </xf>
    <xf numFmtId="37" fontId="3" fillId="0" borderId="15" xfId="5" applyNumberFormat="1" applyFont="1" applyFill="1" applyBorder="1" applyAlignment="1"/>
    <xf numFmtId="37" fontId="3" fillId="0" borderId="12" xfId="5" applyNumberFormat="1" applyFont="1" applyFill="1" applyBorder="1" applyAlignment="1">
      <alignment horizontal="right"/>
    </xf>
    <xf numFmtId="37" fontId="3" fillId="0" borderId="14" xfId="5" applyNumberFormat="1" applyFont="1" applyBorder="1" applyAlignment="1">
      <alignment horizontal="left"/>
    </xf>
    <xf numFmtId="37" fontId="3" fillId="0" borderId="13" xfId="5" applyNumberFormat="1" applyFont="1" applyBorder="1" applyAlignment="1"/>
    <xf numFmtId="37" fontId="3" fillId="0" borderId="13" xfId="5" applyNumberFormat="1" applyFont="1" applyFill="1" applyBorder="1" applyAlignment="1"/>
    <xf numFmtId="37" fontId="3" fillId="0" borderId="80" xfId="5" applyNumberFormat="1" applyFont="1" applyFill="1" applyBorder="1" applyAlignment="1"/>
    <xf numFmtId="37" fontId="3" fillId="0" borderId="14" xfId="5" applyNumberFormat="1" applyFont="1" applyFill="1" applyBorder="1" applyAlignment="1"/>
    <xf numFmtId="37" fontId="17" fillId="0" borderId="7" xfId="5" applyNumberFormat="1" applyFont="1" applyFill="1" applyBorder="1" applyAlignment="1"/>
    <xf numFmtId="37" fontId="17" fillId="0" borderId="3" xfId="5" applyNumberFormat="1" applyFont="1" applyFill="1" applyBorder="1" applyAlignment="1"/>
    <xf numFmtId="5" fontId="17" fillId="0" borderId="47" xfId="5" applyNumberFormat="1" applyFont="1" applyFill="1" applyBorder="1" applyAlignment="1"/>
    <xf numFmtId="5" fontId="17" fillId="0" borderId="4" xfId="5" applyNumberFormat="1" applyFont="1" applyFill="1" applyBorder="1" applyAlignment="1"/>
    <xf numFmtId="37" fontId="3" fillId="0" borderId="44" xfId="5" applyNumberFormat="1" applyFont="1" applyFill="1" applyBorder="1" applyAlignment="1"/>
    <xf numFmtId="37" fontId="3" fillId="0" borderId="20" xfId="5" applyNumberFormat="1" applyFont="1" applyFill="1" applyBorder="1" applyAlignment="1"/>
    <xf numFmtId="5" fontId="3" fillId="0" borderId="4" xfId="5" applyNumberFormat="1" applyFont="1" applyFill="1" applyBorder="1" applyAlignment="1"/>
    <xf numFmtId="0" fontId="15" fillId="0" borderId="0" xfId="5" applyFill="1"/>
    <xf numFmtId="0" fontId="3" fillId="0" borderId="79" xfId="5" applyNumberFormat="1" applyFont="1" applyBorder="1" applyAlignment="1">
      <alignment horizontal="left"/>
    </xf>
    <xf numFmtId="0" fontId="3" fillId="0" borderId="112" xfId="5" applyNumberFormat="1" applyFont="1" applyBorder="1" applyAlignment="1">
      <alignment horizontal="left"/>
    </xf>
    <xf numFmtId="0" fontId="10" fillId="0" borderId="0" xfId="5" applyNumberFormat="1" applyFont="1" applyFill="1" applyAlignment="1"/>
    <xf numFmtId="3" fontId="35" fillId="0" borderId="0" xfId="5" applyNumberFormat="1" applyFont="1" applyFill="1" applyAlignment="1"/>
    <xf numFmtId="3" fontId="35" fillId="0" borderId="0" xfId="5" applyNumberFormat="1" applyFont="1" applyFill="1" applyAlignment="1">
      <alignment horizontal="center"/>
    </xf>
    <xf numFmtId="3" fontId="35" fillId="0" borderId="0" xfId="5" applyNumberFormat="1" applyFont="1" applyFill="1" applyBorder="1" applyAlignment="1">
      <alignment horizontal="center"/>
    </xf>
    <xf numFmtId="3" fontId="55" fillId="0" borderId="0" xfId="5" applyNumberFormat="1" applyFont="1" applyFill="1" applyAlignment="1"/>
    <xf numFmtId="0" fontId="10" fillId="0" borderId="0" xfId="5" applyFont="1" applyFill="1"/>
    <xf numFmtId="0" fontId="24" fillId="0" borderId="0" xfId="5" applyFont="1" applyFill="1"/>
    <xf numFmtId="0" fontId="26" fillId="0" borderId="71" xfId="5" applyNumberFormat="1" applyFont="1" applyFill="1" applyBorder="1" applyAlignment="1">
      <alignment horizontal="right"/>
    </xf>
    <xf numFmtId="0" fontId="26" fillId="0" borderId="159" xfId="5" applyNumberFormat="1" applyFont="1" applyFill="1" applyBorder="1" applyAlignment="1">
      <alignment horizontal="center"/>
    </xf>
    <xf numFmtId="0" fontId="26" fillId="0" borderId="73" xfId="5" applyNumberFormat="1" applyFont="1" applyFill="1" applyBorder="1" applyAlignment="1">
      <alignment horizontal="right"/>
    </xf>
    <xf numFmtId="0" fontId="26" fillId="0" borderId="74" xfId="5" applyNumberFormat="1" applyFont="1" applyFill="1" applyBorder="1" applyAlignment="1">
      <alignment horizontal="center"/>
    </xf>
    <xf numFmtId="0" fontId="26" fillId="0" borderId="177" xfId="5" applyNumberFormat="1" applyFont="1" applyFill="1" applyBorder="1" applyAlignment="1">
      <alignment horizontal="right"/>
    </xf>
    <xf numFmtId="0" fontId="90" fillId="0" borderId="178" xfId="5" applyNumberFormat="1" applyFont="1" applyFill="1" applyBorder="1" applyAlignment="1">
      <alignment horizontal="left"/>
    </xf>
    <xf numFmtId="37" fontId="25" fillId="0" borderId="28" xfId="5" applyNumberFormat="1" applyFont="1" applyFill="1" applyBorder="1" applyAlignment="1"/>
    <xf numFmtId="37" fontId="25" fillId="0" borderId="37" xfId="5" applyNumberFormat="1" applyFont="1" applyFill="1" applyBorder="1" applyAlignment="1"/>
    <xf numFmtId="37" fontId="25" fillId="0" borderId="0" xfId="5" applyNumberFormat="1" applyFont="1" applyFill="1" applyBorder="1" applyAlignment="1"/>
    <xf numFmtId="37" fontId="25" fillId="0" borderId="46" xfId="5" applyNumberFormat="1" applyFont="1" applyFill="1" applyBorder="1" applyAlignment="1"/>
    <xf numFmtId="0" fontId="36" fillId="0" borderId="179" xfId="5" applyNumberFormat="1" applyFont="1" applyFill="1" applyBorder="1" applyAlignment="1">
      <alignment horizontal="left"/>
    </xf>
    <xf numFmtId="170" fontId="26" fillId="0" borderId="49" xfId="5" applyNumberFormat="1" applyFont="1" applyFill="1" applyBorder="1" applyAlignment="1"/>
    <xf numFmtId="5" fontId="26" fillId="0" borderId="50" xfId="5" applyNumberFormat="1" applyFont="1" applyFill="1" applyBorder="1" applyAlignment="1"/>
    <xf numFmtId="170" fontId="26" fillId="0" borderId="51" xfId="5" applyNumberFormat="1" applyFont="1" applyFill="1" applyBorder="1" applyAlignment="1"/>
    <xf numFmtId="5" fontId="26" fillId="0" borderId="51" xfId="5" applyNumberFormat="1" applyFont="1" applyFill="1" applyBorder="1" applyAlignment="1"/>
    <xf numFmtId="37" fontId="26" fillId="0" borderId="49" xfId="5" applyNumberFormat="1" applyFont="1" applyFill="1" applyBorder="1" applyAlignment="1"/>
    <xf numFmtId="0" fontId="36" fillId="0" borderId="147" xfId="5" applyNumberFormat="1" applyFont="1" applyFill="1" applyBorder="1" applyAlignment="1">
      <alignment horizontal="left"/>
    </xf>
    <xf numFmtId="170" fontId="26" fillId="0" borderId="147" xfId="5" applyNumberFormat="1" applyFont="1" applyFill="1" applyBorder="1" applyAlignment="1"/>
    <xf numFmtId="5" fontId="26" fillId="0" borderId="147" xfId="5" applyNumberFormat="1" applyFont="1" applyFill="1" applyBorder="1" applyAlignment="1">
      <alignment horizontal="center"/>
    </xf>
    <xf numFmtId="37" fontId="26" fillId="0" borderId="147" xfId="5" applyNumberFormat="1" applyFont="1" applyFill="1" applyBorder="1" applyAlignment="1"/>
    <xf numFmtId="37" fontId="25" fillId="0" borderId="37" xfId="5" applyNumberFormat="1" applyFont="1" applyFill="1" applyBorder="1" applyAlignment="1">
      <alignment horizontal="right"/>
    </xf>
    <xf numFmtId="37" fontId="25" fillId="0" borderId="28" xfId="5" applyNumberFormat="1" applyFont="1" applyFill="1" applyBorder="1" applyAlignment="1">
      <alignment horizontal="right"/>
    </xf>
    <xf numFmtId="37" fontId="25" fillId="0" borderId="0" xfId="5" applyNumberFormat="1" applyFont="1" applyFill="1" applyBorder="1" applyAlignment="1">
      <alignment horizontal="right"/>
    </xf>
    <xf numFmtId="37" fontId="25" fillId="0" borderId="46" xfId="5" applyNumberFormat="1" applyFont="1" applyFill="1" applyBorder="1" applyAlignment="1">
      <alignment horizontal="right"/>
    </xf>
    <xf numFmtId="37" fontId="25" fillId="0" borderId="8" xfId="5" applyNumberFormat="1" applyFont="1" applyFill="1" applyBorder="1" applyAlignment="1">
      <alignment horizontal="right"/>
    </xf>
    <xf numFmtId="5" fontId="26" fillId="0" borderId="50" xfId="5" applyNumberFormat="1" applyFont="1" applyFill="1" applyBorder="1" applyAlignment="1">
      <alignment horizontal="right"/>
    </xf>
    <xf numFmtId="170" fontId="26" fillId="0" borderId="49" xfId="5" applyNumberFormat="1" applyFont="1" applyFill="1" applyBorder="1" applyAlignment="1">
      <alignment horizontal="right"/>
    </xf>
    <xf numFmtId="170" fontId="26" fillId="0" borderId="51" xfId="5" applyNumberFormat="1" applyFont="1" applyFill="1" applyBorder="1" applyAlignment="1">
      <alignment horizontal="right"/>
    </xf>
    <xf numFmtId="5" fontId="26" fillId="0" borderId="51" xfId="5" applyNumberFormat="1" applyFont="1" applyFill="1" applyBorder="1" applyAlignment="1">
      <alignment horizontal="right"/>
    </xf>
    <xf numFmtId="170" fontId="26" fillId="0" borderId="180" xfId="5" applyNumberFormat="1" applyFont="1" applyFill="1" applyBorder="1" applyAlignment="1">
      <alignment horizontal="right"/>
    </xf>
    <xf numFmtId="0" fontId="36" fillId="0" borderId="0" xfId="5" applyNumberFormat="1" applyFont="1" applyFill="1" applyBorder="1" applyAlignment="1">
      <alignment horizontal="left"/>
    </xf>
    <xf numFmtId="170" fontId="26" fillId="0" borderId="0" xfId="5" applyNumberFormat="1" applyFont="1" applyFill="1" applyBorder="1" applyAlignment="1"/>
    <xf numFmtId="5" fontId="26" fillId="0" borderId="0" xfId="5" applyNumberFormat="1" applyFont="1" applyFill="1" applyBorder="1" applyAlignment="1">
      <alignment horizontal="center"/>
    </xf>
    <xf numFmtId="37" fontId="26" fillId="0" borderId="0" xfId="5" applyNumberFormat="1" applyFont="1" applyFill="1" applyBorder="1" applyAlignment="1"/>
    <xf numFmtId="0" fontId="26" fillId="0" borderId="182" xfId="5" applyNumberFormat="1" applyFont="1" applyFill="1" applyBorder="1" applyAlignment="1">
      <alignment horizontal="center"/>
    </xf>
    <xf numFmtId="0" fontId="26" fillId="0" borderId="159" xfId="5" applyNumberFormat="1" applyFont="1" applyFill="1" applyBorder="1" applyAlignment="1">
      <alignment horizontal="right"/>
    </xf>
    <xf numFmtId="0" fontId="3" fillId="0" borderId="183" xfId="5" applyFont="1" applyFill="1" applyBorder="1" applyAlignment="1">
      <alignment horizontal="right"/>
    </xf>
    <xf numFmtId="37" fontId="25" fillId="0" borderId="184" xfId="5" applyNumberFormat="1" applyFont="1" applyFill="1" applyBorder="1" applyAlignment="1">
      <alignment horizontal="right"/>
    </xf>
    <xf numFmtId="37" fontId="26" fillId="0" borderId="49" xfId="5" applyNumberFormat="1" applyFont="1" applyFill="1" applyBorder="1" applyAlignment="1">
      <alignment horizontal="right"/>
    </xf>
    <xf numFmtId="0" fontId="90" fillId="0" borderId="185" xfId="5" applyNumberFormat="1" applyFont="1" applyFill="1" applyBorder="1" applyAlignment="1">
      <alignment horizontal="left"/>
    </xf>
    <xf numFmtId="5" fontId="26" fillId="0" borderId="186" xfId="5" applyNumberFormat="1" applyFont="1" applyFill="1" applyBorder="1" applyAlignment="1">
      <alignment horizontal="right"/>
    </xf>
    <xf numFmtId="170" fontId="26" fillId="0" borderId="187" xfId="5" applyNumberFormat="1" applyFont="1" applyFill="1" applyBorder="1" applyAlignment="1">
      <alignment horizontal="right"/>
    </xf>
    <xf numFmtId="5" fontId="26" fillId="0" borderId="187" xfId="5" applyNumberFormat="1" applyFont="1" applyFill="1" applyBorder="1" applyAlignment="1">
      <alignment horizontal="right"/>
    </xf>
    <xf numFmtId="170" fontId="26" fillId="0" borderId="70" xfId="5" applyNumberFormat="1" applyFont="1" applyFill="1" applyBorder="1" applyAlignment="1">
      <alignment horizontal="right"/>
    </xf>
    <xf numFmtId="170" fontId="26" fillId="0" borderId="189" xfId="5" applyNumberFormat="1" applyFont="1" applyFill="1" applyBorder="1" applyAlignment="1">
      <alignment horizontal="right"/>
    </xf>
    <xf numFmtId="37" fontId="26" fillId="0" borderId="70" xfId="5" applyNumberFormat="1" applyFont="1" applyFill="1" applyBorder="1" applyAlignment="1">
      <alignment horizontal="right"/>
    </xf>
    <xf numFmtId="0" fontId="3" fillId="0" borderId="0" xfId="5" applyFont="1" applyFill="1"/>
    <xf numFmtId="0" fontId="26" fillId="0" borderId="0" xfId="5" applyNumberFormat="1" applyFont="1" applyFill="1" applyBorder="1" applyAlignment="1">
      <alignment horizontal="right"/>
    </xf>
    <xf numFmtId="0" fontId="26" fillId="0" borderId="0" xfId="5" applyNumberFormat="1" applyFont="1" applyFill="1" applyBorder="1" applyAlignment="1">
      <alignment horizontal="center"/>
    </xf>
    <xf numFmtId="0" fontId="3" fillId="0" borderId="0" xfId="5" applyFont="1" applyFill="1" applyAlignment="1">
      <alignment horizontal="center"/>
    </xf>
    <xf numFmtId="0" fontId="3" fillId="0" borderId="0" xfId="5" applyFont="1"/>
    <xf numFmtId="0" fontId="3" fillId="0" borderId="0" xfId="5" applyFont="1" applyAlignment="1">
      <alignment horizontal="center"/>
    </xf>
    <xf numFmtId="0" fontId="31" fillId="0" borderId="0" xfId="5" applyFont="1" applyFill="1"/>
    <xf numFmtId="165" fontId="55" fillId="0" borderId="0" xfId="5" applyNumberFormat="1" applyFont="1" applyFill="1"/>
    <xf numFmtId="0" fontId="28" fillId="0" borderId="73" xfId="5" applyNumberFormat="1" applyFont="1" applyFill="1" applyBorder="1" applyAlignment="1">
      <alignment horizontal="right"/>
    </xf>
    <xf numFmtId="0" fontId="28" fillId="0" borderId="74" xfId="5" applyNumberFormat="1" applyFont="1" applyFill="1" applyBorder="1" applyAlignment="1">
      <alignment horizontal="right"/>
    </xf>
    <xf numFmtId="0" fontId="28" fillId="0" borderId="75" xfId="5" applyNumberFormat="1" applyFont="1" applyFill="1" applyBorder="1" applyAlignment="1">
      <alignment horizontal="right"/>
    </xf>
    <xf numFmtId="0" fontId="7" fillId="0" borderId="76" xfId="5" applyNumberFormat="1" applyFont="1" applyFill="1" applyBorder="1" applyAlignment="1">
      <alignment horizontal="left" indent="1"/>
    </xf>
    <xf numFmtId="5" fontId="7" fillId="0" borderId="11" xfId="5" applyNumberFormat="1" applyFont="1" applyFill="1" applyBorder="1" applyAlignment="1"/>
    <xf numFmtId="5" fontId="7" fillId="0" borderId="12" xfId="5" applyNumberFormat="1" applyFont="1" applyFill="1" applyBorder="1" applyAlignment="1"/>
    <xf numFmtId="0" fontId="7" fillId="0" borderId="13" xfId="5" applyNumberFormat="1" applyFont="1" applyFill="1" applyBorder="1" applyAlignment="1">
      <alignment horizontal="left" indent="1"/>
    </xf>
    <xf numFmtId="37" fontId="7" fillId="0" borderId="11" xfId="5" applyNumberFormat="1" applyFont="1" applyFill="1" applyBorder="1" applyAlignment="1"/>
    <xf numFmtId="37" fontId="7" fillId="0" borderId="12" xfId="5" applyNumberFormat="1" applyFont="1" applyFill="1" applyBorder="1" applyAlignment="1"/>
    <xf numFmtId="165" fontId="3" fillId="0" borderId="0" xfId="5" applyNumberFormat="1" applyFont="1" applyFill="1" applyAlignment="1">
      <alignment horizontal="right"/>
    </xf>
    <xf numFmtId="37" fontId="7" fillId="0" borderId="13" xfId="5" applyNumberFormat="1" applyFont="1" applyFill="1" applyBorder="1" applyAlignment="1"/>
    <xf numFmtId="0" fontId="8" fillId="0" borderId="13" xfId="5" applyNumberFormat="1" applyFont="1" applyFill="1" applyBorder="1" applyAlignment="1">
      <alignment horizontal="left" indent="2"/>
    </xf>
    <xf numFmtId="37" fontId="8" fillId="0" borderId="15" xfId="5" applyNumberFormat="1" applyFont="1" applyFill="1" applyBorder="1" applyAlignment="1"/>
    <xf numFmtId="37" fontId="8" fillId="0" borderId="11" xfId="5" applyNumberFormat="1" applyFont="1" applyFill="1" applyBorder="1" applyAlignment="1"/>
    <xf numFmtId="37" fontId="8" fillId="0" borderId="12" xfId="5" applyNumberFormat="1" applyFont="1" applyFill="1" applyBorder="1" applyAlignment="1"/>
    <xf numFmtId="0" fontId="7" fillId="0" borderId="53" xfId="5" applyNumberFormat="1" applyFont="1" applyFill="1" applyBorder="1" applyAlignment="1">
      <alignment horizontal="left" indent="1"/>
    </xf>
    <xf numFmtId="37" fontId="7" fillId="0" borderId="8" xfId="5" applyNumberFormat="1" applyFont="1" applyFill="1" applyBorder="1" applyAlignment="1"/>
    <xf numFmtId="37" fontId="7" fillId="0" borderId="0" xfId="5" applyNumberFormat="1" applyFont="1" applyFill="1" applyBorder="1" applyAlignment="1"/>
    <xf numFmtId="37" fontId="7" fillId="0" borderId="46" xfId="5" applyNumberFormat="1" applyFont="1" applyFill="1" applyBorder="1" applyAlignment="1"/>
    <xf numFmtId="0" fontId="7" fillId="0" borderId="77" xfId="5" applyNumberFormat="1" applyFont="1" applyFill="1" applyBorder="1" applyAlignment="1">
      <alignment horizontal="left" indent="2"/>
    </xf>
    <xf numFmtId="37" fontId="7" fillId="0" borderId="44" xfId="5" applyNumberFormat="1" applyFont="1" applyFill="1" applyBorder="1" applyAlignment="1"/>
    <xf numFmtId="37" fontId="7" fillId="0" borderId="47" xfId="5" applyNumberFormat="1" applyFont="1" applyFill="1" applyBorder="1" applyAlignment="1"/>
    <xf numFmtId="37" fontId="7" fillId="0" borderId="20" xfId="5" applyNumberFormat="1" applyFont="1" applyFill="1" applyBorder="1" applyAlignment="1"/>
    <xf numFmtId="165" fontId="3" fillId="0" borderId="0" xfId="5" applyNumberFormat="1" applyFont="1" applyFill="1" applyBorder="1"/>
    <xf numFmtId="0" fontId="28" fillId="0" borderId="13" xfId="5" applyNumberFormat="1" applyFont="1" applyFill="1" applyBorder="1" applyAlignment="1">
      <alignment horizontal="left" indent="3"/>
    </xf>
    <xf numFmtId="170" fontId="28" fillId="0" borderId="15" xfId="5" applyNumberFormat="1" applyFont="1" applyFill="1" applyBorder="1" applyAlignment="1"/>
    <xf numFmtId="5" fontId="28" fillId="0" borderId="11" xfId="5" applyNumberFormat="1" applyFont="1" applyFill="1" applyBorder="1" applyAlignment="1"/>
    <xf numFmtId="5" fontId="28" fillId="0" borderId="12" xfId="5" applyNumberFormat="1" applyFont="1" applyFill="1" applyBorder="1" applyAlignment="1"/>
    <xf numFmtId="0" fontId="7" fillId="0" borderId="15" xfId="5" applyNumberFormat="1" applyFont="1" applyFill="1" applyBorder="1" applyAlignment="1">
      <alignment horizontal="left" indent="2"/>
    </xf>
    <xf numFmtId="37" fontId="9" fillId="0" borderId="11" xfId="5" applyNumberFormat="1" applyFont="1" applyFill="1" applyBorder="1" applyAlignment="1"/>
    <xf numFmtId="37" fontId="91" fillId="0" borderId="11" xfId="5" applyNumberFormat="1" applyFont="1" applyFill="1" applyBorder="1" applyAlignment="1"/>
    <xf numFmtId="37" fontId="7" fillId="0" borderId="80" xfId="5" applyNumberFormat="1" applyFont="1" applyFill="1" applyBorder="1" applyAlignment="1"/>
    <xf numFmtId="37" fontId="7" fillId="0" borderId="116" xfId="5" applyNumberFormat="1" applyFont="1" applyFill="1" applyBorder="1" applyAlignment="1"/>
    <xf numFmtId="0" fontId="28" fillId="0" borderId="45" xfId="5" applyFont="1" applyFill="1" applyBorder="1" applyAlignment="1">
      <alignment horizontal="left" indent="2"/>
    </xf>
    <xf numFmtId="37" fontId="28" fillId="0" borderId="45" xfId="5" applyNumberFormat="1" applyFont="1" applyFill="1" applyBorder="1" applyAlignment="1"/>
    <xf numFmtId="37" fontId="28" fillId="0" borderId="57" xfId="5" applyNumberFormat="1" applyFont="1" applyFill="1" applyBorder="1" applyAlignment="1"/>
    <xf numFmtId="37" fontId="28" fillId="0" borderId="154" xfId="5" applyNumberFormat="1" applyFont="1" applyFill="1" applyBorder="1" applyAlignment="1"/>
    <xf numFmtId="0" fontId="7" fillId="0" borderId="15" xfId="5" applyNumberFormat="1" applyFont="1" applyFill="1" applyBorder="1" applyAlignment="1">
      <alignment horizontal="left" indent="1"/>
    </xf>
    <xf numFmtId="37" fontId="7" fillId="0" borderId="15" xfId="5" applyNumberFormat="1" applyFont="1" applyFill="1" applyBorder="1" applyAlignment="1">
      <alignment horizontal="right"/>
    </xf>
    <xf numFmtId="5" fontId="7" fillId="0" borderId="54" xfId="5" applyNumberFormat="1" applyFont="1" applyFill="1" applyBorder="1" applyAlignment="1"/>
    <xf numFmtId="5" fontId="7" fillId="0" borderId="55" xfId="5" applyNumberFormat="1" applyFont="1" applyFill="1" applyBorder="1" applyAlignment="1"/>
    <xf numFmtId="165" fontId="3" fillId="0" borderId="0" xfId="5" applyNumberFormat="1" applyFont="1" applyFill="1" applyBorder="1" applyAlignment="1"/>
    <xf numFmtId="1" fontId="17" fillId="0" borderId="167" xfId="5" applyNumberFormat="1" applyFont="1" applyBorder="1" applyAlignment="1">
      <alignment horizontal="right"/>
    </xf>
    <xf numFmtId="37" fontId="9" fillId="0" borderId="106" xfId="16" applyNumberFormat="1" applyFont="1" applyBorder="1"/>
    <xf numFmtId="0" fontId="26" fillId="2" borderId="177" xfId="5" applyNumberFormat="1" applyFont="1" applyFill="1" applyBorder="1" applyAlignment="1">
      <alignment horizontal="right"/>
    </xf>
    <xf numFmtId="0" fontId="26" fillId="2" borderId="72" xfId="5" applyNumberFormat="1" applyFont="1" applyFill="1" applyBorder="1" applyAlignment="1">
      <alignment horizontal="center"/>
    </xf>
    <xf numFmtId="0" fontId="90" fillId="2" borderId="66" xfId="5" applyNumberFormat="1" applyFont="1" applyFill="1" applyBorder="1" applyAlignment="1">
      <alignment horizontal="left"/>
    </xf>
    <xf numFmtId="37" fontId="25" fillId="2" borderId="0" xfId="5" applyNumberFormat="1" applyFont="1" applyFill="1" applyBorder="1" applyAlignment="1"/>
    <xf numFmtId="37" fontId="25" fillId="2" borderId="43" xfId="5" applyNumberFormat="1" applyFont="1" applyFill="1" applyBorder="1" applyAlignment="1">
      <alignment horizontal="center"/>
    </xf>
    <xf numFmtId="170" fontId="26" fillId="2" borderId="49" xfId="5" applyNumberFormat="1" applyFont="1" applyFill="1" applyBorder="1" applyAlignment="1"/>
    <xf numFmtId="5" fontId="26" fillId="2" borderId="50" xfId="5" applyNumberFormat="1" applyFont="1" applyFill="1" applyBorder="1" applyAlignment="1">
      <alignment horizontal="center"/>
    </xf>
    <xf numFmtId="170" fontId="26" fillId="2" borderId="51" xfId="5" applyNumberFormat="1" applyFont="1" applyFill="1" applyBorder="1" applyAlignment="1"/>
    <xf numFmtId="5" fontId="26" fillId="2" borderId="51" xfId="5" applyNumberFormat="1" applyFont="1" applyFill="1" applyBorder="1" applyAlignment="1">
      <alignment horizontal="center"/>
    </xf>
    <xf numFmtId="37" fontId="26" fillId="2" borderId="49" xfId="5" applyNumberFormat="1" applyFont="1" applyFill="1" applyBorder="1" applyAlignment="1"/>
    <xf numFmtId="5" fontId="26" fillId="2" borderId="52" xfId="5" applyNumberFormat="1" applyFont="1" applyFill="1" applyBorder="1" applyAlignment="1">
      <alignment horizontal="center"/>
    </xf>
    <xf numFmtId="3" fontId="59" fillId="2" borderId="0" xfId="5" applyNumberFormat="1" applyFont="1" applyFill="1" applyAlignment="1"/>
    <xf numFmtId="3" fontId="5" fillId="2" borderId="0" xfId="5" applyNumberFormat="1" applyFont="1" applyFill="1" applyBorder="1" applyAlignment="1"/>
    <xf numFmtId="3" fontId="5" fillId="2" borderId="0" xfId="5" applyNumberFormat="1" applyFont="1" applyFill="1" applyBorder="1" applyAlignment="1">
      <alignment horizontal="center"/>
    </xf>
    <xf numFmtId="3" fontId="59" fillId="2" borderId="0" xfId="5" applyNumberFormat="1" applyFont="1" applyFill="1" applyBorder="1" applyAlignment="1"/>
    <xf numFmtId="0" fontId="28" fillId="2" borderId="13" xfId="5" applyNumberFormat="1" applyFont="1" applyFill="1" applyBorder="1" applyAlignment="1">
      <alignment horizontal="left" indent="3"/>
    </xf>
    <xf numFmtId="5" fontId="28" fillId="2" borderId="12" xfId="5" applyNumberFormat="1" applyFont="1" applyFill="1" applyBorder="1" applyAlignment="1"/>
    <xf numFmtId="37" fontId="28" fillId="0" borderId="79" xfId="5" applyNumberFormat="1" applyFont="1" applyFill="1" applyBorder="1" applyAlignment="1"/>
    <xf numFmtId="37" fontId="28" fillId="0" borderId="111" xfId="5" applyNumberFormat="1" applyFont="1" applyFill="1" applyBorder="1" applyAlignment="1"/>
    <xf numFmtId="37" fontId="28" fillId="0" borderId="112" xfId="5" applyNumberFormat="1" applyFont="1" applyFill="1" applyBorder="1" applyAlignment="1"/>
    <xf numFmtId="1" fontId="3" fillId="0" borderId="18" xfId="5" applyNumberFormat="1" applyFont="1" applyBorder="1" applyAlignment="1">
      <alignment horizontal="right"/>
    </xf>
    <xf numFmtId="5" fontId="3" fillId="0" borderId="192" xfId="5" applyNumberFormat="1" applyFont="1" applyBorder="1" applyAlignment="1"/>
    <xf numFmtId="0" fontId="3" fillId="0" borderId="80" xfId="5" applyNumberFormat="1" applyFont="1" applyBorder="1" applyAlignment="1">
      <alignment horizontal="left" indent="4"/>
    </xf>
    <xf numFmtId="0" fontId="3" fillId="0" borderId="116" xfId="5" applyNumberFormat="1" applyFont="1" applyBorder="1" applyAlignment="1">
      <alignment horizontal="left" indent="4"/>
    </xf>
    <xf numFmtId="0" fontId="3" fillId="0" borderId="193" xfId="5" applyNumberFormat="1" applyFont="1" applyBorder="1" applyAlignment="1">
      <alignment horizontal="right"/>
    </xf>
    <xf numFmtId="0" fontId="3" fillId="0" borderId="194" xfId="5" applyNumberFormat="1" applyFont="1" applyBorder="1" applyAlignment="1">
      <alignment horizontal="center"/>
    </xf>
    <xf numFmtId="0" fontId="3" fillId="0" borderId="194" xfId="5" applyNumberFormat="1" applyFont="1" applyBorder="1" applyAlignment="1">
      <alignment horizontal="right"/>
    </xf>
    <xf numFmtId="0" fontId="3" fillId="0" borderId="195" xfId="5" applyNumberFormat="1" applyFont="1" applyBorder="1" applyAlignment="1">
      <alignment horizontal="right"/>
    </xf>
    <xf numFmtId="0" fontId="3" fillId="0" borderId="193" xfId="5" applyNumberFormat="1" applyFont="1" applyBorder="1" applyAlignment="1">
      <alignment horizontal="center"/>
    </xf>
    <xf numFmtId="3" fontId="3" fillId="0" borderId="11" xfId="5" applyNumberFormat="1" applyFont="1" applyBorder="1" applyAlignment="1">
      <alignment horizontal="center"/>
    </xf>
    <xf numFmtId="3" fontId="3" fillId="0" borderId="11" xfId="4" applyNumberFormat="1" applyFont="1" applyBorder="1" applyAlignment="1"/>
    <xf numFmtId="3" fontId="17" fillId="0" borderId="80" xfId="5" applyNumberFormat="1" applyFont="1" applyBorder="1" applyAlignment="1">
      <alignment horizontal="center"/>
    </xf>
    <xf numFmtId="42" fontId="17" fillId="0" borderId="80" xfId="4" applyNumberFormat="1" applyFont="1" applyBorder="1" applyAlignment="1"/>
    <xf numFmtId="42" fontId="17" fillId="0" borderId="13" xfId="4" applyNumberFormat="1" applyFont="1" applyBorder="1" applyAlignment="1">
      <alignment horizontal="center"/>
    </xf>
    <xf numFmtId="42" fontId="17" fillId="0" borderId="80" xfId="4" applyNumberFormat="1" applyFont="1" applyBorder="1" applyAlignment="1">
      <alignment horizontal="center"/>
    </xf>
    <xf numFmtId="164" fontId="17" fillId="0" borderId="80" xfId="4" applyNumberFormat="1" applyFont="1" applyBorder="1" applyAlignment="1"/>
    <xf numFmtId="42" fontId="17" fillId="0" borderId="116" xfId="4" applyNumberFormat="1" applyFont="1" applyBorder="1" applyAlignment="1"/>
    <xf numFmtId="37" fontId="17" fillId="0" borderId="80" xfId="5" applyNumberFormat="1" applyFont="1" applyBorder="1" applyAlignment="1"/>
    <xf numFmtId="164" fontId="17" fillId="0" borderId="116" xfId="5" applyNumberFormat="1" applyFont="1" applyBorder="1" applyAlignment="1"/>
    <xf numFmtId="3" fontId="3" fillId="0" borderId="116" xfId="5" applyNumberFormat="1" applyFont="1" applyBorder="1" applyAlignment="1"/>
    <xf numFmtId="0" fontId="17" fillId="0" borderId="54" xfId="5" applyNumberFormat="1" applyFont="1" applyBorder="1" applyAlignment="1"/>
    <xf numFmtId="164" fontId="17" fillId="0" borderId="54" xfId="5" applyNumberFormat="1" applyFont="1" applyBorder="1" applyAlignment="1"/>
    <xf numFmtId="164" fontId="17" fillId="0" borderId="55" xfId="5" applyNumberFormat="1" applyFont="1" applyBorder="1" applyAlignment="1"/>
    <xf numFmtId="5" fontId="17" fillId="0" borderId="54" xfId="5" applyNumberFormat="1" applyFont="1" applyBorder="1" applyAlignment="1"/>
    <xf numFmtId="0" fontId="64" fillId="0" borderId="0" xfId="5" applyFont="1" applyAlignment="1"/>
    <xf numFmtId="0" fontId="16" fillId="0" borderId="0" xfId="15" applyAlignment="1">
      <alignment horizontal="center"/>
    </xf>
    <xf numFmtId="0" fontId="55" fillId="0" borderId="0" xfId="15" applyFont="1" applyAlignment="1">
      <alignment horizontal="left" wrapText="1"/>
    </xf>
    <xf numFmtId="0" fontId="63" fillId="0" borderId="0" xfId="5" applyFont="1" applyAlignment="1">
      <alignment horizontal="center" wrapText="1"/>
    </xf>
    <xf numFmtId="0" fontId="55" fillId="0" borderId="0" xfId="15" applyFont="1" applyAlignment="1">
      <alignment horizontal="center" wrapText="1"/>
    </xf>
    <xf numFmtId="0" fontId="16" fillId="0" borderId="0" xfId="15" applyAlignment="1">
      <alignment horizontal="center" wrapText="1"/>
    </xf>
    <xf numFmtId="0" fontId="63" fillId="0" borderId="0" xfId="5" applyFont="1" applyBorder="1" applyAlignment="1">
      <alignment horizontal="center" wrapText="1"/>
    </xf>
    <xf numFmtId="0" fontId="16" fillId="0" borderId="0" xfId="15" applyFont="1" applyAlignment="1">
      <alignment horizontal="center" wrapText="1"/>
    </xf>
    <xf numFmtId="0" fontId="55" fillId="0" borderId="0" xfId="15" applyFont="1" applyAlignment="1">
      <alignment wrapText="1"/>
    </xf>
    <xf numFmtId="0" fontId="16" fillId="0" borderId="0" xfId="15" applyAlignment="1">
      <alignment wrapText="1"/>
    </xf>
    <xf numFmtId="0" fontId="16" fillId="0" borderId="3" xfId="15" applyBorder="1" applyAlignment="1">
      <alignment horizontal="center" wrapText="1"/>
    </xf>
    <xf numFmtId="0" fontId="16" fillId="0" borderId="0" xfId="15" applyBorder="1" applyAlignment="1">
      <alignment horizontal="center" wrapText="1"/>
    </xf>
    <xf numFmtId="0" fontId="16" fillId="0" borderId="0" xfId="15" applyBorder="1" applyAlignment="1">
      <alignment horizontal="left"/>
    </xf>
    <xf numFmtId="0" fontId="23" fillId="0" borderId="3" xfId="15" applyFont="1" applyBorder="1" applyAlignment="1">
      <alignment horizontal="left"/>
    </xf>
    <xf numFmtId="0" fontId="23" fillId="0" borderId="4" xfId="15" applyFont="1" applyBorder="1" applyAlignment="1">
      <alignment horizontal="left"/>
    </xf>
    <xf numFmtId="0" fontId="16" fillId="0" borderId="0" xfId="15" applyAlignment="1">
      <alignment horizontal="left"/>
    </xf>
    <xf numFmtId="0" fontId="9" fillId="0" borderId="9" xfId="15" applyFont="1" applyBorder="1" applyAlignment="1">
      <alignment horizontal="left" wrapText="1"/>
    </xf>
    <xf numFmtId="0" fontId="9" fillId="0" borderId="9" xfId="15" applyFont="1" applyBorder="1" applyAlignment="1">
      <alignment horizontal="left"/>
    </xf>
    <xf numFmtId="0" fontId="9" fillId="0" borderId="7" xfId="15" applyFont="1" applyBorder="1" applyAlignment="1">
      <alignment horizontal="left"/>
    </xf>
    <xf numFmtId="0" fontId="9" fillId="0" borderId="3" xfId="15" applyFont="1" applyBorder="1" applyAlignment="1">
      <alignment horizontal="left"/>
    </xf>
    <xf numFmtId="0" fontId="9" fillId="0" borderId="4" xfId="15" applyFont="1" applyBorder="1" applyAlignment="1">
      <alignment horizontal="left"/>
    </xf>
    <xf numFmtId="0" fontId="9" fillId="0" borderId="13" xfId="15" applyFont="1" applyBorder="1" applyAlignment="1">
      <alignment horizontal="left"/>
    </xf>
    <xf numFmtId="0" fontId="9" fillId="0" borderId="13" xfId="15" applyFont="1" applyBorder="1" applyAlignment="1">
      <alignment horizontal="left" wrapText="1"/>
    </xf>
    <xf numFmtId="0" fontId="9" fillId="0" borderId="14" xfId="15" applyFont="1" applyBorder="1" applyAlignment="1">
      <alignment horizontal="left"/>
    </xf>
    <xf numFmtId="0" fontId="23" fillId="0" borderId="48" xfId="15" applyFont="1" applyBorder="1" applyAlignment="1">
      <alignment horizontal="left"/>
    </xf>
    <xf numFmtId="0" fontId="16" fillId="0" borderId="47" xfId="15" applyBorder="1" applyAlignment="1">
      <alignment horizontal="left"/>
    </xf>
    <xf numFmtId="37" fontId="23" fillId="0" borderId="44" xfId="15" applyNumberFormat="1" applyFont="1" applyBorder="1" applyAlignment="1">
      <alignment horizontal="left"/>
    </xf>
    <xf numFmtId="37" fontId="23" fillId="0" borderId="47" xfId="15" applyNumberFormat="1" applyFont="1" applyBorder="1" applyAlignment="1">
      <alignment horizontal="left"/>
    </xf>
    <xf numFmtId="5" fontId="23" fillId="0" borderId="48" xfId="15" applyNumberFormat="1" applyFont="1" applyBorder="1" applyAlignment="1">
      <alignment horizontal="right"/>
    </xf>
    <xf numFmtId="0" fontId="16" fillId="0" borderId="0" xfId="15" applyFont="1" applyFill="1"/>
    <xf numFmtId="0" fontId="15" fillId="0" borderId="0" xfId="15" applyFont="1" applyFill="1" applyAlignment="1">
      <alignment horizontal="left"/>
    </xf>
    <xf numFmtId="37" fontId="23" fillId="0" borderId="46" xfId="2" applyNumberFormat="1" applyFont="1" applyBorder="1"/>
    <xf numFmtId="37" fontId="23" fillId="0" borderId="0" xfId="2" applyNumberFormat="1" applyFont="1" applyBorder="1"/>
    <xf numFmtId="0" fontId="23" fillId="0" borderId="7" xfId="16" applyFont="1" applyBorder="1"/>
    <xf numFmtId="0" fontId="23" fillId="0" borderId="8" xfId="16" applyFont="1" applyBorder="1"/>
    <xf numFmtId="0" fontId="23" fillId="0" borderId="198" xfId="16" applyFont="1" applyBorder="1" applyAlignment="1">
      <alignment horizontal="left"/>
    </xf>
    <xf numFmtId="0" fontId="17" fillId="0" borderId="199" xfId="5" applyNumberFormat="1" applyFont="1" applyBorder="1" applyAlignment="1">
      <alignment horizontal="center"/>
    </xf>
    <xf numFmtId="0" fontId="17" fillId="0" borderId="130" xfId="5" applyNumberFormat="1" applyFont="1" applyBorder="1" applyAlignment="1">
      <alignment horizontal="right"/>
    </xf>
    <xf numFmtId="0" fontId="17" fillId="0" borderId="131" xfId="5" applyNumberFormat="1" applyFont="1" applyBorder="1" applyAlignment="1">
      <alignment horizontal="right"/>
    </xf>
    <xf numFmtId="3" fontId="3" fillId="0" borderId="199" xfId="5" applyNumberFormat="1" applyFont="1" applyBorder="1" applyAlignment="1">
      <alignment horizontal="center"/>
    </xf>
    <xf numFmtId="3" fontId="3" fillId="0" borderId="130" xfId="5" applyNumberFormat="1" applyFont="1" applyBorder="1" applyAlignment="1">
      <alignment horizontal="center"/>
    </xf>
    <xf numFmtId="0" fontId="17" fillId="0" borderId="132" xfId="5" applyNumberFormat="1" applyFont="1" applyBorder="1" applyAlignment="1">
      <alignment horizontal="right"/>
    </xf>
    <xf numFmtId="0" fontId="3" fillId="0" borderId="15" xfId="5" applyNumberFormat="1" applyFont="1" applyBorder="1" applyAlignment="1">
      <alignment horizontal="left"/>
    </xf>
    <xf numFmtId="37" fontId="70" fillId="0" borderId="15" xfId="5" applyNumberFormat="1" applyFont="1" applyBorder="1" applyAlignment="1"/>
    <xf numFmtId="37" fontId="70" fillId="0" borderId="11" xfId="5" applyNumberFormat="1" applyFont="1" applyBorder="1" applyAlignment="1"/>
    <xf numFmtId="37" fontId="70" fillId="0" borderId="9" xfId="5" applyNumberFormat="1" applyFont="1" applyBorder="1" applyAlignment="1"/>
    <xf numFmtId="165" fontId="94" fillId="0" borderId="0" xfId="5" applyNumberFormat="1" applyFont="1" applyAlignment="1"/>
    <xf numFmtId="165" fontId="70" fillId="0" borderId="0" xfId="5" applyNumberFormat="1" applyFont="1" applyAlignment="1"/>
    <xf numFmtId="0" fontId="70" fillId="0" borderId="15" xfId="5" applyNumberFormat="1" applyFont="1" applyBorder="1" applyAlignment="1">
      <alignment horizontal="left"/>
    </xf>
    <xf numFmtId="165" fontId="58" fillId="0" borderId="3" xfId="5" applyNumberFormat="1" applyFont="1" applyBorder="1" applyAlignment="1"/>
    <xf numFmtId="165" fontId="3" fillId="0" borderId="3" xfId="5" applyNumberFormat="1" applyFont="1" applyBorder="1" applyAlignment="1"/>
    <xf numFmtId="0" fontId="17" fillId="0" borderId="7" xfId="5" applyNumberFormat="1" applyFont="1" applyBorder="1" applyAlignment="1">
      <alignment horizontal="left" indent="3"/>
    </xf>
    <xf numFmtId="5" fontId="3" fillId="0" borderId="0" xfId="5" applyNumberFormat="1" applyFont="1" applyBorder="1" applyAlignment="1"/>
    <xf numFmtId="0" fontId="3" fillId="0" borderId="10" xfId="5" applyNumberFormat="1" applyFont="1" applyBorder="1" applyAlignment="1">
      <alignment horizontal="left"/>
    </xf>
    <xf numFmtId="37" fontId="3" fillId="0" borderId="55" xfId="5" applyNumberFormat="1" applyFont="1" applyBorder="1" applyAlignment="1">
      <alignment horizontal="right"/>
    </xf>
    <xf numFmtId="5" fontId="3" fillId="0" borderId="47" xfId="5" applyNumberFormat="1" applyFont="1" applyBorder="1" applyAlignment="1"/>
    <xf numFmtId="5" fontId="3" fillId="0" borderId="48" xfId="5" applyNumberFormat="1" applyFont="1" applyBorder="1" applyAlignment="1"/>
    <xf numFmtId="5" fontId="3" fillId="0" borderId="20" xfId="5" applyNumberFormat="1" applyFont="1" applyBorder="1" applyAlignment="1"/>
    <xf numFmtId="37" fontId="3" fillId="0" borderId="130" xfId="5" applyNumberFormat="1" applyFont="1" applyBorder="1" applyAlignment="1"/>
    <xf numFmtId="37" fontId="3" fillId="0" borderId="131" xfId="5" applyNumberFormat="1" applyFont="1" applyBorder="1" applyAlignment="1"/>
    <xf numFmtId="37" fontId="3" fillId="0" borderId="132" xfId="5" applyNumberFormat="1" applyFont="1" applyBorder="1" applyAlignment="1"/>
    <xf numFmtId="0" fontId="18" fillId="0" borderId="0" xfId="5" applyNumberFormat="1" applyFont="1" applyBorder="1" applyAlignment="1"/>
    <xf numFmtId="3" fontId="7" fillId="2" borderId="0" xfId="5" applyNumberFormat="1" applyFont="1" applyFill="1" applyBorder="1" applyAlignment="1"/>
    <xf numFmtId="0" fontId="9" fillId="0" borderId="0" xfId="5" applyNumberFormat="1" applyFont="1" applyBorder="1" applyAlignment="1">
      <alignment horizontal="center"/>
    </xf>
    <xf numFmtId="0" fontId="26" fillId="2" borderId="44" xfId="5" applyNumberFormat="1" applyFont="1" applyFill="1" applyBorder="1" applyAlignment="1">
      <alignment horizontal="right"/>
    </xf>
    <xf numFmtId="0" fontId="26" fillId="2" borderId="20" xfId="5" applyNumberFormat="1" applyFont="1" applyFill="1" applyBorder="1" applyAlignment="1">
      <alignment horizontal="center"/>
    </xf>
    <xf numFmtId="0" fontId="26" fillId="2" borderId="3" xfId="5" applyNumberFormat="1" applyFont="1" applyFill="1" applyBorder="1" applyAlignment="1">
      <alignment horizontal="right"/>
    </xf>
    <xf numFmtId="0" fontId="26" fillId="2" borderId="3" xfId="5" applyNumberFormat="1" applyFont="1" applyFill="1" applyBorder="1" applyAlignment="1">
      <alignment horizontal="center"/>
    </xf>
    <xf numFmtId="0" fontId="26" fillId="2" borderId="190" xfId="5" applyNumberFormat="1" applyFont="1" applyFill="1" applyBorder="1" applyAlignment="1">
      <alignment horizontal="center"/>
    </xf>
    <xf numFmtId="0" fontId="26" fillId="2" borderId="39" xfId="5" applyNumberFormat="1" applyFont="1" applyFill="1" applyBorder="1" applyAlignment="1">
      <alignment horizontal="right"/>
    </xf>
    <xf numFmtId="0" fontId="26" fillId="2" borderId="7" xfId="5" applyNumberFormat="1" applyFont="1" applyFill="1" applyBorder="1" applyAlignment="1">
      <alignment horizontal="right"/>
    </xf>
    <xf numFmtId="0" fontId="26" fillId="2" borderId="139" xfId="5" applyNumberFormat="1" applyFont="1" applyFill="1" applyBorder="1" applyAlignment="1">
      <alignment horizontal="right"/>
    </xf>
    <xf numFmtId="0" fontId="26" fillId="2" borderId="202" xfId="5" applyNumberFormat="1" applyFont="1" applyFill="1" applyBorder="1" applyAlignment="1">
      <alignment horizontal="center"/>
    </xf>
    <xf numFmtId="0" fontId="90" fillId="2" borderId="25" xfId="5" applyNumberFormat="1" applyFont="1" applyFill="1" applyBorder="1" applyAlignment="1">
      <alignment horizontal="left"/>
    </xf>
    <xf numFmtId="37" fontId="25" fillId="2" borderId="23" xfId="5" applyNumberFormat="1" applyFont="1" applyFill="1" applyBorder="1" applyAlignment="1"/>
    <xf numFmtId="37" fontId="25" fillId="2" borderId="24" xfId="5" applyNumberFormat="1" applyFont="1" applyFill="1" applyBorder="1" applyAlignment="1">
      <alignment horizontal="right"/>
    </xf>
    <xf numFmtId="37" fontId="25" fillId="2" borderId="25" xfId="5" applyNumberFormat="1" applyFont="1" applyFill="1" applyBorder="1" applyAlignment="1"/>
    <xf numFmtId="0" fontId="36" fillId="2" borderId="7" xfId="5" applyNumberFormat="1" applyFont="1" applyFill="1" applyBorder="1" applyAlignment="1">
      <alignment horizontal="left"/>
    </xf>
    <xf numFmtId="170" fontId="26" fillId="2" borderId="139" xfId="5" applyNumberFormat="1" applyFont="1" applyFill="1" applyBorder="1" applyAlignment="1"/>
    <xf numFmtId="5" fontId="26" fillId="2" borderId="140" xfId="5" applyNumberFormat="1" applyFont="1" applyFill="1" applyBorder="1" applyAlignment="1"/>
    <xf numFmtId="170" fontId="26" fillId="2" borderId="190" xfId="5" applyNumberFormat="1" applyFont="1" applyFill="1" applyBorder="1" applyAlignment="1"/>
    <xf numFmtId="5" fontId="26" fillId="2" borderId="190" xfId="5" applyNumberFormat="1" applyFont="1" applyFill="1" applyBorder="1" applyAlignment="1"/>
    <xf numFmtId="37" fontId="26" fillId="2" borderId="190" xfId="5" applyNumberFormat="1" applyFont="1" applyFill="1" applyBorder="1" applyAlignment="1"/>
    <xf numFmtId="37" fontId="26" fillId="2" borderId="139" xfId="5" applyNumberFormat="1" applyFont="1" applyFill="1" applyBorder="1" applyAlignment="1"/>
    <xf numFmtId="5" fontId="26" fillId="2" borderId="202" xfId="5" applyNumberFormat="1" applyFont="1" applyFill="1" applyBorder="1" applyAlignment="1"/>
    <xf numFmtId="0" fontId="36" fillId="2" borderId="44" xfId="5" applyNumberFormat="1" applyFont="1" applyFill="1" applyBorder="1" applyAlignment="1">
      <alignment horizontal="left"/>
    </xf>
    <xf numFmtId="170" fontId="26" fillId="2" borderId="47" xfId="5" applyNumberFormat="1" applyFont="1" applyFill="1" applyBorder="1" applyAlignment="1"/>
    <xf numFmtId="37" fontId="26" fillId="2" borderId="203" xfId="5" applyNumberFormat="1" applyFont="1" applyFill="1" applyBorder="1" applyAlignment="1"/>
    <xf numFmtId="5" fontId="26" fillId="2" borderId="20" xfId="5" applyNumberFormat="1" applyFont="1" applyFill="1" applyBorder="1" applyAlignment="1">
      <alignment horizontal="center"/>
    </xf>
    <xf numFmtId="0" fontId="36" fillId="2" borderId="8" xfId="5" applyNumberFormat="1" applyFont="1" applyFill="1" applyBorder="1" applyAlignment="1">
      <alignment horizontal="left"/>
    </xf>
    <xf numFmtId="37" fontId="26" fillId="2" borderId="0" xfId="5" applyNumberFormat="1" applyFont="1" applyFill="1" applyBorder="1" applyAlignment="1"/>
    <xf numFmtId="5" fontId="26" fillId="2" borderId="0" xfId="5" applyNumberFormat="1" applyFont="1" applyFill="1" applyBorder="1" applyAlignment="1">
      <alignment horizontal="center"/>
    </xf>
    <xf numFmtId="37" fontId="26" fillId="2" borderId="20" xfId="5" applyNumberFormat="1" applyFont="1" applyFill="1" applyBorder="1" applyAlignment="1">
      <alignment horizontal="center"/>
    </xf>
    <xf numFmtId="0" fontId="36" fillId="2" borderId="189" xfId="5" applyNumberFormat="1" applyFont="1" applyFill="1" applyBorder="1" applyAlignment="1">
      <alignment horizontal="left"/>
    </xf>
    <xf numFmtId="170" fontId="26" fillId="2" borderId="44" xfId="5" applyNumberFormat="1" applyFont="1" applyFill="1" applyBorder="1" applyAlignment="1"/>
    <xf numFmtId="5" fontId="26" fillId="2" borderId="204" xfId="5" applyNumberFormat="1" applyFont="1" applyFill="1" applyBorder="1" applyAlignment="1">
      <alignment horizontal="right"/>
    </xf>
    <xf numFmtId="5" fontId="26" fillId="2" borderId="47" xfId="5" applyNumberFormat="1" applyFont="1" applyFill="1" applyBorder="1" applyAlignment="1">
      <alignment horizontal="right"/>
    </xf>
    <xf numFmtId="5" fontId="26" fillId="2" borderId="20" xfId="5" applyNumberFormat="1" applyFont="1" applyFill="1" applyBorder="1" applyAlignment="1">
      <alignment horizontal="right"/>
    </xf>
    <xf numFmtId="3" fontId="54" fillId="2" borderId="147" xfId="5" applyNumberFormat="1" applyFont="1" applyFill="1" applyBorder="1" applyAlignment="1">
      <alignment horizontal="center"/>
    </xf>
    <xf numFmtId="3" fontId="54" fillId="2" borderId="0" xfId="5" applyNumberFormat="1" applyFont="1" applyFill="1" applyBorder="1" applyAlignment="1">
      <alignment horizontal="center"/>
    </xf>
    <xf numFmtId="3" fontId="55" fillId="2" borderId="0" xfId="5" applyNumberFormat="1" applyFont="1" applyFill="1" applyBorder="1" applyAlignment="1"/>
    <xf numFmtId="3" fontId="54" fillId="2" borderId="148" xfId="5" applyNumberFormat="1" applyFont="1" applyFill="1" applyBorder="1" applyAlignment="1">
      <alignment horizontal="center"/>
    </xf>
    <xf numFmtId="0" fontId="28" fillId="2" borderId="8" xfId="5" applyNumberFormat="1" applyFont="1" applyFill="1" applyBorder="1" applyAlignment="1">
      <alignment horizontal="center" vertical="center" wrapText="1"/>
    </xf>
    <xf numFmtId="0" fontId="15" fillId="0" borderId="0" xfId="5" applyNumberFormat="1" applyBorder="1" applyAlignment="1">
      <alignment horizontal="center" vertical="center" wrapText="1"/>
    </xf>
    <xf numFmtId="0" fontId="23" fillId="0" borderId="8" xfId="5" applyNumberFormat="1" applyFont="1" applyBorder="1" applyAlignment="1">
      <alignment horizontal="center" vertical="center" wrapText="1"/>
    </xf>
    <xf numFmtId="0" fontId="23" fillId="0" borderId="0" xfId="5" applyNumberFormat="1" applyFont="1" applyBorder="1" applyAlignment="1">
      <alignment horizontal="center" vertical="center" wrapText="1"/>
    </xf>
    <xf numFmtId="0" fontId="28" fillId="2" borderId="8" xfId="5" applyNumberFormat="1" applyFont="1" applyFill="1" applyBorder="1" applyAlignment="1">
      <alignment horizontal="center" vertical="center"/>
    </xf>
    <xf numFmtId="0" fontId="28" fillId="2" borderId="0" xfId="5" applyNumberFormat="1" applyFont="1" applyFill="1" applyBorder="1" applyAlignment="1">
      <alignment horizontal="center" vertical="center"/>
    </xf>
    <xf numFmtId="0" fontId="15" fillId="0" borderId="46" xfId="5" applyNumberFormat="1" applyBorder="1" applyAlignment="1">
      <alignment horizontal="center" vertical="center"/>
    </xf>
    <xf numFmtId="0" fontId="26" fillId="2" borderId="152" xfId="5" applyNumberFormat="1" applyFont="1" applyFill="1" applyBorder="1" applyAlignment="1">
      <alignment horizontal="right"/>
    </xf>
    <xf numFmtId="0" fontId="26" fillId="2" borderId="74" xfId="5" applyNumberFormat="1" applyFont="1" applyFill="1" applyBorder="1" applyAlignment="1">
      <alignment horizontal="center"/>
    </xf>
    <xf numFmtId="0" fontId="26" fillId="2" borderId="73" xfId="5" applyNumberFormat="1" applyFont="1" applyFill="1" applyBorder="1" applyAlignment="1">
      <alignment horizontal="right"/>
    </xf>
    <xf numFmtId="0" fontId="90" fillId="2" borderId="205" xfId="5" applyNumberFormat="1" applyFont="1" applyFill="1" applyBorder="1" applyAlignment="1">
      <alignment horizontal="left"/>
    </xf>
    <xf numFmtId="0" fontId="3" fillId="0" borderId="0" xfId="13" applyFont="1" applyFill="1" applyAlignment="1">
      <alignment horizontal="left" wrapText="1"/>
    </xf>
    <xf numFmtId="0" fontId="6" fillId="0" borderId="0" xfId="13" applyFont="1" applyFill="1" applyAlignment="1">
      <alignment horizontal="left" wrapText="1"/>
    </xf>
    <xf numFmtId="0" fontId="0" fillId="0" borderId="0" xfId="0"/>
    <xf numFmtId="0" fontId="22" fillId="4" borderId="0" xfId="0" applyFont="1" applyFill="1" applyBorder="1" applyAlignment="1">
      <alignment horizontal="center"/>
    </xf>
    <xf numFmtId="3" fontId="7" fillId="2" borderId="0" xfId="0" applyNumberFormat="1" applyFont="1" applyFill="1" applyAlignment="1">
      <alignment horizontal="center"/>
    </xf>
    <xf numFmtId="0" fontId="3" fillId="0" borderId="13" xfId="5" applyNumberFormat="1" applyFont="1" applyBorder="1" applyAlignment="1">
      <alignment horizontal="left" indent="4"/>
    </xf>
    <xf numFmtId="37" fontId="17" fillId="8" borderId="199" xfId="0" applyNumberFormat="1" applyFont="1" applyFill="1" applyBorder="1" applyAlignment="1">
      <alignment horizontal="center" vertical="center" wrapText="1"/>
    </xf>
    <xf numFmtId="37" fontId="17" fillId="8" borderId="199" xfId="0" applyNumberFormat="1" applyFont="1" applyFill="1" applyBorder="1" applyAlignment="1">
      <alignment horizontal="center" wrapText="1"/>
    </xf>
    <xf numFmtId="0" fontId="23" fillId="8" borderId="206" xfId="0" applyFont="1" applyFill="1" applyBorder="1" applyAlignment="1">
      <alignment horizontal="center" wrapText="1"/>
    </xf>
    <xf numFmtId="37" fontId="17" fillId="8" borderId="207" xfId="0" applyNumberFormat="1" applyFont="1" applyFill="1" applyBorder="1" applyAlignment="1">
      <alignment horizontal="center" wrapText="1"/>
    </xf>
    <xf numFmtId="0" fontId="9" fillId="0" borderId="208" xfId="0" applyFont="1" applyFill="1" applyBorder="1"/>
    <xf numFmtId="37" fontId="17" fillId="0" borderId="48" xfId="0" applyNumberFormat="1" applyFont="1" applyFill="1" applyBorder="1" applyAlignment="1">
      <alignment horizontal="center" vertical="center" wrapText="1"/>
    </xf>
    <xf numFmtId="37" fontId="3" fillId="0" borderId="48" xfId="0" applyNumberFormat="1" applyFont="1" applyFill="1" applyBorder="1"/>
    <xf numFmtId="0" fontId="9" fillId="0" borderId="48" xfId="0" applyFont="1" applyFill="1" applyBorder="1"/>
    <xf numFmtId="0" fontId="3" fillId="0" borderId="44" xfId="0" applyFont="1" applyFill="1" applyBorder="1"/>
    <xf numFmtId="0" fontId="3" fillId="0" borderId="209" xfId="0" applyFont="1" applyFill="1" applyBorder="1"/>
    <xf numFmtId="0" fontId="9" fillId="0" borderId="208" xfId="0" applyFont="1" applyFill="1" applyBorder="1" applyAlignment="1">
      <alignment horizontal="center"/>
    </xf>
    <xf numFmtId="37" fontId="17" fillId="0" borderId="48" xfId="0" applyNumberFormat="1" applyFont="1" applyFill="1" applyBorder="1" applyAlignment="1">
      <alignment wrapText="1"/>
    </xf>
    <xf numFmtId="37" fontId="17" fillId="0" borderId="48" xfId="0" applyNumberFormat="1" applyFont="1" applyFill="1" applyBorder="1" applyAlignment="1">
      <alignment horizontal="right"/>
    </xf>
    <xf numFmtId="3" fontId="17" fillId="0" borderId="48" xfId="0" applyNumberFormat="1" applyFont="1" applyFill="1" applyBorder="1" applyAlignment="1">
      <alignment horizontal="right"/>
    </xf>
    <xf numFmtId="3" fontId="3" fillId="0" borderId="44" xfId="0" applyNumberFormat="1" applyFont="1" applyFill="1" applyBorder="1"/>
    <xf numFmtId="3" fontId="3" fillId="0" borderId="209" xfId="0" applyNumberFormat="1" applyFont="1" applyFill="1" applyBorder="1"/>
    <xf numFmtId="0" fontId="9" fillId="0" borderId="208" xfId="0" applyFont="1" applyFill="1" applyBorder="1" applyAlignment="1">
      <alignment horizontal="left" indent="1"/>
    </xf>
    <xf numFmtId="37" fontId="70" fillId="0" borderId="48" xfId="0" quotePrefix="1" applyNumberFormat="1" applyFont="1" applyFill="1" applyBorder="1" applyAlignment="1">
      <alignment horizontal="right"/>
    </xf>
    <xf numFmtId="37" fontId="3" fillId="0" borderId="48" xfId="0" applyNumberFormat="1" applyFont="1" applyFill="1" applyBorder="1" applyAlignment="1">
      <alignment horizontal="left" wrapText="1"/>
    </xf>
    <xf numFmtId="37" fontId="70" fillId="0" borderId="48" xfId="0" applyNumberFormat="1" applyFont="1" applyFill="1" applyBorder="1" applyAlignment="1">
      <alignment horizontal="right"/>
    </xf>
    <xf numFmtId="37" fontId="3" fillId="0" borderId="48" xfId="0" applyNumberFormat="1" applyFont="1" applyFill="1" applyBorder="1" applyAlignment="1">
      <alignment horizontal="right"/>
    </xf>
    <xf numFmtId="0" fontId="23" fillId="0" borderId="208" xfId="0" applyFont="1" applyFill="1" applyBorder="1" applyAlignment="1">
      <alignment horizontal="center"/>
    </xf>
    <xf numFmtId="37" fontId="17" fillId="0" borderId="48" xfId="0" applyNumberFormat="1" applyFont="1" applyFill="1" applyBorder="1" applyAlignment="1">
      <alignment horizontal="right" wrapText="1"/>
    </xf>
    <xf numFmtId="3" fontId="17" fillId="0" borderId="44" xfId="0" applyNumberFormat="1" applyFont="1" applyFill="1" applyBorder="1" applyAlignment="1">
      <alignment horizontal="right"/>
    </xf>
    <xf numFmtId="3" fontId="17" fillId="0" borderId="209" xfId="0" applyNumberFormat="1" applyFont="1" applyFill="1" applyBorder="1"/>
    <xf numFmtId="37" fontId="17" fillId="0" borderId="48" xfId="0" applyNumberFormat="1" applyFont="1" applyFill="1" applyBorder="1" applyAlignment="1">
      <alignment horizontal="left" wrapText="1"/>
    </xf>
    <xf numFmtId="37" fontId="97" fillId="0" borderId="48" xfId="0" quotePrefix="1" applyNumberFormat="1" applyFont="1" applyFill="1" applyBorder="1" applyAlignment="1">
      <alignment horizontal="right"/>
    </xf>
    <xf numFmtId="37" fontId="17" fillId="0" borderId="48" xfId="0" applyNumberFormat="1" applyFont="1" applyFill="1" applyBorder="1"/>
    <xf numFmtId="3" fontId="17" fillId="0" borderId="44" xfId="0" applyNumberFormat="1" applyFont="1" applyFill="1" applyBorder="1"/>
    <xf numFmtId="0" fontId="17" fillId="0" borderId="209" xfId="0" applyFont="1" applyFill="1" applyBorder="1"/>
    <xf numFmtId="0" fontId="9" fillId="0" borderId="48" xfId="0" applyFont="1" applyFill="1" applyBorder="1" applyAlignment="1">
      <alignment horizontal="right"/>
    </xf>
    <xf numFmtId="3" fontId="3" fillId="0" borderId="48" xfId="0" applyNumberFormat="1" applyFont="1" applyFill="1" applyBorder="1" applyAlignment="1">
      <alignment horizontal="right"/>
    </xf>
    <xf numFmtId="37" fontId="3" fillId="0" borderId="209" xfId="0" applyNumberFormat="1" applyFont="1" applyFill="1" applyBorder="1"/>
    <xf numFmtId="37" fontId="70" fillId="0" borderId="48" xfId="0" applyNumberFormat="1" applyFont="1" applyFill="1" applyBorder="1" applyAlignment="1">
      <alignment horizontal="left" wrapText="1" indent="1"/>
    </xf>
    <xf numFmtId="3" fontId="70" fillId="0" borderId="44" xfId="0" applyNumberFormat="1" applyFont="1" applyFill="1" applyBorder="1"/>
    <xf numFmtId="3" fontId="70" fillId="0" borderId="209" xfId="0" applyNumberFormat="1" applyFont="1" applyFill="1" applyBorder="1"/>
    <xf numFmtId="37" fontId="3" fillId="0" borderId="48" xfId="0" applyNumberFormat="1" applyFont="1" applyFill="1" applyBorder="1" applyAlignment="1">
      <alignment horizontal="left" wrapText="1" indent="1"/>
    </xf>
    <xf numFmtId="3" fontId="70" fillId="0" borderId="48" xfId="0" applyNumberFormat="1" applyFont="1" applyFill="1" applyBorder="1" applyAlignment="1">
      <alignment horizontal="right"/>
    </xf>
    <xf numFmtId="37" fontId="70" fillId="0" borderId="209" xfId="0" applyNumberFormat="1" applyFont="1" applyFill="1" applyBorder="1"/>
    <xf numFmtId="37" fontId="9" fillId="0" borderId="208" xfId="0" applyNumberFormat="1" applyFont="1" applyFill="1" applyBorder="1" applyAlignment="1">
      <alignment horizontal="center"/>
    </xf>
    <xf numFmtId="37" fontId="3" fillId="0" borderId="48" xfId="0" applyNumberFormat="1" applyFont="1" applyFill="1" applyBorder="1" applyAlignment="1">
      <alignment wrapText="1"/>
    </xf>
    <xf numFmtId="37" fontId="17" fillId="0" borderId="209" xfId="0" applyNumberFormat="1" applyFont="1" applyFill="1" applyBorder="1"/>
    <xf numFmtId="37" fontId="9" fillId="0" borderId="48" xfId="0" applyNumberFormat="1" applyFont="1" applyFill="1" applyBorder="1" applyAlignment="1">
      <alignment wrapText="1"/>
    </xf>
    <xf numFmtId="37" fontId="3" fillId="0" borderId="48" xfId="0" quotePrefix="1" applyNumberFormat="1" applyFont="1" applyFill="1" applyBorder="1" applyAlignment="1">
      <alignment horizontal="right"/>
    </xf>
    <xf numFmtId="0" fontId="9" fillId="0" borderId="208" xfId="0" applyFont="1" applyFill="1" applyBorder="1" applyAlignment="1" applyProtection="1">
      <alignment horizontal="center"/>
    </xf>
    <xf numFmtId="37" fontId="70" fillId="0" borderId="48" xfId="0" applyNumberFormat="1" applyFont="1" applyFill="1" applyBorder="1" applyAlignment="1">
      <alignment wrapText="1"/>
    </xf>
    <xf numFmtId="3" fontId="70" fillId="0" borderId="48" xfId="0" applyNumberFormat="1" applyFont="1" applyFill="1" applyBorder="1"/>
    <xf numFmtId="3" fontId="3" fillId="0" borderId="48" xfId="0" applyNumberFormat="1" applyFont="1" applyFill="1" applyBorder="1" applyAlignment="1">
      <alignment horizontal="left" indent="1"/>
    </xf>
    <xf numFmtId="3" fontId="70" fillId="0" borderId="44" xfId="0" applyNumberFormat="1" applyFont="1" applyFill="1" applyBorder="1" applyAlignment="1"/>
    <xf numFmtId="37" fontId="3" fillId="0" borderId="48" xfId="0" applyNumberFormat="1" applyFont="1" applyFill="1" applyBorder="1" applyAlignment="1" applyProtection="1">
      <alignment horizontal="left" wrapText="1"/>
      <protection locked="0"/>
    </xf>
    <xf numFmtId="3" fontId="3" fillId="0" borderId="48" xfId="0" applyNumberFormat="1" applyFont="1" applyFill="1" applyBorder="1"/>
    <xf numFmtId="37" fontId="17" fillId="0" borderId="48" xfId="0" applyNumberFormat="1" applyFont="1" applyFill="1" applyBorder="1" applyAlignment="1" applyProtection="1">
      <alignment horizontal="right" wrapText="1"/>
      <protection locked="0"/>
    </xf>
    <xf numFmtId="37" fontId="17" fillId="0" borderId="44" xfId="0" applyNumberFormat="1" applyFont="1" applyFill="1" applyBorder="1" applyAlignment="1">
      <alignment horizontal="right"/>
    </xf>
    <xf numFmtId="38" fontId="97" fillId="0" borderId="48" xfId="0" applyNumberFormat="1" applyFont="1" applyFill="1" applyBorder="1"/>
    <xf numFmtId="0" fontId="17" fillId="0" borderId="44" xfId="0" applyFont="1" applyFill="1" applyBorder="1"/>
    <xf numFmtId="3" fontId="17" fillId="0" borderId="48" xfId="0" applyNumberFormat="1" applyFont="1" applyFill="1" applyBorder="1"/>
    <xf numFmtId="0" fontId="100" fillId="0" borderId="208" xfId="0" applyFont="1" applyFill="1" applyBorder="1" applyAlignment="1">
      <alignment horizontal="center"/>
    </xf>
    <xf numFmtId="37" fontId="101" fillId="0" borderId="48" xfId="0" applyNumberFormat="1" applyFont="1" applyFill="1" applyBorder="1" applyAlignment="1">
      <alignment wrapText="1"/>
    </xf>
    <xf numFmtId="0" fontId="52" fillId="0" borderId="208" xfId="0" applyFont="1" applyFill="1" applyBorder="1" applyAlignment="1">
      <alignment horizontal="center"/>
    </xf>
    <xf numFmtId="37" fontId="51" fillId="0" borderId="48" xfId="0" applyNumberFormat="1" applyFont="1" applyFill="1" applyBorder="1" applyAlignment="1">
      <alignment wrapText="1"/>
    </xf>
    <xf numFmtId="0" fontId="52" fillId="0" borderId="48" xfId="0" applyFont="1" applyFill="1" applyBorder="1"/>
    <xf numFmtId="37" fontId="17" fillId="0" borderId="44" xfId="0" applyNumberFormat="1" applyFont="1" applyFill="1" applyBorder="1"/>
    <xf numFmtId="37" fontId="3" fillId="0" borderId="44" xfId="0" applyNumberFormat="1" applyFont="1" applyFill="1" applyBorder="1"/>
    <xf numFmtId="37" fontId="97" fillId="0" borderId="48" xfId="0" applyNumberFormat="1" applyFont="1" applyFill="1" applyBorder="1" applyAlignment="1">
      <alignment wrapText="1"/>
    </xf>
    <xf numFmtId="37" fontId="102" fillId="0" borderId="48" xfId="0" applyNumberFormat="1" applyFont="1" applyFill="1" applyBorder="1" applyAlignment="1">
      <alignment horizontal="right"/>
    </xf>
    <xf numFmtId="37" fontId="52" fillId="0" borderId="48" xfId="0" applyNumberFormat="1" applyFont="1" applyFill="1" applyBorder="1" applyAlignment="1">
      <alignment wrapText="1"/>
    </xf>
    <xf numFmtId="3" fontId="51" fillId="0" borderId="48" xfId="0" applyNumberFormat="1" applyFont="1" applyFill="1" applyBorder="1"/>
    <xf numFmtId="0" fontId="70" fillId="0" borderId="44" xfId="0" applyFont="1" applyFill="1" applyBorder="1"/>
    <xf numFmtId="0" fontId="70" fillId="0" borderId="209" xfId="0" applyFont="1" applyFill="1" applyBorder="1"/>
    <xf numFmtId="0" fontId="83" fillId="0" borderId="208" xfId="0" applyFont="1" applyFill="1" applyBorder="1" applyAlignment="1">
      <alignment horizontal="center"/>
    </xf>
    <xf numFmtId="37" fontId="70" fillId="0" borderId="48" xfId="0" applyNumberFormat="1" applyFont="1" applyFill="1" applyBorder="1" applyAlignment="1">
      <alignment horizontal="right" wrapText="1"/>
    </xf>
    <xf numFmtId="37" fontId="70" fillId="0" borderId="44" xfId="0" applyNumberFormat="1" applyFont="1" applyFill="1" applyBorder="1" applyAlignment="1">
      <alignment horizontal="right"/>
    </xf>
    <xf numFmtId="37" fontId="17" fillId="0" borderId="209" xfId="0" applyNumberFormat="1" applyFont="1" applyFill="1" applyBorder="1" applyAlignment="1">
      <alignment horizontal="right"/>
    </xf>
    <xf numFmtId="0" fontId="17" fillId="0" borderId="208" xfId="0" applyFont="1" applyFill="1" applyBorder="1" applyAlignment="1">
      <alignment horizontal="center"/>
    </xf>
    <xf numFmtId="37" fontId="97" fillId="0" borderId="48" xfId="0" applyNumberFormat="1" applyFont="1" applyFill="1" applyBorder="1" applyAlignment="1">
      <alignment horizontal="right" wrapText="1"/>
    </xf>
    <xf numFmtId="0" fontId="104" fillId="0" borderId="208" xfId="0" applyFont="1" applyFill="1" applyBorder="1" applyAlignment="1">
      <alignment horizontal="center"/>
    </xf>
    <xf numFmtId="37" fontId="101" fillId="0" borderId="48" xfId="0" applyNumberFormat="1" applyFont="1" applyFill="1" applyBorder="1" applyAlignment="1">
      <alignment horizontal="right"/>
    </xf>
    <xf numFmtId="0" fontId="23" fillId="0" borderId="48" xfId="0" applyFont="1" applyFill="1" applyBorder="1"/>
    <xf numFmtId="0" fontId="71" fillId="0" borderId="44" xfId="0" applyFont="1" applyFill="1" applyBorder="1"/>
    <xf numFmtId="0" fontId="71" fillId="0" borderId="209" xfId="0" applyFont="1" applyFill="1" applyBorder="1"/>
    <xf numFmtId="37" fontId="3" fillId="0" borderId="48" xfId="0" applyNumberFormat="1" applyFont="1" applyFill="1" applyBorder="1" applyAlignment="1">
      <alignment horizontal="left" wrapText="1" indent="2"/>
    </xf>
    <xf numFmtId="37" fontId="70" fillId="0" borderId="44" xfId="0" applyNumberFormat="1" applyFont="1" applyFill="1" applyBorder="1"/>
    <xf numFmtId="0" fontId="51" fillId="0" borderId="209" xfId="0" applyFont="1" applyFill="1" applyBorder="1"/>
    <xf numFmtId="0" fontId="52" fillId="0" borderId="211" xfId="0" applyFont="1" applyFill="1" applyBorder="1"/>
    <xf numFmtId="37" fontId="51" fillId="0" borderId="212" xfId="0" applyNumberFormat="1" applyFont="1" applyFill="1" applyBorder="1" applyAlignment="1">
      <alignment wrapText="1"/>
    </xf>
    <xf numFmtId="37" fontId="101" fillId="0" borderId="212" xfId="0" applyNumberFormat="1" applyFont="1" applyFill="1" applyBorder="1"/>
    <xf numFmtId="0" fontId="52" fillId="0" borderId="212" xfId="0" applyFont="1" applyFill="1" applyBorder="1"/>
    <xf numFmtId="0" fontId="3" fillId="0" borderId="177" xfId="0" applyFont="1" applyFill="1" applyBorder="1"/>
    <xf numFmtId="0" fontId="3" fillId="0" borderId="213" xfId="0" applyFont="1" applyFill="1" applyBorder="1"/>
    <xf numFmtId="0" fontId="9" fillId="0" borderId="0" xfId="0" applyFont="1" applyFill="1" applyBorder="1"/>
    <xf numFmtId="37" fontId="9" fillId="0" borderId="0" xfId="0" applyNumberFormat="1" applyFont="1" applyFill="1" applyBorder="1" applyAlignment="1">
      <alignment wrapText="1"/>
    </xf>
    <xf numFmtId="37" fontId="9" fillId="0" borderId="0" xfId="0" applyNumberFormat="1" applyFont="1" applyFill="1" applyBorder="1" applyAlignment="1"/>
    <xf numFmtId="0" fontId="9" fillId="0" borderId="0" xfId="0" applyFont="1" applyFill="1"/>
    <xf numFmtId="0" fontId="3" fillId="0" borderId="0" xfId="0" applyFont="1" applyFill="1"/>
    <xf numFmtId="37" fontId="3" fillId="0" borderId="0" xfId="0" applyNumberFormat="1" applyFont="1" applyFill="1" applyBorder="1"/>
    <xf numFmtId="38" fontId="99" fillId="0" borderId="48" xfId="0" applyNumberFormat="1" applyFont="1" applyFill="1" applyBorder="1"/>
    <xf numFmtId="37" fontId="6" fillId="0" borderId="116" xfId="0" applyNumberFormat="1" applyFont="1" applyBorder="1" applyAlignment="1"/>
    <xf numFmtId="37" fontId="3" fillId="0" borderId="115" xfId="5" applyNumberFormat="1" applyFont="1" applyBorder="1" applyAlignment="1"/>
    <xf numFmtId="0" fontId="3" fillId="0" borderId="80" xfId="5" applyNumberFormat="1" applyFont="1" applyBorder="1" applyAlignment="1"/>
    <xf numFmtId="0" fontId="15" fillId="0" borderId="0" xfId="5"/>
    <xf numFmtId="0" fontId="9" fillId="0" borderId="13" xfId="10" applyFont="1" applyBorder="1" applyAlignment="1">
      <alignment wrapText="1"/>
    </xf>
    <xf numFmtId="37" fontId="6" fillId="0" borderId="115" xfId="0" applyNumberFormat="1" applyFont="1" applyBorder="1" applyAlignment="1"/>
    <xf numFmtId="37" fontId="25" fillId="2" borderId="214" xfId="0" applyNumberFormat="1" applyFont="1" applyFill="1" applyBorder="1" applyAlignment="1">
      <alignment horizontal="center"/>
    </xf>
    <xf numFmtId="37" fontId="87" fillId="0" borderId="12" xfId="6" applyNumberFormat="1" applyFont="1" applyBorder="1"/>
    <xf numFmtId="37" fontId="87" fillId="0" borderId="116" xfId="6" applyNumberFormat="1" applyFont="1" applyBorder="1"/>
    <xf numFmtId="37" fontId="87" fillId="0" borderId="46" xfId="6" applyNumberFormat="1" applyFont="1" applyBorder="1"/>
    <xf numFmtId="37" fontId="87" fillId="0" borderId="55" xfId="6" applyNumberFormat="1" applyFont="1" applyBorder="1"/>
    <xf numFmtId="3" fontId="26" fillId="2" borderId="215" xfId="5" applyNumberFormat="1" applyFont="1" applyFill="1" applyBorder="1" applyAlignment="1">
      <alignment horizontal="right"/>
    </xf>
    <xf numFmtId="37" fontId="3" fillId="0" borderId="76" xfId="5" applyNumberFormat="1" applyFont="1" applyBorder="1" applyAlignment="1"/>
    <xf numFmtId="37" fontId="3" fillId="0" borderId="114" xfId="5" applyNumberFormat="1" applyFont="1" applyBorder="1" applyAlignment="1"/>
    <xf numFmtId="37" fontId="7" fillId="2" borderId="116" xfId="5" applyNumberFormat="1" applyFont="1" applyFill="1" applyBorder="1" applyAlignment="1"/>
    <xf numFmtId="5" fontId="23" fillId="0" borderId="47" xfId="15" applyNumberFormat="1" applyFont="1" applyBorder="1" applyAlignment="1">
      <alignment horizontal="right"/>
    </xf>
    <xf numFmtId="37" fontId="8" fillId="2" borderId="116" xfId="5" applyNumberFormat="1" applyFont="1" applyFill="1" applyBorder="1" applyAlignment="1"/>
    <xf numFmtId="0" fontId="23" fillId="0" borderId="44" xfId="15" applyFont="1" applyBorder="1" applyAlignment="1">
      <alignment horizontal="left"/>
    </xf>
    <xf numFmtId="0" fontId="23" fillId="0" borderId="48" xfId="15" applyFont="1" applyBorder="1" applyAlignment="1">
      <alignment horizontal="center"/>
    </xf>
    <xf numFmtId="0" fontId="3" fillId="0" borderId="13" xfId="5" applyNumberFormat="1" applyFont="1" applyFill="1" applyBorder="1" applyAlignment="1">
      <alignment horizontal="left" indent="4"/>
    </xf>
    <xf numFmtId="0" fontId="3" fillId="0" borderId="171" xfId="5" applyNumberFormat="1" applyFont="1" applyBorder="1" applyAlignment="1"/>
    <xf numFmtId="37" fontId="3" fillId="0" borderId="79" xfId="5" applyNumberFormat="1" applyFont="1" applyBorder="1" applyAlignment="1"/>
    <xf numFmtId="37" fontId="3" fillId="0" borderId="111" xfId="5" applyNumberFormat="1" applyFont="1" applyBorder="1" applyAlignment="1"/>
    <xf numFmtId="37" fontId="3" fillId="0" borderId="112" xfId="5" applyNumberFormat="1" applyFont="1" applyBorder="1" applyAlignment="1"/>
    <xf numFmtId="0" fontId="3" fillId="0" borderId="13" xfId="5" applyNumberFormat="1" applyFont="1" applyBorder="1" applyAlignment="1">
      <alignment horizontal="left"/>
    </xf>
    <xf numFmtId="0" fontId="15" fillId="0" borderId="0" xfId="5"/>
    <xf numFmtId="0" fontId="15" fillId="0" borderId="0" xfId="5"/>
    <xf numFmtId="3" fontId="54" fillId="2" borderId="78" xfId="5" applyNumberFormat="1" applyFont="1" applyFill="1" applyBorder="1" applyAlignment="1">
      <alignment horizontal="center"/>
    </xf>
    <xf numFmtId="0" fontId="15" fillId="0" borderId="0" xfId="5" applyBorder="1" applyAlignment="1"/>
    <xf numFmtId="170" fontId="7" fillId="2" borderId="15" xfId="5" applyNumberFormat="1" applyFont="1" applyFill="1" applyBorder="1" applyAlignment="1"/>
    <xf numFmtId="3" fontId="7" fillId="2" borderId="15" xfId="5" applyNumberFormat="1" applyFont="1" applyFill="1" applyBorder="1" applyAlignment="1"/>
    <xf numFmtId="3" fontId="26" fillId="2" borderId="139" xfId="5" applyNumberFormat="1" applyFont="1" applyFill="1" applyBorder="1" applyAlignment="1"/>
    <xf numFmtId="3" fontId="26" fillId="2" borderId="202" xfId="5" applyNumberFormat="1" applyFont="1" applyFill="1" applyBorder="1" applyAlignment="1">
      <alignment horizontal="right"/>
    </xf>
    <xf numFmtId="37" fontId="26" fillId="2" borderId="217" xfId="5" applyNumberFormat="1" applyFont="1" applyFill="1" applyBorder="1" applyAlignment="1">
      <alignment horizontal="right"/>
    </xf>
    <xf numFmtId="41" fontId="26" fillId="2" borderId="202" xfId="5" applyNumberFormat="1" applyFont="1" applyFill="1" applyBorder="1" applyAlignment="1">
      <alignment horizontal="right"/>
    </xf>
    <xf numFmtId="37" fontId="26" fillId="2" borderId="37" xfId="5" applyNumberFormat="1" applyFont="1" applyFill="1" applyBorder="1" applyAlignment="1">
      <alignment horizontal="right"/>
    </xf>
    <xf numFmtId="37" fontId="25" fillId="2" borderId="40" xfId="5" applyNumberFormat="1" applyFont="1" applyFill="1" applyBorder="1" applyAlignment="1">
      <alignment horizontal="right"/>
    </xf>
    <xf numFmtId="41" fontId="7" fillId="2" borderId="11" xfId="5" applyNumberFormat="1" applyFont="1" applyFill="1" applyBorder="1" applyAlignment="1"/>
    <xf numFmtId="41" fontId="7" fillId="2" borderId="15" xfId="5" applyNumberFormat="1" applyFont="1" applyFill="1" applyBorder="1" applyAlignment="1"/>
    <xf numFmtId="37" fontId="3" fillId="0" borderId="0" xfId="5" applyNumberFormat="1" applyFont="1" applyFill="1" applyBorder="1" applyAlignment="1"/>
    <xf numFmtId="5" fontId="3" fillId="0" borderId="0" xfId="5" applyNumberFormat="1" applyFont="1" applyFill="1" applyBorder="1" applyAlignment="1"/>
    <xf numFmtId="0" fontId="26" fillId="0" borderId="218" xfId="5" applyNumberFormat="1" applyFont="1" applyFill="1" applyBorder="1" applyAlignment="1">
      <alignment horizontal="center"/>
    </xf>
    <xf numFmtId="5" fontId="26" fillId="0" borderId="216" xfId="5" applyNumberFormat="1" applyFont="1" applyFill="1" applyBorder="1" applyAlignment="1"/>
    <xf numFmtId="0" fontId="26" fillId="0" borderId="160" xfId="5" applyNumberFormat="1" applyFont="1" applyFill="1" applyBorder="1" applyAlignment="1">
      <alignment horizontal="center"/>
    </xf>
    <xf numFmtId="5" fontId="26" fillId="0" borderId="216" xfId="5" applyNumberFormat="1" applyFont="1" applyFill="1" applyBorder="1" applyAlignment="1">
      <alignment horizontal="right"/>
    </xf>
    <xf numFmtId="0" fontId="3" fillId="0" borderId="221" xfId="5" applyFont="1" applyFill="1" applyBorder="1" applyAlignment="1">
      <alignment horizontal="right"/>
    </xf>
    <xf numFmtId="37" fontId="26" fillId="0" borderId="51" xfId="5" applyNumberFormat="1" applyFont="1" applyFill="1" applyBorder="1" applyAlignment="1">
      <alignment horizontal="right"/>
    </xf>
    <xf numFmtId="170" fontId="26" fillId="0" borderId="187" xfId="5" applyNumberFormat="1" applyFont="1" applyFill="1" applyBorder="1" applyAlignment="1"/>
    <xf numFmtId="37" fontId="25" fillId="0" borderId="222" xfId="5" applyNumberFormat="1" applyFont="1" applyFill="1" applyBorder="1" applyAlignment="1">
      <alignment horizontal="right"/>
    </xf>
    <xf numFmtId="5" fontId="26" fillId="0" borderId="188" xfId="5" applyNumberFormat="1" applyFont="1" applyFill="1" applyBorder="1" applyAlignment="1">
      <alignment horizontal="right"/>
    </xf>
    <xf numFmtId="37" fontId="25" fillId="0" borderId="130" xfId="5" applyNumberFormat="1" applyFont="1" applyFill="1" applyBorder="1" applyAlignment="1"/>
    <xf numFmtId="37" fontId="25" fillId="0" borderId="223" xfId="5" applyNumberFormat="1" applyFont="1" applyFill="1" applyBorder="1" applyAlignment="1">
      <alignment horizontal="right"/>
    </xf>
    <xf numFmtId="37" fontId="25" fillId="0" borderId="131" xfId="5" applyNumberFormat="1" applyFont="1" applyFill="1" applyBorder="1" applyAlignment="1">
      <alignment horizontal="right"/>
    </xf>
    <xf numFmtId="37" fontId="25" fillId="0" borderId="132" xfId="5" applyNumberFormat="1" applyFont="1" applyFill="1" applyBorder="1" applyAlignment="1">
      <alignment horizontal="right"/>
    </xf>
    <xf numFmtId="0" fontId="35" fillId="0" borderId="0" xfId="5" applyNumberFormat="1" applyFont="1" applyFill="1" applyBorder="1" applyAlignment="1">
      <alignment wrapText="1"/>
    </xf>
    <xf numFmtId="0" fontId="3" fillId="0" borderId="0" xfId="5" applyFont="1" applyFill="1" applyBorder="1" applyAlignment="1">
      <alignment wrapText="1"/>
    </xf>
    <xf numFmtId="0" fontId="15" fillId="0" borderId="0" xfId="5" applyFill="1" applyBorder="1"/>
    <xf numFmtId="5" fontId="26" fillId="0" borderId="0" xfId="5" applyNumberFormat="1" applyFont="1" applyFill="1" applyBorder="1" applyAlignment="1"/>
    <xf numFmtId="0" fontId="3" fillId="0" borderId="0" xfId="5" applyFont="1" applyFill="1" applyBorder="1"/>
    <xf numFmtId="0" fontId="3" fillId="0" borderId="0" xfId="5" applyFont="1" applyFill="1" applyBorder="1" applyAlignment="1">
      <alignment horizontal="center"/>
    </xf>
    <xf numFmtId="37" fontId="25" fillId="0" borderId="225" xfId="5" applyNumberFormat="1" applyFont="1" applyFill="1" applyBorder="1" applyAlignment="1">
      <alignment horizontal="right"/>
    </xf>
    <xf numFmtId="37" fontId="25" fillId="0" borderId="130" xfId="5" applyNumberFormat="1" applyFont="1" applyFill="1" applyBorder="1" applyAlignment="1">
      <alignment horizontal="right"/>
    </xf>
    <xf numFmtId="0" fontId="3" fillId="0" borderId="225" xfId="5" applyFont="1" applyFill="1" applyBorder="1" applyAlignment="1">
      <alignment horizontal="right"/>
    </xf>
    <xf numFmtId="0" fontId="26" fillId="0" borderId="106" xfId="5" applyNumberFormat="1" applyFont="1" applyFill="1" applyBorder="1" applyAlignment="1">
      <alignment horizontal="right"/>
    </xf>
    <xf numFmtId="5" fontId="26" fillId="2" borderId="127" xfId="5" applyNumberFormat="1" applyFont="1" applyFill="1" applyBorder="1" applyAlignment="1">
      <alignment horizontal="center"/>
    </xf>
    <xf numFmtId="0" fontId="36" fillId="0" borderId="227" xfId="5" applyNumberFormat="1" applyFont="1" applyFill="1" applyBorder="1" applyAlignment="1">
      <alignment horizontal="left"/>
    </xf>
    <xf numFmtId="37" fontId="3" fillId="0" borderId="7" xfId="5" applyNumberFormat="1" applyFont="1" applyBorder="1" applyAlignment="1">
      <alignment horizontal="left"/>
    </xf>
    <xf numFmtId="37" fontId="3" fillId="0" borderId="3" xfId="5" applyNumberFormat="1" applyFont="1" applyBorder="1" applyAlignment="1">
      <alignment horizontal="left"/>
    </xf>
    <xf numFmtId="37" fontId="3" fillId="0" borderId="4" xfId="5" applyNumberFormat="1" applyFont="1" applyBorder="1" applyAlignment="1">
      <alignment horizontal="right"/>
    </xf>
    <xf numFmtId="0" fontId="9" fillId="0" borderId="169" xfId="15" applyFont="1" applyBorder="1" applyAlignment="1">
      <alignment horizontal="center"/>
    </xf>
    <xf numFmtId="37" fontId="3" fillId="0" borderId="77" xfId="5" applyNumberFormat="1" applyFont="1" applyBorder="1" applyAlignment="1">
      <alignment horizontal="left"/>
    </xf>
    <xf numFmtId="37" fontId="3" fillId="0" borderId="168" xfId="5" applyNumberFormat="1" applyFont="1" applyBorder="1" applyAlignment="1">
      <alignment horizontal="left"/>
    </xf>
    <xf numFmtId="37" fontId="3" fillId="0" borderId="153" xfId="5" applyNumberFormat="1" applyFont="1" applyBorder="1" applyAlignment="1">
      <alignment horizontal="right"/>
    </xf>
    <xf numFmtId="37" fontId="3" fillId="0" borderId="13" xfId="5" applyNumberFormat="1" applyFont="1" applyBorder="1" applyAlignment="1">
      <alignment horizontal="left"/>
    </xf>
    <xf numFmtId="37" fontId="3" fillId="0" borderId="80" xfId="5" applyNumberFormat="1" applyFont="1" applyBorder="1" applyAlignment="1">
      <alignment horizontal="left"/>
    </xf>
    <xf numFmtId="0" fontId="23" fillId="0" borderId="0" xfId="15" applyFont="1" applyBorder="1" applyAlignment="1">
      <alignment horizontal="left"/>
    </xf>
    <xf numFmtId="0" fontId="23" fillId="0" borderId="46" xfId="15" applyFont="1" applyBorder="1" applyAlignment="1">
      <alignment horizontal="left"/>
    </xf>
    <xf numFmtId="0" fontId="9" fillId="0" borderId="6" xfId="15" applyFont="1" applyBorder="1" applyAlignment="1">
      <alignment horizontal="left"/>
    </xf>
    <xf numFmtId="37" fontId="3" fillId="0" borderId="79" xfId="5" applyNumberFormat="1" applyFont="1" applyBorder="1" applyAlignment="1">
      <alignment horizontal="left"/>
    </xf>
    <xf numFmtId="37" fontId="3" fillId="0" borderId="111" xfId="5" applyNumberFormat="1" applyFont="1" applyBorder="1" applyAlignment="1">
      <alignment horizontal="left"/>
    </xf>
    <xf numFmtId="37" fontId="3" fillId="0" borderId="112" xfId="5" applyNumberFormat="1" applyFont="1" applyBorder="1" applyAlignment="1">
      <alignment horizontal="right"/>
    </xf>
    <xf numFmtId="37" fontId="23" fillId="0" borderId="78" xfId="15" applyNumberFormat="1" applyFont="1" applyBorder="1" applyAlignment="1">
      <alignment horizontal="left"/>
    </xf>
    <xf numFmtId="37" fontId="23" fillId="0" borderId="127" xfId="15" applyNumberFormat="1" applyFont="1" applyBorder="1" applyAlignment="1">
      <alignment horizontal="left"/>
    </xf>
    <xf numFmtId="5" fontId="23" fillId="0" borderId="127" xfId="15" applyNumberFormat="1" applyFont="1" applyBorder="1" applyAlignment="1">
      <alignment horizontal="right"/>
    </xf>
    <xf numFmtId="5" fontId="23" fillId="0" borderId="2" xfId="15" applyNumberFormat="1" applyFont="1" applyBorder="1" applyAlignment="1">
      <alignment horizontal="right"/>
    </xf>
    <xf numFmtId="37" fontId="26" fillId="2" borderId="127" xfId="5" applyNumberFormat="1" applyFont="1" applyFill="1" applyBorder="1" applyAlignment="1"/>
    <xf numFmtId="170" fontId="26" fillId="2" borderId="60" xfId="5" applyNumberFormat="1" applyFont="1" applyFill="1" applyBorder="1" applyAlignment="1"/>
    <xf numFmtId="170" fontId="26" fillId="2" borderId="127" xfId="5" applyNumberFormat="1" applyFont="1" applyFill="1" applyBorder="1" applyAlignment="1"/>
    <xf numFmtId="0" fontId="3" fillId="0" borderId="13" xfId="0" applyNumberFormat="1" applyFont="1" applyFill="1" applyBorder="1" applyAlignment="1">
      <alignment horizontal="left" indent="4"/>
    </xf>
    <xf numFmtId="0" fontId="3" fillId="0" borderId="80" xfId="0" applyNumberFormat="1" applyFont="1" applyFill="1" applyBorder="1" applyAlignment="1">
      <alignment horizontal="left" indent="4"/>
    </xf>
    <xf numFmtId="0" fontId="3" fillId="0" borderId="116" xfId="0" applyNumberFormat="1" applyFont="1" applyFill="1" applyBorder="1" applyAlignment="1">
      <alignment horizontal="left" indent="4"/>
    </xf>
    <xf numFmtId="0" fontId="3" fillId="0" borderId="13" xfId="0" applyNumberFormat="1" applyFont="1" applyBorder="1" applyAlignment="1">
      <alignment horizontal="left" indent="4"/>
    </xf>
    <xf numFmtId="0" fontId="0" fillId="0" borderId="80" xfId="0" applyNumberFormat="1" applyBorder="1" applyAlignment="1">
      <alignment horizontal="left" indent="4"/>
    </xf>
    <xf numFmtId="0" fontId="3" fillId="0" borderId="13" xfId="0" applyNumberFormat="1" applyFont="1" applyBorder="1" applyAlignment="1">
      <alignment horizontal="left"/>
    </xf>
    <xf numFmtId="0" fontId="6" fillId="0" borderId="80" xfId="0" applyNumberFormat="1" applyFont="1" applyBorder="1" applyAlignment="1">
      <alignment horizontal="left"/>
    </xf>
    <xf numFmtId="0" fontId="6" fillId="0" borderId="116" xfId="0" applyNumberFormat="1" applyFont="1" applyBorder="1" applyAlignment="1">
      <alignment horizontal="left"/>
    </xf>
    <xf numFmtId="0" fontId="17" fillId="0" borderId="13" xfId="0" applyNumberFormat="1" applyFont="1" applyBorder="1" applyAlignment="1">
      <alignment horizontal="left"/>
    </xf>
    <xf numFmtId="0" fontId="17" fillId="0" borderId="80" xfId="0" applyNumberFormat="1" applyFont="1" applyBorder="1" applyAlignment="1">
      <alignment horizontal="left"/>
    </xf>
    <xf numFmtId="0" fontId="17" fillId="0" borderId="116" xfId="0" applyNumberFormat="1" applyFont="1" applyBorder="1" applyAlignment="1">
      <alignment horizontal="left"/>
    </xf>
    <xf numFmtId="0" fontId="17" fillId="0" borderId="44" xfId="0" applyNumberFormat="1" applyFont="1" applyBorder="1" applyAlignment="1"/>
    <xf numFmtId="0" fontId="0" fillId="0" borderId="47" xfId="0" applyNumberFormat="1" applyBorder="1" applyAlignment="1"/>
    <xf numFmtId="0" fontId="6" fillId="0" borderId="13" xfId="0" applyNumberFormat="1" applyFont="1" applyBorder="1" applyAlignment="1">
      <alignment horizontal="left" indent="2"/>
    </xf>
    <xf numFmtId="0" fontId="0" fillId="0" borderId="80" xfId="0" applyNumberFormat="1" applyBorder="1" applyAlignment="1">
      <alignment horizontal="left" indent="2"/>
    </xf>
    <xf numFmtId="0" fontId="3" fillId="0" borderId="13" xfId="0" applyNumberFormat="1" applyFont="1" applyBorder="1" applyAlignment="1">
      <alignment horizontal="left" indent="2"/>
    </xf>
    <xf numFmtId="0" fontId="3" fillId="0" borderId="13" xfId="0" applyNumberFormat="1" applyFont="1" applyBorder="1" applyAlignment="1"/>
    <xf numFmtId="0" fontId="0" fillId="0" borderId="80" xfId="0" applyNumberFormat="1" applyBorder="1" applyAlignment="1"/>
    <xf numFmtId="0" fontId="6" fillId="0" borderId="78" xfId="0" applyNumberFormat="1" applyFont="1" applyBorder="1" applyAlignment="1">
      <alignment horizontal="center" vertical="center" wrapText="1"/>
    </xf>
    <xf numFmtId="0" fontId="62" fillId="0" borderId="127" xfId="0" applyNumberFormat="1" applyFont="1" applyBorder="1" applyAlignment="1">
      <alignment vertical="center" wrapText="1"/>
    </xf>
    <xf numFmtId="0" fontId="62" fillId="0" borderId="7" xfId="0" applyNumberFormat="1" applyFont="1" applyBorder="1" applyAlignment="1">
      <alignment vertical="center" wrapText="1"/>
    </xf>
    <xf numFmtId="0" fontId="62" fillId="0" borderId="3" xfId="0" applyNumberFormat="1" applyFont="1" applyBorder="1" applyAlignment="1">
      <alignment vertical="center" wrapText="1"/>
    </xf>
    <xf numFmtId="0" fontId="62" fillId="0" borderId="127" xfId="0" applyNumberFormat="1" applyFont="1" applyBorder="1" applyAlignment="1">
      <alignment horizontal="center" vertical="center" wrapText="1"/>
    </xf>
    <xf numFmtId="0" fontId="62" fillId="0" borderId="7" xfId="0" applyNumberFormat="1" applyFont="1" applyBorder="1" applyAlignment="1">
      <alignment horizontal="center" vertical="center" wrapText="1"/>
    </xf>
    <xf numFmtId="0" fontId="62" fillId="0" borderId="3" xfId="0" applyNumberFormat="1" applyFont="1" applyBorder="1" applyAlignment="1">
      <alignment horizontal="center" vertical="center" wrapText="1"/>
    </xf>
    <xf numFmtId="0" fontId="3" fillId="0" borderId="76" xfId="0" applyNumberFormat="1" applyFont="1" applyBorder="1" applyAlignment="1">
      <alignment horizontal="left"/>
    </xf>
    <xf numFmtId="0" fontId="3" fillId="0" borderId="114" xfId="0" applyNumberFormat="1" applyFont="1" applyBorder="1" applyAlignment="1">
      <alignment horizontal="left"/>
    </xf>
    <xf numFmtId="0" fontId="3" fillId="0" borderId="115" xfId="0" applyNumberFormat="1" applyFont="1" applyBorder="1" applyAlignment="1">
      <alignment horizontal="left"/>
    </xf>
    <xf numFmtId="0" fontId="3" fillId="0" borderId="13" xfId="0" applyNumberFormat="1" applyFont="1" applyBorder="1" applyAlignment="1">
      <alignment horizontal="left" wrapText="1"/>
    </xf>
    <xf numFmtId="0" fontId="3" fillId="0" borderId="80" xfId="0" applyNumberFormat="1" applyFont="1" applyBorder="1" applyAlignment="1">
      <alignment horizontal="left" wrapText="1"/>
    </xf>
    <xf numFmtId="0" fontId="3" fillId="0" borderId="116" xfId="0" applyNumberFormat="1" applyFont="1" applyBorder="1" applyAlignment="1">
      <alignment horizontal="left" wrapText="1"/>
    </xf>
    <xf numFmtId="0" fontId="3" fillId="0" borderId="80" xfId="0" applyNumberFormat="1" applyFont="1" applyBorder="1" applyAlignment="1">
      <alignment horizontal="left"/>
    </xf>
    <xf numFmtId="0" fontId="3" fillId="0" borderId="116" xfId="0" applyNumberFormat="1" applyFont="1" applyBorder="1" applyAlignment="1">
      <alignment horizontal="left"/>
    </xf>
    <xf numFmtId="0" fontId="45" fillId="4" borderId="0" xfId="0" applyFont="1" applyFill="1" applyBorder="1" applyAlignment="1">
      <alignment vertical="top" wrapText="1"/>
    </xf>
    <xf numFmtId="0" fontId="15" fillId="4" borderId="0" xfId="0" applyFont="1" applyFill="1" applyBorder="1" applyAlignment="1">
      <alignment vertical="top" wrapText="1"/>
    </xf>
    <xf numFmtId="0" fontId="6" fillId="0" borderId="11" xfId="0" applyNumberFormat="1" applyFont="1" applyBorder="1" applyAlignment="1">
      <alignment horizontal="left"/>
    </xf>
    <xf numFmtId="0" fontId="6" fillId="0" borderId="12" xfId="0" applyNumberFormat="1" applyFont="1" applyBorder="1" applyAlignment="1">
      <alignment horizontal="left"/>
    </xf>
    <xf numFmtId="0" fontId="6" fillId="0" borderId="47" xfId="0" applyNumberFormat="1" applyFont="1" applyBorder="1" applyAlignment="1">
      <alignment horizontal="left"/>
    </xf>
    <xf numFmtId="0" fontId="6" fillId="0" borderId="20" xfId="0" applyNumberFormat="1" applyFont="1" applyBorder="1" applyAlignment="1">
      <alignment horizontal="left"/>
    </xf>
    <xf numFmtId="3" fontId="47" fillId="4" borderId="0" xfId="0" applyNumberFormat="1" applyFont="1" applyFill="1" applyAlignment="1">
      <alignment vertical="top" wrapText="1"/>
    </xf>
    <xf numFmtId="0" fontId="14" fillId="4" borderId="0" xfId="0" applyFont="1" applyFill="1" applyAlignment="1">
      <alignment vertical="top" wrapText="1"/>
    </xf>
    <xf numFmtId="0" fontId="6" fillId="0" borderId="15" xfId="0" applyNumberFormat="1" applyFont="1" applyBorder="1" applyAlignment="1">
      <alignment horizontal="left" indent="4"/>
    </xf>
    <xf numFmtId="0" fontId="0" fillId="0" borderId="11" xfId="0" applyNumberFormat="1" applyBorder="1" applyAlignment="1">
      <alignment horizontal="left" indent="4"/>
    </xf>
    <xf numFmtId="0" fontId="62" fillId="0" borderId="117" xfId="0" applyNumberFormat="1" applyFont="1" applyBorder="1" applyAlignment="1">
      <alignment horizontal="center" vertical="center" wrapText="1"/>
    </xf>
    <xf numFmtId="0" fontId="62" fillId="0" borderId="4" xfId="0" applyNumberFormat="1" applyFont="1" applyBorder="1" applyAlignment="1">
      <alignment horizontal="center" vertical="center" wrapText="1"/>
    </xf>
    <xf numFmtId="0" fontId="3" fillId="0" borderId="78" xfId="0" applyNumberFormat="1" applyFont="1" applyBorder="1" applyAlignment="1">
      <alignment horizontal="center" vertical="center"/>
    </xf>
    <xf numFmtId="0" fontId="62" fillId="0" borderId="127" xfId="0" applyNumberFormat="1" applyFont="1" applyBorder="1" applyAlignment="1">
      <alignment vertical="center"/>
    </xf>
    <xf numFmtId="0" fontId="62" fillId="0" borderId="117" xfId="0" applyNumberFormat="1" applyFont="1" applyBorder="1" applyAlignment="1">
      <alignment vertical="center"/>
    </xf>
    <xf numFmtId="0" fontId="62" fillId="0" borderId="7" xfId="0" applyNumberFormat="1" applyFont="1" applyBorder="1" applyAlignment="1">
      <alignment vertical="center"/>
    </xf>
    <xf numFmtId="0" fontId="62" fillId="0" borderId="3" xfId="0" applyNumberFormat="1" applyFont="1" applyBorder="1" applyAlignment="1">
      <alignment vertical="center"/>
    </xf>
    <xf numFmtId="0" fontId="62" fillId="0" borderId="4" xfId="0" applyNumberFormat="1" applyFont="1" applyBorder="1" applyAlignment="1">
      <alignment vertical="center"/>
    </xf>
    <xf numFmtId="0" fontId="6" fillId="0" borderId="65" xfId="0" applyNumberFormat="1" applyFont="1" applyBorder="1" applyAlignment="1"/>
    <xf numFmtId="0" fontId="0" fillId="0" borderId="123" xfId="0" applyNumberFormat="1" applyBorder="1" applyAlignment="1"/>
    <xf numFmtId="3" fontId="45" fillId="4" borderId="0" xfId="0" applyNumberFormat="1" applyFont="1" applyFill="1" applyAlignment="1">
      <alignment vertical="top" wrapText="1"/>
    </xf>
    <xf numFmtId="0" fontId="15" fillId="4" borderId="0" xfId="0" applyFont="1" applyFill="1" applyAlignment="1">
      <alignment vertical="top" wrapText="1"/>
    </xf>
    <xf numFmtId="3" fontId="44" fillId="4" borderId="0" xfId="0" applyNumberFormat="1" applyFont="1" applyFill="1" applyAlignment="1">
      <alignment horizontal="center"/>
    </xf>
    <xf numFmtId="0" fontId="6" fillId="0" borderId="127" xfId="0" applyNumberFormat="1" applyFont="1" applyBorder="1" applyAlignment="1">
      <alignment horizontal="center"/>
    </xf>
    <xf numFmtId="0" fontId="6" fillId="0" borderId="117" xfId="0" applyNumberFormat="1" applyFont="1" applyBorder="1" applyAlignment="1">
      <alignment horizontal="center"/>
    </xf>
    <xf numFmtId="0" fontId="6" fillId="0" borderId="3" xfId="0" applyNumberFormat="1" applyFont="1" applyBorder="1" applyAlignment="1">
      <alignment horizontal="left"/>
    </xf>
    <xf numFmtId="0" fontId="6" fillId="0" borderId="4" xfId="0" applyNumberFormat="1" applyFont="1" applyBorder="1" applyAlignment="1">
      <alignment horizontal="left"/>
    </xf>
    <xf numFmtId="0" fontId="6" fillId="0" borderId="111" xfId="0" applyNumberFormat="1" applyFont="1" applyBorder="1" applyAlignment="1">
      <alignment horizontal="center"/>
    </xf>
    <xf numFmtId="0" fontId="6" fillId="0" borderId="112" xfId="0" applyNumberFormat="1" applyFont="1" applyBorder="1" applyAlignment="1">
      <alignment horizontal="center"/>
    </xf>
    <xf numFmtId="0" fontId="17" fillId="0" borderId="78" xfId="0" applyNumberFormat="1" applyFont="1" applyBorder="1" applyAlignment="1"/>
    <xf numFmtId="0" fontId="62" fillId="0" borderId="127" xfId="0" applyNumberFormat="1" applyFont="1" applyBorder="1" applyAlignment="1"/>
    <xf numFmtId="0" fontId="62" fillId="0" borderId="8" xfId="0" applyNumberFormat="1" applyFont="1" applyBorder="1" applyAlignment="1"/>
    <xf numFmtId="0" fontId="62" fillId="0" borderId="0" xfId="0" applyNumberFormat="1" applyFont="1" applyBorder="1" applyAlignment="1"/>
    <xf numFmtId="0" fontId="62" fillId="0" borderId="73" xfId="0" applyNumberFormat="1" applyFont="1" applyBorder="1" applyAlignment="1"/>
    <xf numFmtId="0" fontId="62" fillId="0" borderId="74" xfId="0" applyNumberFormat="1" applyFont="1" applyBorder="1" applyAlignment="1"/>
    <xf numFmtId="0" fontId="3" fillId="0" borderId="44" xfId="0" applyNumberFormat="1" applyFont="1" applyBorder="1" applyAlignment="1"/>
    <xf numFmtId="0" fontId="6" fillId="0" borderId="13" xfId="0" applyNumberFormat="1" applyFont="1" applyBorder="1" applyAlignment="1">
      <alignment horizontal="left" indent="4"/>
    </xf>
    <xf numFmtId="0" fontId="33" fillId="0" borderId="0" xfId="0" applyNumberFormat="1" applyFont="1" applyAlignment="1">
      <alignment horizontal="center"/>
    </xf>
    <xf numFmtId="0" fontId="0" fillId="0" borderId="0" xfId="0" applyNumberFormat="1" applyAlignment="1">
      <alignment horizontal="center"/>
    </xf>
    <xf numFmtId="0" fontId="34" fillId="0" borderId="0" xfId="0" applyNumberFormat="1" applyFont="1" applyAlignment="1">
      <alignment horizontal="center"/>
    </xf>
    <xf numFmtId="0" fontId="0" fillId="0" borderId="0" xfId="0"/>
    <xf numFmtId="0" fontId="0" fillId="0" borderId="0" xfId="0" applyNumberFormat="1" applyBorder="1" applyAlignment="1">
      <alignment horizontal="center"/>
    </xf>
    <xf numFmtId="3" fontId="9" fillId="0" borderId="0" xfId="0" applyNumberFormat="1" applyFont="1" applyAlignment="1">
      <alignment horizontal="center"/>
    </xf>
    <xf numFmtId="3" fontId="9" fillId="0" borderId="46" xfId="0" applyNumberFormat="1" applyFont="1" applyBorder="1" applyAlignment="1">
      <alignment horizontal="center"/>
    </xf>
    <xf numFmtId="3" fontId="9" fillId="0" borderId="74" xfId="0" applyNumberFormat="1" applyFont="1" applyBorder="1" applyAlignment="1">
      <alignment horizontal="center"/>
    </xf>
    <xf numFmtId="3" fontId="9" fillId="0" borderId="75" xfId="0" applyNumberFormat="1" applyFont="1" applyBorder="1" applyAlignment="1">
      <alignment horizontal="center"/>
    </xf>
    <xf numFmtId="0" fontId="6" fillId="0" borderId="63" xfId="0" applyNumberFormat="1" applyFont="1" applyBorder="1" applyAlignment="1"/>
    <xf numFmtId="0" fontId="0" fillId="0" borderId="124" xfId="0" applyNumberFormat="1" applyBorder="1" applyAlignment="1"/>
    <xf numFmtId="165" fontId="17" fillId="0" borderId="2" xfId="0" applyNumberFormat="1" applyFont="1" applyBorder="1" applyAlignment="1">
      <alignment horizontal="center" wrapText="1"/>
    </xf>
    <xf numFmtId="0" fontId="0" fillId="0" borderId="120" xfId="0" applyBorder="1" applyAlignment="1">
      <alignment horizontal="center" wrapText="1"/>
    </xf>
    <xf numFmtId="0" fontId="3" fillId="0" borderId="65" xfId="0" applyNumberFormat="1" applyFont="1" applyBorder="1" applyAlignment="1"/>
    <xf numFmtId="0" fontId="0" fillId="0" borderId="151" xfId="0" applyNumberFormat="1" applyBorder="1" applyAlignment="1"/>
    <xf numFmtId="0" fontId="3" fillId="0" borderId="15" xfId="0" applyNumberFormat="1" applyFont="1" applyBorder="1" applyAlignment="1"/>
    <xf numFmtId="0" fontId="0" fillId="0" borderId="11" xfId="0" applyNumberFormat="1" applyBorder="1" applyAlignment="1"/>
    <xf numFmtId="0" fontId="17" fillId="0" borderId="118" xfId="0" applyNumberFormat="1" applyFont="1" applyBorder="1" applyAlignment="1"/>
    <xf numFmtId="0" fontId="0" fillId="0" borderId="119" xfId="0" applyNumberFormat="1" applyBorder="1" applyAlignment="1"/>
    <xf numFmtId="0" fontId="17" fillId="0" borderId="121" xfId="0" applyNumberFormat="1" applyFont="1" applyBorder="1" applyAlignment="1">
      <alignment horizontal="left" indent="2"/>
    </xf>
    <xf numFmtId="0" fontId="0" fillId="0" borderId="122" xfId="0" applyNumberFormat="1" applyBorder="1" applyAlignment="1">
      <alignment horizontal="left" indent="2"/>
    </xf>
    <xf numFmtId="0" fontId="17" fillId="0" borderId="125" xfId="0" applyNumberFormat="1" applyFont="1" applyBorder="1" applyAlignment="1">
      <alignment horizontal="left" indent="2"/>
    </xf>
    <xf numFmtId="0" fontId="0" fillId="0" borderId="126" xfId="0" applyNumberFormat="1" applyBorder="1" applyAlignment="1">
      <alignment horizontal="left" indent="2"/>
    </xf>
    <xf numFmtId="0" fontId="18" fillId="0" borderId="0" xfId="0" applyNumberFormat="1" applyFont="1" applyAlignment="1"/>
    <xf numFmtId="0" fontId="64" fillId="0" borderId="0" xfId="0" applyNumberFormat="1" applyFont="1" applyAlignment="1"/>
    <xf numFmtId="3" fontId="6" fillId="0" borderId="0" xfId="0" applyNumberFormat="1" applyFont="1" applyAlignment="1">
      <alignment horizontal="center"/>
    </xf>
    <xf numFmtId="3" fontId="34" fillId="0" borderId="0" xfId="0" applyNumberFormat="1" applyFont="1" applyAlignment="1">
      <alignment horizontal="center"/>
    </xf>
    <xf numFmtId="165" fontId="17" fillId="0" borderId="2" xfId="0" applyNumberFormat="1" applyFont="1" applyBorder="1" applyAlignment="1">
      <alignment horizontal="right"/>
    </xf>
    <xf numFmtId="0" fontId="0" fillId="0" borderId="120" xfId="0" applyBorder="1" applyAlignment="1"/>
    <xf numFmtId="165" fontId="17" fillId="0" borderId="2" xfId="0" applyNumberFormat="1" applyFont="1" applyBorder="1" applyAlignment="1">
      <alignment horizontal="center"/>
    </xf>
    <xf numFmtId="165" fontId="17" fillId="0" borderId="44" xfId="0" applyNumberFormat="1" applyFont="1" applyBorder="1" applyAlignment="1">
      <alignment horizontal="center"/>
    </xf>
    <xf numFmtId="165" fontId="17" fillId="0" borderId="47" xfId="0" applyNumberFormat="1" applyFont="1" applyBorder="1" applyAlignment="1">
      <alignment horizontal="center"/>
    </xf>
    <xf numFmtId="165" fontId="17" fillId="0" borderId="20" xfId="0" applyNumberFormat="1" applyFont="1" applyBorder="1" applyAlignment="1">
      <alignment horizontal="center"/>
    </xf>
    <xf numFmtId="0" fontId="6" fillId="0" borderId="15" xfId="0" applyNumberFormat="1" applyFont="1" applyBorder="1" applyAlignment="1"/>
    <xf numFmtId="0" fontId="0" fillId="4" borderId="0" xfId="0" applyFill="1" applyBorder="1" applyAlignment="1"/>
    <xf numFmtId="0" fontId="15" fillId="4" borderId="0" xfId="10" applyFont="1" applyFill="1" applyAlignment="1">
      <alignment horizontal="left" wrapText="1"/>
    </xf>
    <xf numFmtId="0" fontId="0" fillId="4" borderId="0" xfId="0" applyFill="1" applyAlignment="1"/>
    <xf numFmtId="0" fontId="15" fillId="4" borderId="0" xfId="10" applyFont="1" applyFill="1" applyAlignment="1">
      <alignment horizontal="left"/>
    </xf>
    <xf numFmtId="0" fontId="23" fillId="0" borderId="44" xfId="10" applyFont="1" applyBorder="1" applyAlignment="1">
      <alignment horizontal="center"/>
    </xf>
    <xf numFmtId="0" fontId="0" fillId="0" borderId="47" xfId="0" applyBorder="1" applyAlignment="1">
      <alignment horizontal="center"/>
    </xf>
    <xf numFmtId="0" fontId="0" fillId="0" borderId="20" xfId="0" applyBorder="1" applyAlignment="1">
      <alignment horizontal="center"/>
    </xf>
    <xf numFmtId="0" fontId="23" fillId="0" borderId="2" xfId="10" applyFont="1" applyBorder="1" applyAlignment="1">
      <alignment horizontal="center" wrapText="1"/>
    </xf>
    <xf numFmtId="0" fontId="0" fillId="0" borderId="5" xfId="0" applyBorder="1" applyAlignment="1">
      <alignment horizontal="center" wrapText="1"/>
    </xf>
    <xf numFmtId="0" fontId="23" fillId="0" borderId="2" xfId="10" applyFont="1" applyBorder="1" applyAlignment="1"/>
    <xf numFmtId="0" fontId="0" fillId="0" borderId="5" xfId="0" applyBorder="1" applyAlignment="1"/>
    <xf numFmtId="0" fontId="16" fillId="0" borderId="0" xfId="10" applyFont="1" applyAlignment="1">
      <alignment horizontal="center"/>
    </xf>
    <xf numFmtId="0" fontId="21" fillId="0" borderId="3" xfId="10" applyBorder="1" applyAlignment="1">
      <alignment horizontal="center"/>
    </xf>
    <xf numFmtId="3" fontId="18" fillId="0" borderId="0" xfId="0" applyNumberFormat="1" applyFont="1" applyAlignment="1"/>
    <xf numFmtId="0" fontId="64" fillId="0" borderId="0" xfId="0" applyFont="1" applyAlignment="1"/>
    <xf numFmtId="0" fontId="33" fillId="0" borderId="0" xfId="10" applyFont="1" applyAlignment="1">
      <alignment horizontal="center"/>
    </xf>
    <xf numFmtId="0" fontId="63" fillId="0" borderId="0" xfId="0" applyFont="1" applyAlignment="1">
      <alignment horizontal="center"/>
    </xf>
    <xf numFmtId="3" fontId="34" fillId="0" borderId="0" xfId="10" applyNumberFormat="1" applyFont="1" applyAlignment="1">
      <alignment horizontal="center"/>
    </xf>
    <xf numFmtId="0" fontId="63" fillId="0" borderId="0" xfId="0" applyFont="1" applyBorder="1" applyAlignment="1">
      <alignment horizontal="center"/>
    </xf>
    <xf numFmtId="0" fontId="34" fillId="0" borderId="0" xfId="10" applyFont="1" applyAlignment="1">
      <alignment horizontal="center"/>
    </xf>
    <xf numFmtId="3" fontId="18" fillId="0" borderId="0" xfId="0" applyNumberFormat="1" applyFont="1" applyAlignment="1">
      <alignment horizontal="center"/>
    </xf>
    <xf numFmtId="0" fontId="21" fillId="0" borderId="0" xfId="10" applyAlignment="1">
      <alignment horizontal="center"/>
    </xf>
    <xf numFmtId="0" fontId="18" fillId="0" borderId="0" xfId="12" applyFont="1" applyAlignment="1"/>
    <xf numFmtId="0" fontId="80" fillId="0" borderId="0" xfId="0" applyFont="1" applyBorder="1" applyAlignment="1"/>
    <xf numFmtId="0" fontId="17" fillId="0" borderId="0" xfId="12" applyFont="1" applyAlignment="1">
      <alignment horizontal="center"/>
    </xf>
    <xf numFmtId="0" fontId="0" fillId="0" borderId="0" xfId="0" applyBorder="1" applyAlignment="1">
      <alignment horizontal="center"/>
    </xf>
    <xf numFmtId="3" fontId="17" fillId="0" borderId="0" xfId="12" applyNumberFormat="1" applyFont="1" applyAlignment="1">
      <alignment horizontal="center"/>
    </xf>
    <xf numFmtId="0" fontId="9" fillId="0" borderId="0" xfId="12" applyFont="1" applyAlignment="1">
      <alignment horizontal="center"/>
    </xf>
    <xf numFmtId="0" fontId="72" fillId="0" borderId="128" xfId="12" applyFont="1" applyFill="1" applyBorder="1" applyAlignment="1">
      <alignment horizontal="center" vertical="center" wrapText="1"/>
    </xf>
    <xf numFmtId="0" fontId="0" fillId="0" borderId="129"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83"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alignment wrapText="1"/>
    </xf>
    <xf numFmtId="0" fontId="23" fillId="0" borderId="44" xfId="12" applyFont="1" applyFill="1" applyBorder="1" applyAlignment="1">
      <alignment horizontal="center"/>
    </xf>
    <xf numFmtId="0" fontId="23" fillId="0" borderId="127" xfId="12" applyFont="1" applyFill="1" applyBorder="1" applyAlignment="1"/>
    <xf numFmtId="0" fontId="9" fillId="0" borderId="3" xfId="12" applyFont="1" applyFill="1" applyBorder="1" applyAlignment="1"/>
    <xf numFmtId="0" fontId="0" fillId="0" borderId="7" xfId="0" applyBorder="1" applyAlignment="1">
      <alignment horizontal="center" vertical="center" wrapText="1"/>
    </xf>
    <xf numFmtId="0" fontId="0" fillId="0" borderId="4" xfId="0" applyBorder="1" applyAlignment="1">
      <alignment horizontal="center" vertical="center" wrapText="1"/>
    </xf>
    <xf numFmtId="1" fontId="23" fillId="0" borderId="128" xfId="12" applyNumberFormat="1" applyFont="1" applyFill="1" applyBorder="1" applyAlignment="1">
      <alignment horizontal="center" vertical="center" wrapText="1"/>
    </xf>
    <xf numFmtId="1" fontId="23" fillId="0" borderId="130" xfId="12" applyNumberFormat="1" applyFont="1" applyFill="1" applyBorder="1" applyAlignment="1">
      <alignment horizontal="center" vertical="center" wrapText="1"/>
    </xf>
    <xf numFmtId="0" fontId="0" fillId="0" borderId="131" xfId="0" applyBorder="1" applyAlignment="1">
      <alignment horizontal="center" vertical="center" wrapText="1"/>
    </xf>
    <xf numFmtId="0" fontId="0" fillId="0" borderId="132" xfId="0" applyBorder="1" applyAlignment="1">
      <alignment horizontal="center" vertical="center" wrapText="1"/>
    </xf>
    <xf numFmtId="0" fontId="23" fillId="0" borderId="7" xfId="12" applyFont="1" applyFill="1" applyBorder="1" applyAlignment="1">
      <alignment horizontal="center"/>
    </xf>
    <xf numFmtId="0" fontId="23" fillId="0" borderId="4" xfId="12" applyFont="1" applyFill="1" applyBorder="1" applyAlignment="1">
      <alignment horizontal="center"/>
    </xf>
    <xf numFmtId="0" fontId="22" fillId="7" borderId="0" xfId="12" applyFont="1" applyFill="1" applyAlignment="1">
      <alignment horizontal="center"/>
    </xf>
    <xf numFmtId="0" fontId="16" fillId="7" borderId="0" xfId="0" applyFont="1" applyFill="1" applyBorder="1" applyAlignment="1"/>
    <xf numFmtId="0" fontId="0" fillId="7" borderId="0" xfId="0" applyFill="1" applyBorder="1" applyAlignment="1"/>
    <xf numFmtId="0" fontId="16" fillId="7" borderId="0" xfId="0" applyFont="1" applyFill="1" applyBorder="1" applyAlignment="1">
      <alignment vertical="top" wrapText="1"/>
    </xf>
    <xf numFmtId="0" fontId="0" fillId="7" borderId="0" xfId="0" applyFill="1" applyBorder="1" applyAlignment="1">
      <alignment vertical="top" wrapText="1"/>
    </xf>
    <xf numFmtId="0" fontId="16" fillId="7" borderId="0" xfId="12" applyFont="1" applyFill="1" applyAlignment="1">
      <alignment vertical="top" wrapText="1"/>
    </xf>
    <xf numFmtId="0" fontId="0" fillId="7" borderId="0" xfId="0" applyFill="1" applyAlignment="1">
      <alignment vertical="top" wrapText="1"/>
    </xf>
    <xf numFmtId="0" fontId="15" fillId="0" borderId="0" xfId="0" applyFont="1" applyAlignment="1">
      <alignment horizontal="left" wrapText="1"/>
    </xf>
    <xf numFmtId="0" fontId="39" fillId="0" borderId="0" xfId="0" applyFont="1" applyBorder="1" applyAlignment="1">
      <alignment vertical="top" wrapText="1"/>
    </xf>
    <xf numFmtId="0" fontId="0" fillId="0" borderId="0" xfId="0" applyBorder="1" applyAlignment="1">
      <alignment vertical="top" wrapText="1"/>
    </xf>
    <xf numFmtId="0" fontId="39" fillId="0" borderId="0" xfId="0" applyFont="1" applyFill="1" applyBorder="1" applyAlignment="1">
      <alignment vertical="top" wrapText="1"/>
    </xf>
    <xf numFmtId="0" fontId="39" fillId="0" borderId="0" xfId="0" applyNumberFormat="1" applyFont="1" applyBorder="1" applyAlignment="1">
      <alignment vertical="top" wrapText="1"/>
    </xf>
    <xf numFmtId="0" fontId="46" fillId="0" borderId="0" xfId="0" applyFont="1" applyBorder="1" applyAlignment="1">
      <alignment vertical="top" wrapText="1"/>
    </xf>
    <xf numFmtId="0" fontId="39" fillId="0" borderId="0" xfId="0" applyFont="1" applyBorder="1" applyAlignment="1">
      <alignment horizontal="center" vertical="top"/>
    </xf>
    <xf numFmtId="0" fontId="0" fillId="0" borderId="0" xfId="0" applyBorder="1" applyAlignment="1">
      <alignment horizontal="center" vertical="top"/>
    </xf>
    <xf numFmtId="0" fontId="18" fillId="0" borderId="0" xfId="12" applyFont="1" applyAlignment="1">
      <alignment horizontal="left"/>
    </xf>
    <xf numFmtId="0" fontId="0" fillId="0" borderId="0" xfId="0" applyBorder="1" applyAlignment="1">
      <alignment horizontal="left"/>
    </xf>
    <xf numFmtId="0" fontId="39" fillId="0" borderId="0" xfId="0" applyFont="1" applyBorder="1" applyAlignment="1">
      <alignment horizontal="center"/>
    </xf>
    <xf numFmtId="0" fontId="6" fillId="0" borderId="0" xfId="12" applyFont="1" applyAlignment="1">
      <alignment horizontal="center"/>
    </xf>
    <xf numFmtId="0" fontId="6" fillId="0" borderId="0" xfId="12" applyFont="1" applyBorder="1" applyAlignment="1">
      <alignment horizontal="center"/>
    </xf>
    <xf numFmtId="0" fontId="32" fillId="0" borderId="0" xfId="12" applyFont="1" applyBorder="1" applyAlignment="1">
      <alignment horizontal="center"/>
    </xf>
    <xf numFmtId="0" fontId="32" fillId="0" borderId="0" xfId="0" applyFont="1" applyBorder="1" applyAlignment="1">
      <alignment vertical="top" wrapText="1"/>
    </xf>
    <xf numFmtId="165" fontId="14" fillId="0" borderId="0" xfId="0" applyNumberFormat="1" applyFont="1" applyAlignment="1">
      <alignment wrapText="1"/>
    </xf>
    <xf numFmtId="0" fontId="15" fillId="0" borderId="0" xfId="0" applyFont="1" applyAlignment="1">
      <alignment wrapText="1"/>
    </xf>
    <xf numFmtId="0" fontId="17" fillId="0" borderId="78" xfId="0" applyNumberFormat="1" applyFont="1" applyBorder="1" applyAlignment="1">
      <alignment horizontal="center" vertical="center" wrapText="1"/>
    </xf>
    <xf numFmtId="0" fontId="6" fillId="0" borderId="127" xfId="0" applyNumberFormat="1" applyFont="1" applyBorder="1" applyAlignment="1">
      <alignment horizontal="center" vertical="center" wrapText="1"/>
    </xf>
    <xf numFmtId="0" fontId="6" fillId="0" borderId="117"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46" xfId="0" applyNumberFormat="1" applyFont="1" applyBorder="1" applyAlignment="1">
      <alignment horizontal="center" vertical="center" wrapText="1"/>
    </xf>
    <xf numFmtId="0" fontId="15" fillId="4" borderId="0" xfId="0" applyFont="1" applyFill="1" applyBorder="1" applyAlignment="1">
      <alignment wrapText="1"/>
    </xf>
    <xf numFmtId="0" fontId="15" fillId="0" borderId="0" xfId="0" applyFont="1" applyBorder="1" applyAlignment="1">
      <alignment wrapText="1"/>
    </xf>
    <xf numFmtId="165" fontId="22" fillId="4" borderId="0" xfId="0" applyNumberFormat="1" applyFont="1" applyFill="1" applyAlignment="1">
      <alignment horizontal="center" wrapText="1"/>
    </xf>
    <xf numFmtId="165" fontId="15" fillId="4" borderId="0" xfId="0" applyNumberFormat="1" applyFont="1" applyFill="1" applyAlignment="1">
      <alignment wrapText="1"/>
    </xf>
    <xf numFmtId="0" fontId="17" fillId="0" borderId="2" xfId="0" applyNumberFormat="1" applyFont="1" applyBorder="1" applyAlignment="1">
      <alignment horizontal="center" vertical="center" wrapText="1"/>
    </xf>
    <xf numFmtId="0" fontId="17" fillId="0" borderId="6" xfId="0" applyNumberFormat="1" applyFont="1" applyBorder="1" applyAlignment="1">
      <alignment horizontal="center" vertical="center" wrapText="1"/>
    </xf>
    <xf numFmtId="0" fontId="17" fillId="0" borderId="78" xfId="0" applyNumberFormat="1" applyFont="1" applyBorder="1" applyAlignment="1">
      <alignment horizontal="center" vertical="center"/>
    </xf>
    <xf numFmtId="0" fontId="6" fillId="0" borderId="127" xfId="0" applyNumberFormat="1" applyFont="1" applyBorder="1" applyAlignment="1">
      <alignment horizontal="center" vertical="center"/>
    </xf>
    <xf numFmtId="0" fontId="6" fillId="0" borderId="117"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17" fillId="0" borderId="78" xfId="0" applyNumberFormat="1" applyFont="1" applyBorder="1" applyAlignment="1">
      <alignment horizontal="center"/>
    </xf>
    <xf numFmtId="0" fontId="17" fillId="0" borderId="8" xfId="0" applyNumberFormat="1" applyFont="1" applyBorder="1" applyAlignment="1">
      <alignment horizontal="center"/>
    </xf>
    <xf numFmtId="0" fontId="17" fillId="0" borderId="73" xfId="0" applyNumberFormat="1" applyFont="1" applyBorder="1" applyAlignment="1">
      <alignment horizontal="center"/>
    </xf>
    <xf numFmtId="165" fontId="2" fillId="0" borderId="0" xfId="0" applyNumberFormat="1" applyFont="1" applyAlignment="1">
      <alignment wrapText="1"/>
    </xf>
    <xf numFmtId="165" fontId="6" fillId="0" borderId="0" xfId="0" applyNumberFormat="1" applyFont="1" applyAlignment="1">
      <alignment horizontal="center"/>
    </xf>
    <xf numFmtId="165" fontId="6" fillId="0" borderId="3" xfId="0" applyNumberFormat="1" applyFont="1" applyBorder="1" applyAlignment="1">
      <alignment horizontal="center"/>
    </xf>
    <xf numFmtId="165" fontId="9" fillId="0" borderId="0" xfId="0" applyNumberFormat="1" applyFont="1" applyAlignment="1">
      <alignment horizontal="center"/>
    </xf>
    <xf numFmtId="0" fontId="6" fillId="0" borderId="0" xfId="0" applyFont="1" applyBorder="1" applyAlignment="1">
      <alignment horizontal="center"/>
    </xf>
    <xf numFmtId="165" fontId="10" fillId="0" borderId="0" xfId="0" applyNumberFormat="1" applyFont="1" applyAlignment="1">
      <alignment horizontal="center"/>
    </xf>
    <xf numFmtId="0" fontId="6" fillId="0" borderId="0" xfId="0" applyFont="1" applyAlignment="1">
      <alignment horizontal="center"/>
    </xf>
    <xf numFmtId="165" fontId="12" fillId="0" borderId="0" xfId="0" applyNumberFormat="1" applyFont="1" applyAlignment="1">
      <alignment horizontal="center"/>
    </xf>
    <xf numFmtId="0" fontId="17" fillId="0" borderId="117" xfId="0" applyNumberFormat="1" applyFont="1" applyBorder="1" applyAlignment="1">
      <alignment horizontal="center" vertical="center" wrapText="1"/>
    </xf>
    <xf numFmtId="0" fontId="17" fillId="0" borderId="46" xfId="0" applyNumberFormat="1" applyFont="1" applyBorder="1" applyAlignment="1">
      <alignment horizontal="center" vertical="center" wrapText="1"/>
    </xf>
    <xf numFmtId="0" fontId="6" fillId="0" borderId="0" xfId="0" applyNumberFormat="1" applyFont="1" applyAlignment="1"/>
    <xf numFmtId="0" fontId="10" fillId="0" borderId="0" xfId="0" applyNumberFormat="1" applyFont="1" applyAlignment="1">
      <alignment horizontal="center"/>
    </xf>
    <xf numFmtId="0" fontId="6" fillId="0" borderId="0" xfId="0" applyNumberFormat="1" applyFont="1" applyAlignment="1">
      <alignment horizontal="center"/>
    </xf>
    <xf numFmtId="0" fontId="12" fillId="0" borderId="0" xfId="0" applyNumberFormat="1" applyFont="1" applyAlignment="1">
      <alignment horizontal="center"/>
    </xf>
    <xf numFmtId="0" fontId="6" fillId="0" borderId="0" xfId="0" applyNumberFormat="1" applyFont="1" applyBorder="1" applyAlignment="1">
      <alignment horizontal="center"/>
    </xf>
    <xf numFmtId="0" fontId="9" fillId="0" borderId="0" xfId="0" applyNumberFormat="1" applyFont="1" applyAlignment="1">
      <alignment horizontal="center"/>
    </xf>
    <xf numFmtId="0" fontId="6" fillId="0" borderId="127" xfId="0" applyNumberFormat="1" applyFont="1" applyBorder="1" applyAlignment="1"/>
    <xf numFmtId="0" fontId="6" fillId="0" borderId="73" xfId="0" applyNumberFormat="1" applyFont="1" applyBorder="1" applyAlignment="1"/>
    <xf numFmtId="0" fontId="6" fillId="0" borderId="74" xfId="0" applyNumberFormat="1" applyFont="1" applyBorder="1" applyAlignment="1"/>
    <xf numFmtId="0" fontId="17" fillId="0" borderId="44" xfId="0" applyNumberFormat="1" applyFont="1" applyBorder="1" applyAlignment="1">
      <alignment horizontal="center"/>
    </xf>
    <xf numFmtId="0" fontId="6" fillId="0" borderId="47" xfId="0" applyNumberFormat="1" applyFont="1" applyBorder="1" applyAlignment="1">
      <alignment horizontal="center"/>
    </xf>
    <xf numFmtId="0" fontId="6" fillId="0" borderId="20" xfId="0" applyNumberFormat="1" applyFont="1" applyBorder="1" applyAlignment="1">
      <alignment horizontal="center"/>
    </xf>
    <xf numFmtId="0" fontId="6" fillId="0" borderId="78" xfId="0" applyNumberFormat="1" applyFont="1" applyBorder="1" applyAlignment="1">
      <alignment horizontal="center"/>
    </xf>
    <xf numFmtId="0" fontId="3" fillId="0" borderId="53" xfId="0" applyNumberFormat="1" applyFont="1" applyBorder="1" applyAlignment="1">
      <alignment horizontal="left"/>
    </xf>
    <xf numFmtId="0" fontId="3" fillId="0" borderId="55" xfId="0" applyNumberFormat="1" applyFont="1" applyBorder="1" applyAlignment="1">
      <alignment horizontal="left"/>
    </xf>
    <xf numFmtId="0" fontId="17" fillId="0" borderId="7" xfId="0" applyNumberFormat="1" applyFont="1" applyBorder="1" applyAlignment="1">
      <alignment horizontal="left" indent="5"/>
    </xf>
    <xf numFmtId="0" fontId="17" fillId="0" borderId="4" xfId="0" applyNumberFormat="1" applyFont="1" applyBorder="1" applyAlignment="1">
      <alignment horizontal="left" indent="5"/>
    </xf>
    <xf numFmtId="165" fontId="27" fillId="4" borderId="0" xfId="0" applyNumberFormat="1" applyFont="1" applyFill="1" applyAlignment="1">
      <alignment vertical="top" wrapText="1"/>
    </xf>
    <xf numFmtId="165" fontId="43" fillId="4" borderId="0" xfId="0" applyNumberFormat="1" applyFont="1" applyFill="1" applyAlignment="1">
      <alignment vertical="top" wrapText="1"/>
    </xf>
    <xf numFmtId="165" fontId="43" fillId="4" borderId="0" xfId="0" applyNumberFormat="1" applyFont="1" applyFill="1" applyBorder="1" applyAlignment="1">
      <alignment vertical="top" wrapText="1"/>
    </xf>
    <xf numFmtId="0" fontId="27" fillId="4" borderId="0" xfId="0" applyFont="1" applyFill="1" applyBorder="1" applyAlignment="1">
      <alignment wrapText="1"/>
    </xf>
    <xf numFmtId="0" fontId="43" fillId="4" borderId="0" xfId="0" applyFont="1" applyFill="1" applyBorder="1" applyAlignment="1">
      <alignment wrapText="1"/>
    </xf>
    <xf numFmtId="0" fontId="27" fillId="4" borderId="0" xfId="0" applyFont="1" applyFill="1" applyBorder="1" applyAlignment="1">
      <alignment vertical="top" wrapText="1"/>
    </xf>
    <xf numFmtId="0" fontId="43" fillId="4" borderId="0" xfId="0" applyFont="1" applyFill="1" applyBorder="1" applyAlignment="1">
      <alignment vertical="top" wrapText="1"/>
    </xf>
    <xf numFmtId="165" fontId="50" fillId="0" borderId="127" xfId="0" applyNumberFormat="1" applyFont="1" applyBorder="1" applyAlignment="1">
      <alignment horizontal="center"/>
    </xf>
    <xf numFmtId="0" fontId="6" fillId="0" borderId="0" xfId="0" applyNumberFormat="1" applyFont="1" applyBorder="1" applyAlignment="1"/>
    <xf numFmtId="0" fontId="12" fillId="0" borderId="0" xfId="0" applyNumberFormat="1" applyFont="1" applyBorder="1" applyAlignment="1">
      <alignment horizontal="center"/>
    </xf>
    <xf numFmtId="3" fontId="18" fillId="0" borderId="0" xfId="0" applyNumberFormat="1" applyFont="1" applyBorder="1" applyAlignment="1">
      <alignment horizontal="center"/>
    </xf>
    <xf numFmtId="0" fontId="28" fillId="2" borderId="133" xfId="0" applyNumberFormat="1" applyFont="1" applyFill="1" applyBorder="1" applyAlignment="1">
      <alignment horizontal="center" wrapText="1"/>
    </xf>
    <xf numFmtId="0" fontId="6" fillId="0" borderId="16" xfId="0" applyNumberFormat="1" applyFont="1" applyBorder="1" applyAlignment="1">
      <alignment horizontal="center" wrapText="1"/>
    </xf>
    <xf numFmtId="165" fontId="6" fillId="0" borderId="0" xfId="0" applyNumberFormat="1" applyFont="1" applyBorder="1" applyAlignment="1">
      <alignment horizontal="center"/>
    </xf>
    <xf numFmtId="165" fontId="7" fillId="2" borderId="122" xfId="0" applyNumberFormat="1" applyFont="1" applyFill="1" applyBorder="1" applyAlignment="1">
      <alignment horizontal="center"/>
    </xf>
    <xf numFmtId="0" fontId="28" fillId="2" borderId="60" xfId="0" applyNumberFormat="1" applyFont="1" applyFill="1" applyBorder="1" applyAlignment="1">
      <alignment horizontal="center" wrapText="1"/>
    </xf>
    <xf numFmtId="0" fontId="6" fillId="0" borderId="39" xfId="0" applyNumberFormat="1" applyFont="1" applyBorder="1" applyAlignment="1">
      <alignment horizontal="center" wrapText="1"/>
    </xf>
    <xf numFmtId="0" fontId="28" fillId="2" borderId="42" xfId="0" applyNumberFormat="1" applyFont="1" applyFill="1" applyBorder="1" applyAlignment="1">
      <alignment horizontal="center" wrapText="1"/>
    </xf>
    <xf numFmtId="0" fontId="6" fillId="0" borderId="40" xfId="0" applyNumberFormat="1" applyFont="1" applyBorder="1" applyAlignment="1">
      <alignment horizontal="center" wrapText="1"/>
    </xf>
    <xf numFmtId="0" fontId="28" fillId="2" borderId="134" xfId="0" applyNumberFormat="1" applyFont="1" applyFill="1" applyBorder="1" applyAlignment="1">
      <alignment horizontal="center" wrapText="1"/>
    </xf>
    <xf numFmtId="0" fontId="28" fillId="2" borderId="135" xfId="0" applyNumberFormat="1" applyFont="1" applyFill="1" applyBorder="1" applyAlignment="1">
      <alignment horizontal="center" wrapText="1"/>
    </xf>
    <xf numFmtId="0" fontId="28" fillId="2" borderId="136" xfId="0" applyNumberFormat="1" applyFont="1" applyFill="1" applyBorder="1" applyAlignment="1">
      <alignment horizontal="center" vertical="center"/>
    </xf>
    <xf numFmtId="0" fontId="28" fillId="2" borderId="137" xfId="0" applyNumberFormat="1" applyFont="1" applyFill="1" applyBorder="1" applyAlignment="1">
      <alignment horizontal="center" vertical="center"/>
    </xf>
    <xf numFmtId="0" fontId="28" fillId="2" borderId="138" xfId="0" applyNumberFormat="1" applyFont="1" applyFill="1" applyBorder="1" applyAlignment="1">
      <alignment horizontal="center" vertical="center"/>
    </xf>
    <xf numFmtId="0" fontId="28" fillId="2" borderId="139" xfId="0" applyNumberFormat="1" applyFont="1" applyFill="1" applyBorder="1" applyAlignment="1">
      <alignment horizontal="center" vertical="center" wrapText="1"/>
    </xf>
    <xf numFmtId="0" fontId="6" fillId="0" borderId="140" xfId="0" applyNumberFormat="1" applyFont="1" applyBorder="1" applyAlignment="1">
      <alignment horizontal="center" vertical="center" wrapText="1"/>
    </xf>
    <xf numFmtId="0" fontId="6" fillId="0" borderId="141" xfId="0" applyNumberFormat="1" applyFont="1" applyBorder="1" applyAlignment="1">
      <alignment horizontal="center" wrapText="1"/>
    </xf>
    <xf numFmtId="0" fontId="28" fillId="2" borderId="142" xfId="0" applyNumberFormat="1" applyFont="1" applyFill="1" applyBorder="1" applyAlignment="1">
      <alignment horizontal="center" wrapText="1"/>
    </xf>
    <xf numFmtId="0" fontId="6" fillId="0" borderId="143" xfId="0" applyNumberFormat="1" applyFont="1" applyBorder="1" applyAlignment="1">
      <alignment horizontal="center" wrapText="1"/>
    </xf>
    <xf numFmtId="0" fontId="28" fillId="2" borderId="144" xfId="0" applyNumberFormat="1" applyFont="1" applyFill="1" applyBorder="1" applyAlignment="1">
      <alignment horizontal="center" wrapText="1"/>
    </xf>
    <xf numFmtId="0" fontId="6" fillId="0" borderId="8" xfId="0" applyNumberFormat="1" applyFont="1" applyBorder="1" applyAlignment="1">
      <alignment wrapText="1"/>
    </xf>
    <xf numFmtId="0" fontId="6" fillId="0" borderId="121" xfId="0" applyNumberFormat="1" applyFont="1" applyBorder="1" applyAlignment="1">
      <alignment wrapText="1"/>
    </xf>
    <xf numFmtId="0" fontId="35" fillId="2" borderId="44" xfId="0" applyNumberFormat="1" applyFont="1" applyFill="1" applyBorder="1" applyAlignment="1">
      <alignment horizontal="center" wrapText="1"/>
    </xf>
    <xf numFmtId="0" fontId="35" fillId="2" borderId="47" xfId="0" applyNumberFormat="1" applyFont="1" applyFill="1" applyBorder="1" applyAlignment="1">
      <alignment horizontal="center" wrapText="1"/>
    </xf>
    <xf numFmtId="0" fontId="35" fillId="2" borderId="20" xfId="0" applyNumberFormat="1" applyFont="1" applyFill="1" applyBorder="1" applyAlignment="1">
      <alignment horizontal="center" wrapText="1"/>
    </xf>
    <xf numFmtId="0" fontId="35" fillId="2" borderId="48" xfId="0" applyNumberFormat="1" applyFont="1" applyFill="1" applyBorder="1" applyAlignment="1">
      <alignment horizontal="center" wrapText="1"/>
    </xf>
    <xf numFmtId="0" fontId="24" fillId="0" borderId="48" xfId="0" applyNumberFormat="1" applyFont="1" applyBorder="1" applyAlignment="1">
      <alignment horizontal="center" wrapText="1"/>
    </xf>
    <xf numFmtId="3" fontId="54" fillId="2" borderId="147" xfId="0" applyNumberFormat="1" applyFont="1" applyFill="1" applyBorder="1" applyAlignment="1">
      <alignment horizontal="center"/>
    </xf>
    <xf numFmtId="0" fontId="50" fillId="0" borderId="147" xfId="0" applyFont="1" applyBorder="1" applyAlignment="1">
      <alignment horizontal="center"/>
    </xf>
    <xf numFmtId="0" fontId="50" fillId="0" borderId="148" xfId="0" applyFont="1" applyBorder="1" applyAlignment="1">
      <alignment horizontal="center"/>
    </xf>
    <xf numFmtId="0" fontId="22" fillId="4" borderId="0" xfId="0" applyFont="1" applyFill="1" applyBorder="1" applyAlignment="1">
      <alignment horizontal="center"/>
    </xf>
    <xf numFmtId="0" fontId="26" fillId="2" borderId="30" xfId="0" applyNumberFormat="1" applyFont="1" applyFill="1" applyBorder="1" applyAlignment="1">
      <alignment wrapText="1"/>
    </xf>
    <xf numFmtId="0" fontId="26" fillId="2" borderId="28" xfId="0" applyNumberFormat="1" applyFont="1" applyFill="1" applyBorder="1" applyAlignment="1">
      <alignment wrapText="1"/>
    </xf>
    <xf numFmtId="0" fontId="6" fillId="0" borderId="28" xfId="0" applyNumberFormat="1" applyFont="1" applyBorder="1" applyAlignment="1">
      <alignment wrapText="1"/>
    </xf>
    <xf numFmtId="0" fontId="6" fillId="0" borderId="149" xfId="0" applyNumberFormat="1" applyFont="1" applyBorder="1" applyAlignment="1">
      <alignment wrapText="1"/>
    </xf>
    <xf numFmtId="0" fontId="35" fillId="2" borderId="32" xfId="0" applyNumberFormat="1" applyFont="1" applyFill="1" applyBorder="1" applyAlignment="1">
      <alignment horizontal="center" wrapText="1"/>
    </xf>
    <xf numFmtId="0" fontId="24" fillId="0" borderId="33" xfId="0" applyNumberFormat="1" applyFont="1" applyBorder="1" applyAlignment="1">
      <alignment wrapText="1"/>
    </xf>
    <xf numFmtId="0" fontId="35" fillId="2" borderId="28" xfId="0" applyNumberFormat="1" applyFont="1" applyFill="1" applyBorder="1" applyAlignment="1">
      <alignment horizontal="center" wrapText="1"/>
    </xf>
    <xf numFmtId="0" fontId="24" fillId="0" borderId="43" xfId="0" applyNumberFormat="1" applyFont="1" applyBorder="1" applyAlignment="1">
      <alignment wrapText="1"/>
    </xf>
    <xf numFmtId="0" fontId="24" fillId="0" borderId="145" xfId="0" applyNumberFormat="1" applyFont="1" applyBorder="1" applyAlignment="1">
      <alignment wrapText="1"/>
    </xf>
    <xf numFmtId="0" fontId="24" fillId="0" borderId="146" xfId="0" applyNumberFormat="1" applyFont="1" applyBorder="1" applyAlignment="1">
      <alignment wrapText="1"/>
    </xf>
    <xf numFmtId="3" fontId="7" fillId="2" borderId="122" xfId="0" applyNumberFormat="1" applyFont="1" applyFill="1" applyBorder="1" applyAlignment="1">
      <alignment horizontal="center"/>
    </xf>
    <xf numFmtId="3" fontId="7" fillId="2" borderId="0" xfId="0" applyNumberFormat="1" applyFont="1" applyFill="1" applyBorder="1" applyAlignment="1">
      <alignment horizontal="center"/>
    </xf>
    <xf numFmtId="3" fontId="7" fillId="2" borderId="0" xfId="0" applyNumberFormat="1" applyFont="1" applyFill="1" applyAlignment="1">
      <alignment horizontal="center"/>
    </xf>
    <xf numFmtId="0" fontId="37" fillId="0" borderId="0" xfId="0" applyNumberFormat="1" applyFont="1" applyFill="1" applyAlignment="1">
      <alignment horizontal="center"/>
    </xf>
    <xf numFmtId="0" fontId="6" fillId="0" borderId="0" xfId="0" applyNumberFormat="1" applyFont="1" applyFill="1" applyBorder="1" applyAlignment="1">
      <alignment horizontal="center"/>
    </xf>
    <xf numFmtId="0" fontId="36" fillId="0" borderId="0" xfId="0" applyNumberFormat="1" applyFont="1" applyFill="1" applyAlignment="1">
      <alignment horizontal="center"/>
    </xf>
    <xf numFmtId="0" fontId="6" fillId="0" borderId="0" xfId="0" applyNumberFormat="1" applyFont="1" applyFill="1" applyAlignment="1">
      <alignment horizontal="center"/>
    </xf>
    <xf numFmtId="0" fontId="36" fillId="0" borderId="0" xfId="0" applyNumberFormat="1" applyFont="1" applyFill="1" applyAlignment="1"/>
    <xf numFmtId="0" fontId="6" fillId="0" borderId="0" xfId="0" applyNumberFormat="1" applyFont="1" applyFill="1" applyAlignment="1"/>
    <xf numFmtId="165" fontId="35" fillId="0" borderId="0" xfId="0" applyNumberFormat="1" applyFont="1" applyFill="1" applyAlignment="1">
      <alignment horizontal="center"/>
    </xf>
    <xf numFmtId="165" fontId="7" fillId="0" borderId="0" xfId="0" applyNumberFormat="1" applyFont="1" applyFill="1" applyAlignment="1">
      <alignment horizontal="center"/>
    </xf>
    <xf numFmtId="0" fontId="26" fillId="0" borderId="128" xfId="0" applyNumberFormat="1" applyFont="1" applyFill="1" applyBorder="1" applyAlignment="1">
      <alignment horizontal="center" wrapText="1"/>
    </xf>
    <xf numFmtId="0" fontId="6" fillId="0" borderId="129" xfId="0" applyNumberFormat="1" applyFont="1" applyFill="1" applyBorder="1" applyAlignment="1">
      <alignment horizontal="center" wrapText="1"/>
    </xf>
    <xf numFmtId="0" fontId="6" fillId="0" borderId="7" xfId="0" applyNumberFormat="1" applyFont="1" applyFill="1" applyBorder="1" applyAlignment="1">
      <alignment horizontal="center" wrapText="1"/>
    </xf>
    <xf numFmtId="0" fontId="6" fillId="0" borderId="4" xfId="0" applyNumberFormat="1" applyFont="1" applyFill="1" applyBorder="1" applyAlignment="1">
      <alignment horizontal="center" wrapText="1"/>
    </xf>
    <xf numFmtId="0" fontId="26" fillId="0" borderId="128" xfId="0" applyNumberFormat="1" applyFont="1" applyFill="1" applyBorder="1" applyAlignment="1">
      <alignment horizontal="center" vertical="center" wrapText="1"/>
    </xf>
    <xf numFmtId="0" fontId="6" fillId="0" borderId="129"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6" fillId="0" borderId="150" xfId="0" applyNumberFormat="1" applyFont="1" applyFill="1" applyBorder="1" applyAlignment="1">
      <alignment wrapText="1"/>
    </xf>
    <xf numFmtId="0" fontId="6" fillId="0" borderId="6" xfId="0" applyNumberFormat="1" applyFont="1" applyFill="1" applyBorder="1" applyAlignment="1">
      <alignment wrapText="1"/>
    </xf>
    <xf numFmtId="0" fontId="6" fillId="0" borderId="120" xfId="0" applyNumberFormat="1" applyFont="1" applyFill="1" applyBorder="1" applyAlignment="1">
      <alignment wrapText="1"/>
    </xf>
    <xf numFmtId="165" fontId="7" fillId="0" borderId="74" xfId="0" applyNumberFormat="1" applyFont="1" applyFill="1" applyBorder="1" applyAlignment="1">
      <alignment horizontal="center"/>
    </xf>
    <xf numFmtId="0" fontId="0" fillId="4" borderId="0" xfId="0" applyFill="1" applyBorder="1" applyAlignment="1">
      <alignment vertical="top" wrapText="1"/>
    </xf>
    <xf numFmtId="0" fontId="22" fillId="4" borderId="0" xfId="0" applyFont="1" applyFill="1" applyBorder="1" applyAlignment="1">
      <alignment vertical="top" wrapText="1"/>
    </xf>
    <xf numFmtId="0" fontId="22" fillId="0" borderId="0" xfId="0" applyFont="1" applyBorder="1" applyAlignment="1">
      <alignment vertical="top" wrapText="1"/>
    </xf>
    <xf numFmtId="0" fontId="15" fillId="0" borderId="0" xfId="0" applyFont="1" applyBorder="1" applyAlignment="1">
      <alignment vertical="top" wrapText="1"/>
    </xf>
    <xf numFmtId="0" fontId="15" fillId="4" borderId="0" xfId="0" applyNumberFormat="1" applyFont="1" applyFill="1" applyBorder="1" applyAlignment="1">
      <alignment vertical="top" wrapText="1"/>
    </xf>
    <xf numFmtId="165" fontId="15" fillId="4" borderId="0" xfId="0" applyNumberFormat="1" applyFont="1" applyFill="1" applyBorder="1" applyAlignment="1">
      <alignment vertical="top" wrapText="1"/>
    </xf>
    <xf numFmtId="0" fontId="15" fillId="0" borderId="0" xfId="0" applyNumberFormat="1" applyFont="1" applyBorder="1" applyAlignment="1">
      <alignment vertical="top" wrapText="1"/>
    </xf>
    <xf numFmtId="0" fontId="0" fillId="0" borderId="0" xfId="0" applyNumberFormat="1" applyBorder="1" applyAlignment="1"/>
    <xf numFmtId="0" fontId="7" fillId="2" borderId="78" xfId="0" applyNumberFormat="1" applyFont="1" applyFill="1" applyBorder="1" applyAlignment="1"/>
    <xf numFmtId="0" fontId="0" fillId="0" borderId="73" xfId="0" applyNumberFormat="1" applyBorder="1" applyAlignment="1"/>
    <xf numFmtId="0" fontId="9" fillId="0" borderId="0" xfId="0" applyNumberFormat="1" applyFont="1" applyBorder="1" applyAlignment="1">
      <alignment horizontal="center"/>
    </xf>
    <xf numFmtId="3" fontId="18" fillId="0" borderId="0" xfId="0" applyNumberFormat="1" applyFont="1" applyBorder="1" applyAlignment="1"/>
    <xf numFmtId="0" fontId="0" fillId="0" borderId="0" xfId="0" applyBorder="1" applyAlignment="1"/>
    <xf numFmtId="0" fontId="10" fillId="0" borderId="0" xfId="0" applyNumberFormat="1" applyFont="1" applyBorder="1" applyAlignment="1">
      <alignment horizontal="center"/>
    </xf>
    <xf numFmtId="165" fontId="22" fillId="4" borderId="0" xfId="0" applyNumberFormat="1" applyFont="1" applyFill="1" applyBorder="1" applyAlignment="1">
      <alignment horizontal="center"/>
    </xf>
    <xf numFmtId="0" fontId="28" fillId="2" borderId="44" xfId="0" applyNumberFormat="1" applyFont="1" applyFill="1" applyBorder="1" applyAlignment="1">
      <alignment horizontal="center" vertical="center" wrapText="1"/>
    </xf>
    <xf numFmtId="0" fontId="0" fillId="0" borderId="47" xfId="0" applyNumberFormat="1" applyBorder="1" applyAlignment="1">
      <alignment horizontal="center" vertical="center" wrapText="1"/>
    </xf>
    <xf numFmtId="165" fontId="51" fillId="0" borderId="0" xfId="0" applyNumberFormat="1" applyFont="1" applyBorder="1" applyAlignment="1">
      <alignment horizontal="center"/>
    </xf>
    <xf numFmtId="0" fontId="50" fillId="0" borderId="0" xfId="0" applyFont="1" applyBorder="1" applyAlignment="1">
      <alignment horizontal="center"/>
    </xf>
    <xf numFmtId="0" fontId="28" fillId="2" borderId="44" xfId="0" applyNumberFormat="1" applyFont="1" applyFill="1" applyBorder="1" applyAlignment="1">
      <alignment horizontal="center" vertical="center"/>
    </xf>
    <xf numFmtId="0" fontId="0" fillId="0" borderId="20" xfId="0" applyNumberFormat="1" applyBorder="1" applyAlignment="1">
      <alignment horizontal="center" vertical="center"/>
    </xf>
    <xf numFmtId="0" fontId="28" fillId="2" borderId="20" xfId="0" applyNumberFormat="1" applyFont="1" applyFill="1" applyBorder="1" applyAlignment="1">
      <alignment horizontal="center" vertical="center"/>
    </xf>
    <xf numFmtId="0" fontId="23" fillId="0" borderId="44" xfId="0" applyNumberFormat="1" applyFont="1" applyBorder="1" applyAlignment="1">
      <alignment horizontal="center" vertical="center" wrapText="1"/>
    </xf>
    <xf numFmtId="0" fontId="23" fillId="0" borderId="20" xfId="0" applyNumberFormat="1" applyFont="1" applyBorder="1" applyAlignment="1">
      <alignment horizontal="center" vertical="center" wrapText="1"/>
    </xf>
    <xf numFmtId="0" fontId="92" fillId="0" borderId="0" xfId="13" applyFont="1" applyFill="1" applyAlignment="1">
      <alignment horizontal="left" wrapText="1"/>
    </xf>
    <xf numFmtId="0" fontId="70" fillId="0" borderId="0" xfId="13" applyFont="1" applyFill="1" applyAlignment="1">
      <alignment horizontal="left" wrapText="1"/>
    </xf>
    <xf numFmtId="0" fontId="70" fillId="2" borderId="0" xfId="13" applyFont="1" applyFill="1" applyAlignment="1">
      <alignment horizontal="left" wrapText="1"/>
    </xf>
    <xf numFmtId="0" fontId="3" fillId="2" borderId="0" xfId="13" applyFont="1" applyFill="1" applyAlignment="1">
      <alignment horizontal="left" wrapText="1"/>
    </xf>
    <xf numFmtId="0" fontId="6" fillId="2" borderId="0" xfId="13" applyFont="1" applyFill="1" applyAlignment="1">
      <alignment horizontal="left" wrapText="1"/>
    </xf>
    <xf numFmtId="0" fontId="24" fillId="4" borderId="0" xfId="7" applyFont="1" applyFill="1" applyAlignment="1">
      <alignment vertical="top" wrapText="1"/>
    </xf>
    <xf numFmtId="0" fontId="15" fillId="4" borderId="0" xfId="5" applyFont="1" applyFill="1" applyAlignment="1">
      <alignment vertical="top" wrapText="1"/>
    </xf>
    <xf numFmtId="3" fontId="18" fillId="0" borderId="0" xfId="5" applyNumberFormat="1" applyFont="1" applyAlignment="1">
      <alignment horizontal="center"/>
    </xf>
    <xf numFmtId="0" fontId="15" fillId="0" borderId="0" xfId="5" applyBorder="1" applyAlignment="1">
      <alignment horizontal="center"/>
    </xf>
    <xf numFmtId="3" fontId="6" fillId="2" borderId="0" xfId="13" applyNumberFormat="1" applyFont="1" applyFill="1" applyAlignment="1">
      <alignment horizontal="center"/>
    </xf>
    <xf numFmtId="0" fontId="6" fillId="2" borderId="0" xfId="13" applyFont="1" applyFill="1" applyAlignment="1">
      <alignment horizontal="center"/>
    </xf>
    <xf numFmtId="0" fontId="84" fillId="2" borderId="0" xfId="13" applyFont="1" applyFill="1" applyAlignment="1">
      <alignment horizontal="center"/>
    </xf>
    <xf numFmtId="0" fontId="3" fillId="2" borderId="0" xfId="13" applyFont="1" applyFill="1" applyAlignment="1">
      <alignment wrapText="1"/>
    </xf>
    <xf numFmtId="0" fontId="6" fillId="2" borderId="0" xfId="13" applyFont="1" applyFill="1" applyAlignment="1">
      <alignment wrapText="1"/>
    </xf>
    <xf numFmtId="0" fontId="3" fillId="0" borderId="0" xfId="13" applyFont="1" applyFill="1" applyAlignment="1">
      <alignment horizontal="left" wrapText="1"/>
    </xf>
    <xf numFmtId="0" fontId="6" fillId="0" borderId="0" xfId="13" applyFont="1" applyFill="1" applyAlignment="1">
      <alignment horizontal="left" wrapText="1"/>
    </xf>
    <xf numFmtId="37" fontId="105" fillId="0" borderId="0" xfId="0" applyNumberFormat="1" applyFont="1" applyFill="1" applyBorder="1" applyAlignment="1">
      <alignment horizontal="left" wrapText="1"/>
    </xf>
    <xf numFmtId="37" fontId="17" fillId="4" borderId="210" xfId="0" applyNumberFormat="1" applyFont="1" applyFill="1" applyBorder="1" applyAlignment="1">
      <alignment horizontal="left"/>
    </xf>
    <xf numFmtId="37" fontId="17" fillId="4" borderId="3" xfId="0" applyNumberFormat="1" applyFont="1" applyFill="1" applyBorder="1" applyAlignment="1">
      <alignment horizontal="left"/>
    </xf>
    <xf numFmtId="37" fontId="17" fillId="4" borderId="41" xfId="0" applyNumberFormat="1" applyFont="1" applyFill="1" applyBorder="1" applyAlignment="1">
      <alignment horizontal="left"/>
    </xf>
    <xf numFmtId="37" fontId="9" fillId="0" borderId="0" xfId="0" applyNumberFormat="1" applyFont="1" applyFill="1" applyBorder="1" applyAlignment="1">
      <alignment horizontal="left" wrapText="1"/>
    </xf>
    <xf numFmtId="0" fontId="22" fillId="0" borderId="0" xfId="6" applyFont="1" applyAlignment="1">
      <alignment horizontal="center"/>
    </xf>
    <xf numFmtId="0" fontId="15" fillId="0" borderId="0" xfId="6" applyFont="1" applyAlignment="1">
      <alignment horizontal="center"/>
    </xf>
    <xf numFmtId="0" fontId="16" fillId="0" borderId="0" xfId="6" applyFont="1" applyAlignment="1">
      <alignment horizontal="left" vertical="top" wrapText="1"/>
    </xf>
    <xf numFmtId="0" fontId="85" fillId="0" borderId="0" xfId="6" applyAlignment="1">
      <alignment horizontal="left" vertical="top" wrapText="1"/>
    </xf>
    <xf numFmtId="0" fontId="9" fillId="0" borderId="0" xfId="11" applyFont="1" applyAlignment="1">
      <alignment horizontal="center"/>
    </xf>
    <xf numFmtId="3" fontId="18" fillId="0" borderId="0" xfId="6" applyNumberFormat="1" applyFont="1" applyAlignment="1">
      <alignment horizontal="center"/>
    </xf>
    <xf numFmtId="0" fontId="30" fillId="0" borderId="44" xfId="11" applyFont="1" applyBorder="1" applyAlignment="1">
      <alignment horizontal="center"/>
    </xf>
    <xf numFmtId="0" fontId="87" fillId="0" borderId="47" xfId="6" applyFont="1" applyBorder="1" applyAlignment="1">
      <alignment horizontal="center"/>
    </xf>
    <xf numFmtId="0" fontId="87" fillId="0" borderId="20" xfId="6" applyFont="1" applyBorder="1" applyAlignment="1">
      <alignment horizontal="center"/>
    </xf>
    <xf numFmtId="0" fontId="9" fillId="0" borderId="3" xfId="11" applyFont="1" applyBorder="1" applyAlignment="1">
      <alignment horizontal="center"/>
    </xf>
    <xf numFmtId="3" fontId="3" fillId="0" borderId="0" xfId="11" applyNumberFormat="1" applyFont="1" applyAlignment="1">
      <alignment horizontal="center"/>
    </xf>
    <xf numFmtId="0" fontId="3" fillId="0" borderId="0" xfId="6" applyFont="1" applyAlignment="1">
      <alignment horizontal="center"/>
    </xf>
    <xf numFmtId="0" fontId="34" fillId="0" borderId="0" xfId="5" applyNumberFormat="1" applyFont="1" applyAlignment="1">
      <alignment horizontal="center"/>
    </xf>
    <xf numFmtId="0" fontId="15" fillId="0" borderId="0" xfId="5" applyNumberFormat="1" applyAlignment="1">
      <alignment horizontal="center"/>
    </xf>
    <xf numFmtId="0" fontId="18" fillId="0" borderId="0" xfId="5" applyNumberFormat="1" applyFont="1" applyAlignment="1"/>
    <xf numFmtId="0" fontId="64" fillId="0" borderId="0" xfId="5" applyNumberFormat="1" applyFont="1" applyAlignment="1"/>
    <xf numFmtId="3" fontId="3" fillId="0" borderId="0" xfId="5" applyNumberFormat="1" applyFont="1" applyAlignment="1">
      <alignment horizontal="center"/>
    </xf>
    <xf numFmtId="3" fontId="9" fillId="0" borderId="0" xfId="5" applyNumberFormat="1" applyFont="1" applyAlignment="1">
      <alignment horizontal="center"/>
    </xf>
    <xf numFmtId="0" fontId="33" fillId="0" borderId="0" xfId="5" applyNumberFormat="1" applyFont="1" applyAlignment="1">
      <alignment horizontal="center"/>
    </xf>
    <xf numFmtId="0" fontId="15" fillId="0" borderId="0" xfId="5" applyNumberFormat="1" applyBorder="1" applyAlignment="1">
      <alignment horizontal="center"/>
    </xf>
    <xf numFmtId="3" fontId="34" fillId="0" borderId="0" xfId="5" applyNumberFormat="1" applyFont="1" applyAlignment="1">
      <alignment horizontal="center"/>
    </xf>
    <xf numFmtId="3" fontId="9" fillId="0" borderId="46" xfId="5" applyNumberFormat="1" applyFont="1" applyBorder="1" applyAlignment="1">
      <alignment horizontal="center"/>
    </xf>
    <xf numFmtId="3" fontId="9" fillId="0" borderId="74" xfId="5" applyNumberFormat="1" applyFont="1" applyBorder="1" applyAlignment="1">
      <alignment horizontal="center"/>
    </xf>
    <xf numFmtId="3" fontId="9" fillId="0" borderId="75" xfId="5" applyNumberFormat="1" applyFont="1" applyBorder="1" applyAlignment="1">
      <alignment horizontal="center"/>
    </xf>
    <xf numFmtId="165" fontId="17" fillId="0" borderId="44" xfId="5" applyNumberFormat="1" applyFont="1" applyBorder="1" applyAlignment="1">
      <alignment horizontal="center"/>
    </xf>
    <xf numFmtId="165" fontId="17" fillId="0" borderId="47" xfId="5" applyNumberFormat="1" applyFont="1" applyBorder="1" applyAlignment="1">
      <alignment horizontal="center"/>
    </xf>
    <xf numFmtId="165" fontId="17" fillId="0" borderId="20" xfId="5" applyNumberFormat="1" applyFont="1" applyBorder="1" applyAlignment="1">
      <alignment horizontal="center"/>
    </xf>
    <xf numFmtId="165" fontId="17" fillId="0" borderId="2" xfId="5" applyNumberFormat="1" applyFont="1" applyBorder="1" applyAlignment="1">
      <alignment horizontal="center" wrapText="1"/>
    </xf>
    <xf numFmtId="0" fontId="15" fillId="0" borderId="120" xfId="5" applyBorder="1" applyAlignment="1">
      <alignment horizontal="center" wrapText="1"/>
    </xf>
    <xf numFmtId="165" fontId="17" fillId="0" borderId="2" xfId="5" applyNumberFormat="1" applyFont="1" applyBorder="1" applyAlignment="1">
      <alignment horizontal="center"/>
    </xf>
    <xf numFmtId="0" fontId="15" fillId="0" borderId="120" xfId="5" applyBorder="1" applyAlignment="1"/>
    <xf numFmtId="165" fontId="17" fillId="0" borderId="2" xfId="5" applyNumberFormat="1" applyFont="1" applyBorder="1" applyAlignment="1">
      <alignment horizontal="right"/>
    </xf>
    <xf numFmtId="0" fontId="3" fillId="0" borderId="13" xfId="5" applyNumberFormat="1" applyFont="1" applyBorder="1" applyAlignment="1"/>
    <xf numFmtId="0" fontId="15" fillId="0" borderId="80" xfId="5" applyNumberFormat="1" applyBorder="1" applyAlignment="1"/>
    <xf numFmtId="0" fontId="17" fillId="0" borderId="118" xfId="5" applyNumberFormat="1" applyFont="1" applyBorder="1" applyAlignment="1"/>
    <xf numFmtId="0" fontId="15" fillId="0" borderId="119" xfId="5" applyNumberFormat="1" applyBorder="1" applyAlignment="1"/>
    <xf numFmtId="0" fontId="3" fillId="0" borderId="65" xfId="5" applyNumberFormat="1" applyFont="1" applyBorder="1" applyAlignment="1"/>
    <xf numFmtId="0" fontId="15" fillId="0" borderId="123" xfId="5" applyNumberFormat="1" applyBorder="1" applyAlignment="1"/>
    <xf numFmtId="0" fontId="3" fillId="0" borderId="118" xfId="5" applyNumberFormat="1" applyFont="1" applyBorder="1" applyAlignment="1"/>
    <xf numFmtId="0" fontId="15" fillId="0" borderId="119" xfId="5" applyNumberFormat="1" applyFont="1" applyBorder="1" applyAlignment="1"/>
    <xf numFmtId="0" fontId="17" fillId="0" borderId="121" xfId="5" applyNumberFormat="1" applyFont="1" applyBorder="1" applyAlignment="1">
      <alignment horizontal="left" indent="2"/>
    </xf>
    <xf numFmtId="0" fontId="15" fillId="0" borderId="122" xfId="5" applyNumberFormat="1" applyBorder="1" applyAlignment="1">
      <alignment horizontal="left" indent="2"/>
    </xf>
    <xf numFmtId="0" fontId="3" fillId="0" borderId="63" xfId="5" applyNumberFormat="1" applyFont="1" applyBorder="1" applyAlignment="1"/>
    <xf numFmtId="0" fontId="15" fillId="0" borderId="124" xfId="5" applyNumberFormat="1" applyBorder="1" applyAlignment="1"/>
    <xf numFmtId="0" fontId="17" fillId="0" borderId="125" xfId="5" applyNumberFormat="1" applyFont="1" applyBorder="1" applyAlignment="1">
      <alignment horizontal="left" indent="2"/>
    </xf>
    <xf numFmtId="0" fontId="15" fillId="0" borderId="126" xfId="5" applyNumberFormat="1" applyBorder="1" applyAlignment="1">
      <alignment horizontal="left" indent="2"/>
    </xf>
    <xf numFmtId="0" fontId="3" fillId="0" borderId="155" xfId="5" applyNumberFormat="1" applyFont="1" applyBorder="1" applyAlignment="1"/>
    <xf numFmtId="0" fontId="3" fillId="0" borderId="156" xfId="5" applyNumberFormat="1" applyFont="1" applyBorder="1" applyAlignment="1"/>
    <xf numFmtId="0" fontId="3" fillId="0" borderId="157" xfId="5" applyNumberFormat="1" applyFont="1" applyBorder="1" applyAlignment="1"/>
    <xf numFmtId="0" fontId="3" fillId="0" borderId="13" xfId="5" applyNumberFormat="1" applyFont="1" applyBorder="1" applyAlignment="1">
      <alignment horizontal="left" indent="2"/>
    </xf>
    <xf numFmtId="0" fontId="15" fillId="0" borderId="80" xfId="5" applyNumberFormat="1" applyBorder="1" applyAlignment="1">
      <alignment horizontal="left" indent="2"/>
    </xf>
    <xf numFmtId="0" fontId="3" fillId="0" borderId="13" xfId="5" applyNumberFormat="1" applyFont="1" applyFill="1" applyBorder="1" applyAlignment="1">
      <alignment horizontal="left" indent="4"/>
    </xf>
    <xf numFmtId="0" fontId="15" fillId="0" borderId="80" xfId="5" applyNumberFormat="1" applyBorder="1" applyAlignment="1">
      <alignment horizontal="left" indent="4"/>
    </xf>
    <xf numFmtId="0" fontId="17" fillId="0" borderId="13" xfId="5" applyNumberFormat="1" applyFont="1" applyBorder="1" applyAlignment="1">
      <alignment horizontal="left"/>
    </xf>
    <xf numFmtId="0" fontId="17" fillId="0" borderId="80" xfId="5" applyNumberFormat="1" applyFont="1" applyBorder="1" applyAlignment="1">
      <alignment horizontal="left"/>
    </xf>
    <xf numFmtId="0" fontId="17" fillId="0" borderId="116" xfId="5" applyNumberFormat="1" applyFont="1" applyBorder="1" applyAlignment="1">
      <alignment horizontal="left"/>
    </xf>
    <xf numFmtId="0" fontId="3" fillId="0" borderId="15" xfId="5" applyNumberFormat="1" applyFont="1" applyBorder="1" applyAlignment="1">
      <alignment horizontal="left" indent="4"/>
    </xf>
    <xf numFmtId="0" fontId="15" fillId="0" borderId="11" xfId="5" applyNumberFormat="1" applyBorder="1" applyAlignment="1">
      <alignment horizontal="left" indent="4"/>
    </xf>
    <xf numFmtId="0" fontId="3" fillId="0" borderId="13" xfId="5" applyNumberFormat="1" applyFont="1" applyBorder="1" applyAlignment="1">
      <alignment horizontal="left" indent="4"/>
    </xf>
    <xf numFmtId="0" fontId="3" fillId="0" borderId="80" xfId="5" applyNumberFormat="1" applyFont="1" applyBorder="1" applyAlignment="1">
      <alignment horizontal="left" indent="4"/>
    </xf>
    <xf numFmtId="0" fontId="3" fillId="0" borderId="116" xfId="5" applyNumberFormat="1" applyFont="1" applyBorder="1" applyAlignment="1">
      <alignment horizontal="left" indent="4"/>
    </xf>
    <xf numFmtId="0" fontId="17" fillId="0" borderId="44" xfId="5" applyNumberFormat="1" applyFont="1" applyBorder="1" applyAlignment="1"/>
    <xf numFmtId="0" fontId="15" fillId="0" borderId="47" xfId="5" applyNumberFormat="1" applyBorder="1" applyAlignment="1"/>
    <xf numFmtId="0" fontId="3" fillId="0" borderId="44" xfId="5" applyNumberFormat="1" applyFont="1" applyBorder="1" applyAlignment="1"/>
    <xf numFmtId="0" fontId="15" fillId="0" borderId="0" xfId="5"/>
    <xf numFmtId="0" fontId="17" fillId="0" borderId="78" xfId="5" applyNumberFormat="1" applyFont="1" applyBorder="1" applyAlignment="1"/>
    <xf numFmtId="0" fontId="15" fillId="0" borderId="127" xfId="5" applyNumberFormat="1" applyFont="1" applyBorder="1" applyAlignment="1"/>
    <xf numFmtId="0" fontId="15" fillId="0" borderId="8" xfId="5" applyNumberFormat="1" applyFont="1" applyBorder="1" applyAlignment="1"/>
    <xf numFmtId="0" fontId="15" fillId="0" borderId="0" xfId="5" applyNumberFormat="1" applyFont="1" applyBorder="1" applyAlignment="1"/>
    <xf numFmtId="0" fontId="15" fillId="0" borderId="73" xfId="5" applyNumberFormat="1" applyFont="1" applyBorder="1" applyAlignment="1"/>
    <xf numFmtId="0" fontId="15" fillId="0" borderId="74" xfId="5" applyNumberFormat="1" applyFont="1" applyBorder="1" applyAlignment="1"/>
    <xf numFmtId="0" fontId="3" fillId="0" borderId="78" xfId="5" applyNumberFormat="1" applyFont="1" applyBorder="1" applyAlignment="1">
      <alignment horizontal="center" vertical="center" wrapText="1"/>
    </xf>
    <xf numFmtId="0" fontId="15" fillId="0" borderId="127" xfId="5" applyNumberFormat="1" applyFont="1" applyBorder="1" applyAlignment="1">
      <alignment horizontal="center" vertical="center" wrapText="1"/>
    </xf>
    <xf numFmtId="0" fontId="15" fillId="0" borderId="117" xfId="5" applyNumberFormat="1" applyFont="1" applyBorder="1" applyAlignment="1">
      <alignment horizontal="center" vertical="center" wrapText="1"/>
    </xf>
    <xf numFmtId="0" fontId="15" fillId="0" borderId="7" xfId="5" applyNumberFormat="1" applyFont="1" applyBorder="1" applyAlignment="1">
      <alignment horizontal="center" vertical="center" wrapText="1"/>
    </xf>
    <xf numFmtId="0" fontId="15" fillId="0" borderId="3" xfId="5" applyNumberFormat="1" applyFont="1" applyBorder="1" applyAlignment="1">
      <alignment horizontal="center" vertical="center" wrapText="1"/>
    </xf>
    <xf numFmtId="0" fontId="15" fillId="0" borderId="4" xfId="5" applyNumberFormat="1" applyFont="1" applyBorder="1" applyAlignment="1">
      <alignment horizontal="center" vertical="center" wrapText="1"/>
    </xf>
    <xf numFmtId="0" fontId="3" fillId="0" borderId="78" xfId="5" applyNumberFormat="1" applyFont="1" applyBorder="1" applyAlignment="1">
      <alignment horizontal="center" vertical="center"/>
    </xf>
    <xf numFmtId="0" fontId="15" fillId="0" borderId="127" xfId="5" applyNumberFormat="1" applyFont="1" applyBorder="1" applyAlignment="1">
      <alignment vertical="center"/>
    </xf>
    <xf numFmtId="0" fontId="15" fillId="0" borderId="117" xfId="5" applyNumberFormat="1" applyFont="1" applyBorder="1" applyAlignment="1">
      <alignment vertical="center"/>
    </xf>
    <xf numFmtId="0" fontId="15" fillId="0" borderId="7" xfId="5" applyNumberFormat="1" applyFont="1" applyBorder="1" applyAlignment="1">
      <alignment vertical="center"/>
    </xf>
    <xf numFmtId="0" fontId="15" fillId="0" borderId="3" xfId="5" applyNumberFormat="1" applyFont="1" applyBorder="1" applyAlignment="1">
      <alignment vertical="center"/>
    </xf>
    <xf numFmtId="0" fontId="15" fillId="0" borderId="4" xfId="5" applyNumberFormat="1" applyFont="1" applyBorder="1" applyAlignment="1">
      <alignment vertical="center"/>
    </xf>
    <xf numFmtId="0" fontId="15" fillId="0" borderId="127" xfId="5" applyNumberFormat="1" applyFont="1" applyBorder="1" applyAlignment="1">
      <alignment vertical="center" wrapText="1"/>
    </xf>
    <xf numFmtId="0" fontId="15" fillId="0" borderId="7" xfId="5" applyNumberFormat="1" applyFont="1" applyBorder="1" applyAlignment="1">
      <alignment vertical="center" wrapText="1"/>
    </xf>
    <xf numFmtId="0" fontId="15" fillId="0" borderId="3" xfId="5" applyNumberFormat="1" applyFont="1" applyBorder="1" applyAlignment="1">
      <alignment vertical="center" wrapText="1"/>
    </xf>
    <xf numFmtId="0" fontId="3" fillId="0" borderId="111" xfId="5" applyNumberFormat="1" applyFont="1" applyBorder="1" applyAlignment="1">
      <alignment horizontal="center"/>
    </xf>
    <xf numFmtId="0" fontId="3" fillId="0" borderId="112" xfId="5" applyNumberFormat="1" applyFont="1" applyBorder="1" applyAlignment="1">
      <alignment horizontal="center"/>
    </xf>
    <xf numFmtId="0" fontId="3" fillId="0" borderId="11" xfId="5" applyNumberFormat="1" applyFont="1" applyBorder="1" applyAlignment="1"/>
    <xf numFmtId="0" fontId="3" fillId="0" borderId="80" xfId="5" applyNumberFormat="1" applyFont="1" applyBorder="1" applyAlignment="1"/>
    <xf numFmtId="0" fontId="3" fillId="0" borderId="13" xfId="5" applyNumberFormat="1" applyFont="1" applyBorder="1" applyAlignment="1">
      <alignment horizontal="left"/>
    </xf>
    <xf numFmtId="0" fontId="3" fillId="0" borderId="80" xfId="5" applyNumberFormat="1" applyFont="1" applyBorder="1" applyAlignment="1">
      <alignment horizontal="left"/>
    </xf>
    <xf numFmtId="0" fontId="3" fillId="0" borderId="116" xfId="5" applyNumberFormat="1" applyFont="1" applyBorder="1" applyAlignment="1">
      <alignment horizontal="left"/>
    </xf>
    <xf numFmtId="0" fontId="3" fillId="0" borderId="127" xfId="5" applyNumberFormat="1" applyFont="1" applyBorder="1" applyAlignment="1">
      <alignment horizontal="center"/>
    </xf>
    <xf numFmtId="0" fontId="3" fillId="0" borderId="117" xfId="5" applyNumberFormat="1" applyFont="1" applyBorder="1" applyAlignment="1">
      <alignment horizontal="center"/>
    </xf>
    <xf numFmtId="0" fontId="3" fillId="0" borderId="3" xfId="5" applyNumberFormat="1" applyFont="1" applyBorder="1" applyAlignment="1">
      <alignment horizontal="left"/>
    </xf>
    <xf numFmtId="0" fontId="3" fillId="0" borderId="4" xfId="5" applyNumberFormat="1" applyFont="1" applyBorder="1" applyAlignment="1">
      <alignment horizontal="left"/>
    </xf>
    <xf numFmtId="0" fontId="3" fillId="0" borderId="11" xfId="5" applyNumberFormat="1" applyFont="1" applyBorder="1" applyAlignment="1">
      <alignment horizontal="left"/>
    </xf>
    <xf numFmtId="0" fontId="3" fillId="0" borderId="12" xfId="5" applyNumberFormat="1" applyFont="1" applyBorder="1" applyAlignment="1">
      <alignment horizontal="left"/>
    </xf>
    <xf numFmtId="0" fontId="45" fillId="4" borderId="0" xfId="5" applyFont="1" applyFill="1" applyBorder="1" applyAlignment="1">
      <alignment vertical="top" wrapText="1"/>
    </xf>
    <xf numFmtId="0" fontId="15" fillId="4" borderId="0" xfId="5" applyFont="1" applyFill="1" applyBorder="1" applyAlignment="1">
      <alignment vertical="top" wrapText="1"/>
    </xf>
    <xf numFmtId="0" fontId="3" fillId="0" borderId="47" xfId="5" applyNumberFormat="1" applyFont="1" applyBorder="1" applyAlignment="1">
      <alignment horizontal="left"/>
    </xf>
    <xf numFmtId="0" fontId="3" fillId="0" borderId="20" xfId="5" applyNumberFormat="1" applyFont="1" applyBorder="1" applyAlignment="1">
      <alignment horizontal="left"/>
    </xf>
    <xf numFmtId="3" fontId="44" fillId="4" borderId="0" xfId="5" applyNumberFormat="1" applyFont="1" applyFill="1" applyAlignment="1">
      <alignment horizontal="center"/>
    </xf>
    <xf numFmtId="3" fontId="45" fillId="4" borderId="0" xfId="5" applyNumberFormat="1" applyFont="1" applyFill="1" applyAlignment="1">
      <alignment vertical="top" wrapText="1"/>
    </xf>
    <xf numFmtId="3" fontId="47" fillId="4" borderId="0" xfId="5" applyNumberFormat="1" applyFont="1" applyFill="1" applyAlignment="1">
      <alignment vertical="top" wrapText="1"/>
    </xf>
    <xf numFmtId="0" fontId="14" fillId="4" borderId="0" xfId="5" applyFont="1" applyFill="1" applyAlignment="1">
      <alignment vertical="top" wrapText="1"/>
    </xf>
    <xf numFmtId="0" fontId="34" fillId="0" borderId="0" xfId="15" applyFont="1" applyAlignment="1">
      <alignment horizontal="center"/>
    </xf>
    <xf numFmtId="0" fontId="63" fillId="0" borderId="0" xfId="5" applyFont="1" applyAlignment="1">
      <alignment horizontal="center"/>
    </xf>
    <xf numFmtId="3" fontId="18" fillId="0" borderId="0" xfId="5" applyNumberFormat="1" applyFont="1" applyAlignment="1"/>
    <xf numFmtId="0" fontId="64" fillId="0" borderId="0" xfId="5" applyFont="1" applyAlignment="1"/>
    <xf numFmtId="0" fontId="16" fillId="0" borderId="0" xfId="15" applyAlignment="1">
      <alignment horizontal="center"/>
    </xf>
    <xf numFmtId="0" fontId="33" fillId="0" borderId="0" xfId="15" applyFont="1" applyAlignment="1">
      <alignment horizontal="center"/>
    </xf>
    <xf numFmtId="3" fontId="34" fillId="0" borderId="0" xfId="15" applyNumberFormat="1" applyFont="1" applyAlignment="1">
      <alignment horizontal="center"/>
    </xf>
    <xf numFmtId="0" fontId="63" fillId="0" borderId="0" xfId="5" applyFont="1" applyBorder="1" applyAlignment="1">
      <alignment horizontal="center"/>
    </xf>
    <xf numFmtId="0" fontId="16" fillId="0" borderId="0" xfId="15" applyFont="1" applyAlignment="1">
      <alignment horizontal="center"/>
    </xf>
    <xf numFmtId="0" fontId="16" fillId="0" borderId="3" xfId="15" applyBorder="1" applyAlignment="1">
      <alignment horizontal="center"/>
    </xf>
    <xf numFmtId="0" fontId="23" fillId="0" borderId="2" xfId="15" applyFont="1" applyBorder="1" applyAlignment="1">
      <alignment wrapText="1"/>
    </xf>
    <xf numFmtId="0" fontId="15" fillId="0" borderId="6" xfId="5" applyBorder="1" applyAlignment="1">
      <alignment wrapText="1"/>
    </xf>
    <xf numFmtId="0" fontId="23" fillId="0" borderId="2" xfId="15" applyFont="1" applyBorder="1" applyAlignment="1">
      <alignment horizontal="center" wrapText="1"/>
    </xf>
    <xf numFmtId="0" fontId="15" fillId="0" borderId="5" xfId="5" applyBorder="1" applyAlignment="1">
      <alignment horizontal="center" wrapText="1"/>
    </xf>
    <xf numFmtId="0" fontId="23" fillId="0" borderId="44" xfId="15" applyFont="1" applyBorder="1" applyAlignment="1">
      <alignment horizontal="center"/>
    </xf>
    <xf numFmtId="0" fontId="15" fillId="0" borderId="47" xfId="5" applyBorder="1" applyAlignment="1">
      <alignment horizontal="center"/>
    </xf>
    <xf numFmtId="0" fontId="15" fillId="0" borderId="20" xfId="5" applyBorder="1" applyAlignment="1">
      <alignment horizontal="center"/>
    </xf>
    <xf numFmtId="0" fontId="15" fillId="4" borderId="0" xfId="15" applyFont="1" applyFill="1" applyAlignment="1">
      <alignment horizontal="left"/>
    </xf>
    <xf numFmtId="0" fontId="23" fillId="0" borderId="2" xfId="15" applyFont="1" applyBorder="1" applyAlignment="1"/>
    <xf numFmtId="0" fontId="15" fillId="0" borderId="5" xfId="5" applyBorder="1" applyAlignment="1"/>
    <xf numFmtId="0" fontId="15" fillId="4" borderId="0" xfId="15" applyFont="1" applyFill="1" applyAlignment="1">
      <alignment horizontal="left" wrapText="1"/>
    </xf>
    <xf numFmtId="0" fontId="15" fillId="4" borderId="0" xfId="5" applyFill="1" applyAlignment="1"/>
    <xf numFmtId="0" fontId="15" fillId="4" borderId="0" xfId="5" applyFill="1" applyBorder="1" applyAlignment="1"/>
    <xf numFmtId="0" fontId="18" fillId="0" borderId="0" xfId="16" applyFont="1" applyAlignment="1"/>
    <xf numFmtId="0" fontId="80" fillId="0" borderId="0" xfId="5" applyFont="1" applyBorder="1" applyAlignment="1"/>
    <xf numFmtId="0" fontId="17" fillId="0" borderId="0" xfId="16" applyFont="1" applyAlignment="1">
      <alignment horizontal="center"/>
    </xf>
    <xf numFmtId="3" fontId="17" fillId="0" borderId="0" xfId="16" applyNumberFormat="1" applyFont="1" applyAlignment="1">
      <alignment horizontal="center"/>
    </xf>
    <xf numFmtId="0" fontId="9" fillId="0" borderId="0" xfId="16" applyFont="1" applyAlignment="1">
      <alignment horizontal="center"/>
    </xf>
    <xf numFmtId="0" fontId="16" fillId="7" borderId="0" xfId="5" applyFont="1" applyFill="1" applyBorder="1" applyAlignment="1">
      <alignment vertical="top" wrapText="1"/>
    </xf>
    <xf numFmtId="0" fontId="15" fillId="7" borderId="0" xfId="5" applyFill="1" applyBorder="1" applyAlignment="1">
      <alignment vertical="top" wrapText="1"/>
    </xf>
    <xf numFmtId="0" fontId="83" fillId="0" borderId="0" xfId="5" applyFont="1" applyFill="1" applyBorder="1" applyAlignment="1">
      <alignment vertical="top" wrapText="1"/>
    </xf>
    <xf numFmtId="0" fontId="15" fillId="0" borderId="0" xfId="5" applyFill="1" applyBorder="1" applyAlignment="1">
      <alignment vertical="top" wrapText="1"/>
    </xf>
    <xf numFmtId="0" fontId="15" fillId="0" borderId="0" xfId="5" applyFill="1" applyBorder="1" applyAlignment="1">
      <alignment wrapText="1"/>
    </xf>
    <xf numFmtId="0" fontId="23" fillId="0" borderId="7" xfId="16" applyFont="1" applyFill="1" applyBorder="1" applyAlignment="1">
      <alignment horizontal="center"/>
    </xf>
    <xf numFmtId="0" fontId="23" fillId="0" borderId="4" xfId="16" applyFont="1" applyFill="1" applyBorder="1" applyAlignment="1">
      <alignment horizontal="center"/>
    </xf>
    <xf numFmtId="0" fontId="23" fillId="0" borderId="44" xfId="16" applyFont="1" applyFill="1" applyBorder="1" applyAlignment="1">
      <alignment horizontal="center"/>
    </xf>
    <xf numFmtId="0" fontId="23" fillId="0" borderId="127" xfId="16" applyFont="1" applyFill="1" applyBorder="1" applyAlignment="1"/>
    <xf numFmtId="0" fontId="9" fillId="0" borderId="3" xfId="16" applyFont="1" applyFill="1" applyBorder="1" applyAlignment="1"/>
    <xf numFmtId="0" fontId="22" fillId="7" borderId="0" xfId="16" applyFont="1" applyFill="1" applyAlignment="1">
      <alignment horizontal="center"/>
    </xf>
    <xf numFmtId="0" fontId="16" fillId="7" borderId="0" xfId="16" applyFont="1" applyFill="1" applyAlignment="1">
      <alignment vertical="top" wrapText="1"/>
    </xf>
    <xf numFmtId="0" fontId="15" fillId="7" borderId="0" xfId="5" applyFill="1" applyAlignment="1">
      <alignment vertical="top" wrapText="1"/>
    </xf>
    <xf numFmtId="0" fontId="16" fillId="7" borderId="0" xfId="5" applyFont="1" applyFill="1" applyBorder="1" applyAlignment="1"/>
    <xf numFmtId="0" fontId="15" fillId="7" borderId="0" xfId="5" applyFill="1" applyBorder="1" applyAlignment="1"/>
    <xf numFmtId="0" fontId="72" fillId="0" borderId="128" xfId="16" applyFont="1" applyFill="1" applyBorder="1" applyAlignment="1">
      <alignment horizontal="center" vertical="center" wrapText="1"/>
    </xf>
    <xf numFmtId="0" fontId="15" fillId="0" borderId="129" xfId="5" applyBorder="1" applyAlignment="1">
      <alignment horizontal="center" vertical="center" wrapText="1"/>
    </xf>
    <xf numFmtId="0" fontId="15" fillId="0" borderId="7" xfId="5" applyBorder="1" applyAlignment="1">
      <alignment vertical="center" wrapText="1"/>
    </xf>
    <xf numFmtId="0" fontId="15" fillId="0" borderId="4" xfId="5" applyBorder="1" applyAlignment="1">
      <alignment vertical="center" wrapText="1"/>
    </xf>
    <xf numFmtId="0" fontId="15" fillId="0" borderId="7" xfId="5" applyBorder="1" applyAlignment="1">
      <alignment horizontal="center" vertical="center" wrapText="1"/>
    </xf>
    <xf numFmtId="0" fontId="15" fillId="0" borderId="4" xfId="5" applyBorder="1" applyAlignment="1">
      <alignment horizontal="center" vertical="center" wrapText="1"/>
    </xf>
    <xf numFmtId="1" fontId="23" fillId="0" borderId="128" xfId="16" applyNumberFormat="1" applyFont="1" applyFill="1" applyBorder="1" applyAlignment="1">
      <alignment horizontal="center" vertical="center" wrapText="1"/>
    </xf>
    <xf numFmtId="1" fontId="23" fillId="0" borderId="130" xfId="16" applyNumberFormat="1" applyFont="1" applyFill="1" applyBorder="1" applyAlignment="1">
      <alignment horizontal="center" vertical="center" wrapText="1"/>
    </xf>
    <xf numFmtId="0" fontId="15" fillId="0" borderId="131" xfId="5" applyBorder="1" applyAlignment="1">
      <alignment horizontal="center" vertical="center" wrapText="1"/>
    </xf>
    <xf numFmtId="0" fontId="15" fillId="0" borderId="132" xfId="5" applyBorder="1" applyAlignment="1">
      <alignment horizontal="center" vertical="center" wrapText="1"/>
    </xf>
    <xf numFmtId="165" fontId="9" fillId="0" borderId="0" xfId="5" applyNumberFormat="1" applyFont="1" applyAlignment="1">
      <alignment horizontal="center"/>
    </xf>
    <xf numFmtId="0" fontId="3" fillId="0" borderId="0" xfId="5" applyFont="1" applyBorder="1" applyAlignment="1">
      <alignment horizontal="center"/>
    </xf>
    <xf numFmtId="165" fontId="3" fillId="0" borderId="0" xfId="5" applyNumberFormat="1" applyFont="1" applyAlignment="1">
      <alignment horizontal="center"/>
    </xf>
    <xf numFmtId="165" fontId="10" fillId="0" borderId="0" xfId="5" applyNumberFormat="1" applyFont="1" applyAlignment="1">
      <alignment horizontal="center"/>
    </xf>
    <xf numFmtId="0" fontId="3" fillId="0" borderId="0" xfId="5" applyFont="1" applyAlignment="1">
      <alignment horizontal="center"/>
    </xf>
    <xf numFmtId="165" fontId="12" fillId="0" borderId="0" xfId="5" applyNumberFormat="1" applyFont="1" applyAlignment="1">
      <alignment horizontal="center"/>
    </xf>
    <xf numFmtId="165" fontId="3" fillId="0" borderId="3" xfId="5" applyNumberFormat="1" applyFont="1" applyBorder="1" applyAlignment="1">
      <alignment horizontal="center"/>
    </xf>
    <xf numFmtId="0" fontId="17" fillId="0" borderId="78" xfId="5" applyNumberFormat="1" applyFont="1" applyBorder="1" applyAlignment="1">
      <alignment horizontal="center"/>
    </xf>
    <xf numFmtId="0" fontId="17" fillId="0" borderId="8" xfId="5" applyNumberFormat="1" applyFont="1" applyBorder="1" applyAlignment="1">
      <alignment horizontal="center"/>
    </xf>
    <xf numFmtId="0" fontId="17" fillId="0" borderId="73" xfId="5" applyNumberFormat="1" applyFont="1" applyBorder="1" applyAlignment="1">
      <alignment horizontal="center"/>
    </xf>
    <xf numFmtId="0" fontId="17" fillId="0" borderId="78" xfId="5" applyNumberFormat="1" applyFont="1" applyBorder="1" applyAlignment="1">
      <alignment horizontal="center" vertical="center" wrapText="1"/>
    </xf>
    <xf numFmtId="0" fontId="3" fillId="0" borderId="127" xfId="5" applyNumberFormat="1" applyFont="1" applyBorder="1" applyAlignment="1">
      <alignment horizontal="center" vertical="center" wrapText="1"/>
    </xf>
    <xf numFmtId="0" fontId="3" fillId="0" borderId="117" xfId="5" applyNumberFormat="1" applyFont="1" applyBorder="1" applyAlignment="1">
      <alignment horizontal="center" vertical="center" wrapText="1"/>
    </xf>
    <xf numFmtId="0" fontId="3" fillId="0" borderId="8" xfId="5" applyNumberFormat="1" applyFont="1" applyBorder="1" applyAlignment="1">
      <alignment horizontal="center" vertical="center" wrapText="1"/>
    </xf>
    <xf numFmtId="0" fontId="3" fillId="0" borderId="0" xfId="5" applyNumberFormat="1" applyFont="1" applyBorder="1" applyAlignment="1">
      <alignment horizontal="center" vertical="center" wrapText="1"/>
    </xf>
    <xf numFmtId="0" fontId="3" fillId="0" borderId="46" xfId="5" applyNumberFormat="1" applyFont="1" applyBorder="1" applyAlignment="1">
      <alignment horizontal="center" vertical="center" wrapText="1"/>
    </xf>
    <xf numFmtId="0" fontId="17" fillId="0" borderId="78" xfId="5" applyNumberFormat="1" applyFont="1" applyBorder="1" applyAlignment="1">
      <alignment horizontal="center" vertical="center"/>
    </xf>
    <xf numFmtId="0" fontId="3" fillId="0" borderId="127" xfId="5" applyNumberFormat="1" applyFont="1" applyBorder="1" applyAlignment="1">
      <alignment horizontal="center" vertical="center"/>
    </xf>
    <xf numFmtId="0" fontId="3" fillId="0" borderId="117" xfId="5" applyNumberFormat="1" applyFont="1" applyBorder="1" applyAlignment="1">
      <alignment horizontal="center" vertical="center"/>
    </xf>
    <xf numFmtId="0" fontId="3" fillId="0" borderId="8" xfId="5" applyNumberFormat="1" applyFont="1" applyBorder="1" applyAlignment="1">
      <alignment horizontal="center" vertical="center"/>
    </xf>
    <xf numFmtId="0" fontId="3" fillId="0" borderId="0" xfId="5" applyNumberFormat="1" applyFont="1" applyBorder="1" applyAlignment="1">
      <alignment horizontal="center" vertical="center"/>
    </xf>
    <xf numFmtId="0" fontId="3" fillId="0" borderId="46" xfId="5" applyNumberFormat="1" applyFont="1" applyBorder="1" applyAlignment="1">
      <alignment horizontal="center" vertical="center"/>
    </xf>
    <xf numFmtId="0" fontId="17" fillId="0" borderId="2" xfId="5" applyNumberFormat="1" applyFont="1" applyBorder="1" applyAlignment="1">
      <alignment horizontal="center" vertical="center" wrapText="1"/>
    </xf>
    <xf numFmtId="0" fontId="17" fillId="0" borderId="6" xfId="5" applyNumberFormat="1" applyFont="1" applyBorder="1" applyAlignment="1">
      <alignment horizontal="center" vertical="center" wrapText="1"/>
    </xf>
    <xf numFmtId="165" fontId="14" fillId="0" borderId="0" xfId="5" applyNumberFormat="1" applyFont="1" applyAlignment="1">
      <alignment wrapText="1"/>
    </xf>
    <xf numFmtId="0" fontId="15" fillId="0" borderId="0" xfId="5" applyFont="1" applyAlignment="1">
      <alignment wrapText="1"/>
    </xf>
    <xf numFmtId="165" fontId="22" fillId="4" borderId="0" xfId="5" applyNumberFormat="1" applyFont="1" applyFill="1" applyAlignment="1">
      <alignment horizontal="center" wrapText="1"/>
    </xf>
    <xf numFmtId="165" fontId="15" fillId="4" borderId="0" xfId="5" applyNumberFormat="1" applyFont="1" applyFill="1" applyAlignment="1">
      <alignment wrapText="1"/>
    </xf>
    <xf numFmtId="0" fontId="15" fillId="0" borderId="0" xfId="5" applyFont="1" applyBorder="1" applyAlignment="1">
      <alignment wrapText="1"/>
    </xf>
    <xf numFmtId="0" fontId="15" fillId="4" borderId="0" xfId="5" applyFont="1" applyFill="1" applyBorder="1" applyAlignment="1">
      <alignment wrapText="1"/>
    </xf>
    <xf numFmtId="0" fontId="17" fillId="0" borderId="117" xfId="5" applyNumberFormat="1" applyFont="1" applyBorder="1" applyAlignment="1">
      <alignment horizontal="center" vertical="center" wrapText="1"/>
    </xf>
    <xf numFmtId="0" fontId="17" fillId="0" borderId="46" xfId="5" applyNumberFormat="1" applyFont="1" applyBorder="1" applyAlignment="1">
      <alignment horizontal="center" vertical="center" wrapText="1"/>
    </xf>
    <xf numFmtId="0" fontId="3" fillId="0" borderId="78" xfId="5" applyNumberFormat="1" applyFont="1" applyBorder="1" applyAlignment="1">
      <alignment horizontal="center"/>
    </xf>
    <xf numFmtId="0" fontId="3" fillId="0" borderId="0" xfId="5" applyNumberFormat="1" applyFont="1" applyAlignment="1"/>
    <xf numFmtId="0" fontId="10" fillId="0" borderId="0" xfId="5" applyNumberFormat="1" applyFont="1" applyAlignment="1">
      <alignment horizontal="center"/>
    </xf>
    <xf numFmtId="0" fontId="3" fillId="0" borderId="0" xfId="5" applyNumberFormat="1" applyFont="1" applyAlignment="1">
      <alignment horizontal="center"/>
    </xf>
    <xf numFmtId="0" fontId="12" fillId="0" borderId="0" xfId="5" applyNumberFormat="1" applyFont="1" applyAlignment="1">
      <alignment horizontal="center"/>
    </xf>
    <xf numFmtId="0" fontId="3" fillId="0" borderId="0" xfId="5" applyNumberFormat="1" applyFont="1" applyBorder="1" applyAlignment="1">
      <alignment horizontal="center"/>
    </xf>
    <xf numFmtId="0" fontId="9" fillId="0" borderId="0" xfId="5" applyNumberFormat="1" applyFont="1" applyAlignment="1">
      <alignment horizontal="center"/>
    </xf>
    <xf numFmtId="0" fontId="3" fillId="0" borderId="127" xfId="5" applyNumberFormat="1" applyFont="1" applyBorder="1" applyAlignment="1"/>
    <xf numFmtId="0" fontId="3" fillId="0" borderId="73" xfId="5" applyNumberFormat="1" applyFont="1" applyBorder="1" applyAlignment="1"/>
    <xf numFmtId="0" fontId="3" fillId="0" borderId="74" xfId="5" applyNumberFormat="1" applyFont="1" applyBorder="1" applyAlignment="1"/>
    <xf numFmtId="0" fontId="17" fillId="0" borderId="44" xfId="5" applyNumberFormat="1" applyFont="1" applyBorder="1" applyAlignment="1">
      <alignment horizontal="center"/>
    </xf>
    <xf numFmtId="0" fontId="3" fillId="0" borderId="47" xfId="5" applyNumberFormat="1" applyFont="1" applyBorder="1" applyAlignment="1">
      <alignment horizontal="center"/>
    </xf>
    <xf numFmtId="0" fontId="3" fillId="0" borderId="20" xfId="5" applyNumberFormat="1" applyFont="1" applyBorder="1" applyAlignment="1">
      <alignment horizontal="center"/>
    </xf>
    <xf numFmtId="0" fontId="3" fillId="0" borderId="76" xfId="5" applyNumberFormat="1" applyFont="1" applyBorder="1" applyAlignment="1">
      <alignment horizontal="left"/>
    </xf>
    <xf numFmtId="0" fontId="3" fillId="0" borderId="115" xfId="5" applyNumberFormat="1" applyFont="1" applyBorder="1" applyAlignment="1">
      <alignment horizontal="left"/>
    </xf>
    <xf numFmtId="0" fontId="3" fillId="0" borderId="53" xfId="5" applyNumberFormat="1" applyFont="1" applyBorder="1" applyAlignment="1">
      <alignment horizontal="left"/>
    </xf>
    <xf numFmtId="0" fontId="3" fillId="0" borderId="55" xfId="5" applyNumberFormat="1" applyFont="1" applyBorder="1" applyAlignment="1">
      <alignment horizontal="left"/>
    </xf>
    <xf numFmtId="165" fontId="27" fillId="4" borderId="0" xfId="5" applyNumberFormat="1" applyFont="1" applyFill="1" applyAlignment="1">
      <alignment vertical="top" wrapText="1"/>
    </xf>
    <xf numFmtId="165" fontId="27" fillId="4" borderId="0" xfId="5" applyNumberFormat="1" applyFont="1" applyFill="1" applyBorder="1" applyAlignment="1">
      <alignment vertical="top" wrapText="1"/>
    </xf>
    <xf numFmtId="0" fontId="17" fillId="0" borderId="7" xfId="5" applyNumberFormat="1" applyFont="1" applyBorder="1" applyAlignment="1">
      <alignment horizontal="left" indent="5"/>
    </xf>
    <xf numFmtId="0" fontId="17" fillId="0" borderId="4" xfId="5" applyNumberFormat="1" applyFont="1" applyBorder="1" applyAlignment="1">
      <alignment horizontal="left" indent="5"/>
    </xf>
    <xf numFmtId="165" fontId="51" fillId="0" borderId="0" xfId="5" applyNumberFormat="1" applyFont="1" applyAlignment="1">
      <alignment horizontal="center"/>
    </xf>
    <xf numFmtId="0" fontId="51" fillId="0" borderId="0" xfId="5" applyFont="1" applyBorder="1" applyAlignment="1">
      <alignment horizontal="center"/>
    </xf>
    <xf numFmtId="0" fontId="27" fillId="4" borderId="0" xfId="5" applyFont="1" applyFill="1" applyBorder="1" applyAlignment="1">
      <alignment vertical="top" wrapText="1"/>
    </xf>
    <xf numFmtId="0" fontId="27" fillId="4" borderId="0" xfId="5" applyFont="1" applyFill="1" applyBorder="1" applyAlignment="1">
      <alignment wrapText="1"/>
    </xf>
    <xf numFmtId="0" fontId="35" fillId="2" borderId="78" xfId="5" applyNumberFormat="1" applyFont="1" applyFill="1" applyBorder="1" applyAlignment="1">
      <alignment horizontal="center" wrapText="1"/>
    </xf>
    <xf numFmtId="0" fontId="35" fillId="2" borderId="117" xfId="5" applyNumberFormat="1" applyFont="1" applyFill="1" applyBorder="1" applyAlignment="1">
      <alignment horizontal="center" wrapText="1"/>
    </xf>
    <xf numFmtId="0" fontId="35" fillId="2" borderId="121" xfId="5" applyNumberFormat="1" applyFont="1" applyFill="1" applyBorder="1" applyAlignment="1">
      <alignment horizontal="center" wrapText="1"/>
    </xf>
    <xf numFmtId="0" fontId="35" fillId="2" borderId="164" xfId="5" applyNumberFormat="1" applyFont="1" applyFill="1" applyBorder="1" applyAlignment="1">
      <alignment horizontal="center" wrapText="1"/>
    </xf>
    <xf numFmtId="0" fontId="10" fillId="0" borderId="44" xfId="5" applyNumberFormat="1" applyFont="1" applyBorder="1" applyAlignment="1">
      <alignment horizontal="center"/>
    </xf>
    <xf numFmtId="0" fontId="10" fillId="0" borderId="47" xfId="5" applyNumberFormat="1" applyFont="1" applyBorder="1" applyAlignment="1">
      <alignment horizontal="center"/>
    </xf>
    <xf numFmtId="0" fontId="10" fillId="0" borderId="20" xfId="5" applyNumberFormat="1" applyFont="1" applyBorder="1" applyAlignment="1">
      <alignment horizontal="center"/>
    </xf>
    <xf numFmtId="3" fontId="54" fillId="2" borderId="44" xfId="5" applyNumberFormat="1" applyFont="1" applyFill="1" applyBorder="1" applyAlignment="1">
      <alignment horizontal="center"/>
    </xf>
    <xf numFmtId="3" fontId="54" fillId="2" borderId="47" xfId="5" applyNumberFormat="1" applyFont="1" applyFill="1" applyBorder="1" applyAlignment="1">
      <alignment horizontal="center"/>
    </xf>
    <xf numFmtId="3" fontId="54" fillId="2" borderId="78" xfId="5" applyNumberFormat="1" applyFont="1" applyFill="1" applyBorder="1" applyAlignment="1">
      <alignment horizontal="center"/>
    </xf>
    <xf numFmtId="3" fontId="54" fillId="2" borderId="8" xfId="5" applyNumberFormat="1" applyFont="1" applyFill="1" applyBorder="1" applyAlignment="1">
      <alignment horizontal="center"/>
    </xf>
    <xf numFmtId="3" fontId="54" fillId="2" borderId="73" xfId="5" applyNumberFormat="1" applyFont="1" applyFill="1" applyBorder="1" applyAlignment="1">
      <alignment horizontal="center"/>
    </xf>
    <xf numFmtId="3" fontId="35" fillId="2" borderId="48" xfId="5" applyNumberFormat="1" applyFont="1" applyFill="1" applyBorder="1" applyAlignment="1">
      <alignment horizontal="center"/>
    </xf>
    <xf numFmtId="0" fontId="35" fillId="2" borderId="145" xfId="5" applyNumberFormat="1" applyFont="1" applyFill="1" applyBorder="1" applyAlignment="1">
      <alignment horizontal="center" wrapText="1"/>
    </xf>
    <xf numFmtId="0" fontId="24" fillId="0" borderId="29" xfId="5" applyNumberFormat="1" applyFont="1" applyBorder="1" applyAlignment="1">
      <alignment horizontal="center" wrapText="1"/>
    </xf>
    <xf numFmtId="0" fontId="35" fillId="2" borderId="161" xfId="5" applyNumberFormat="1" applyFont="1" applyFill="1" applyBorder="1" applyAlignment="1">
      <alignment horizontal="center" wrapText="1"/>
    </xf>
    <xf numFmtId="0" fontId="24" fillId="0" borderId="163" xfId="5" applyNumberFormat="1" applyFont="1" applyBorder="1" applyAlignment="1">
      <alignment horizontal="center" wrapText="1"/>
    </xf>
    <xf numFmtId="0" fontId="24" fillId="0" borderId="164" xfId="5" applyNumberFormat="1" applyFont="1" applyBorder="1" applyAlignment="1">
      <alignment horizontal="center" wrapText="1"/>
    </xf>
    <xf numFmtId="0" fontId="3" fillId="0" borderId="158" xfId="5" applyNumberFormat="1" applyFont="1" applyBorder="1" applyAlignment="1">
      <alignment wrapText="1"/>
    </xf>
    <xf numFmtId="0" fontId="3" fillId="0" borderId="149" xfId="5" applyNumberFormat="1" applyFont="1" applyBorder="1" applyAlignment="1">
      <alignment wrapText="1"/>
    </xf>
    <xf numFmtId="0" fontId="24" fillId="0" borderId="122" xfId="5" applyNumberFormat="1" applyFont="1" applyBorder="1" applyAlignment="1">
      <alignment horizontal="center" wrapText="1"/>
    </xf>
    <xf numFmtId="3" fontId="7" fillId="2" borderId="0" xfId="5" applyNumberFormat="1" applyFont="1" applyFill="1" applyAlignment="1">
      <alignment horizontal="center"/>
    </xf>
    <xf numFmtId="0" fontId="35" fillId="2" borderId="28" xfId="5" applyNumberFormat="1" applyFont="1" applyFill="1" applyBorder="1" applyAlignment="1">
      <alignment horizontal="center" wrapText="1"/>
    </xf>
    <xf numFmtId="0" fontId="35" fillId="2" borderId="0" xfId="5" applyNumberFormat="1" applyFont="1" applyFill="1" applyBorder="1" applyAlignment="1">
      <alignment horizontal="center" wrapText="1"/>
    </xf>
    <xf numFmtId="3" fontId="54" fillId="2" borderId="3" xfId="5" applyNumberFormat="1" applyFont="1" applyFill="1" applyBorder="1" applyAlignment="1">
      <alignment horizontal="center"/>
    </xf>
    <xf numFmtId="3" fontId="35" fillId="2" borderId="44" xfId="5" applyNumberFormat="1" applyFont="1" applyFill="1" applyBorder="1" applyAlignment="1">
      <alignment horizontal="center"/>
    </xf>
    <xf numFmtId="3" fontId="35" fillId="2" borderId="20" xfId="5" applyNumberFormat="1" applyFont="1" applyFill="1" applyBorder="1" applyAlignment="1">
      <alignment horizontal="center"/>
    </xf>
    <xf numFmtId="0" fontId="22" fillId="4" borderId="0" xfId="5" applyFont="1" applyFill="1" applyBorder="1" applyAlignment="1">
      <alignment horizontal="center"/>
    </xf>
    <xf numFmtId="0" fontId="35" fillId="2" borderId="162" xfId="5" applyNumberFormat="1" applyFont="1" applyFill="1" applyBorder="1" applyAlignment="1">
      <alignment horizontal="center" wrapText="1"/>
    </xf>
    <xf numFmtId="0" fontId="35" fillId="2" borderId="163" xfId="5" applyNumberFormat="1" applyFont="1" applyFill="1" applyBorder="1" applyAlignment="1">
      <alignment horizontal="center" wrapText="1"/>
    </xf>
    <xf numFmtId="0" fontId="9" fillId="0" borderId="0" xfId="5" applyNumberFormat="1" applyFont="1" applyBorder="1" applyAlignment="1">
      <alignment horizontal="center"/>
    </xf>
    <xf numFmtId="0" fontId="15" fillId="0" borderId="0" xfId="5" applyNumberFormat="1" applyBorder="1" applyAlignment="1"/>
    <xf numFmtId="3" fontId="18" fillId="0" borderId="0" xfId="5" applyNumberFormat="1" applyFont="1" applyBorder="1" applyAlignment="1"/>
    <xf numFmtId="0" fontId="15" fillId="0" borderId="0" xfId="5" applyBorder="1" applyAlignment="1"/>
    <xf numFmtId="0" fontId="10" fillId="0" borderId="0" xfId="5" applyNumberFormat="1" applyFont="1" applyBorder="1" applyAlignment="1">
      <alignment horizontal="center"/>
    </xf>
    <xf numFmtId="0" fontId="12" fillId="0" borderId="0" xfId="5" applyNumberFormat="1" applyFont="1" applyBorder="1" applyAlignment="1">
      <alignment horizontal="center"/>
    </xf>
    <xf numFmtId="165" fontId="15" fillId="4" borderId="0" xfId="5" applyNumberFormat="1" applyFont="1" applyFill="1" applyBorder="1" applyAlignment="1">
      <alignment vertical="top" wrapText="1"/>
    </xf>
    <xf numFmtId="0" fontId="15" fillId="0" borderId="0" xfId="5" applyFont="1" applyBorder="1" applyAlignment="1">
      <alignment vertical="top" wrapText="1"/>
    </xf>
    <xf numFmtId="0" fontId="7" fillId="2" borderId="78" xfId="5" applyNumberFormat="1" applyFont="1" applyFill="1" applyBorder="1" applyAlignment="1"/>
    <xf numFmtId="0" fontId="15" fillId="0" borderId="73" xfId="5" applyNumberFormat="1" applyBorder="1" applyAlignment="1"/>
    <xf numFmtId="0" fontId="28" fillId="2" borderId="44" xfId="5" applyNumberFormat="1" applyFont="1" applyFill="1" applyBorder="1" applyAlignment="1">
      <alignment horizontal="center" vertical="center" wrapText="1"/>
    </xf>
    <xf numFmtId="0" fontId="15" fillId="0" borderId="47" xfId="5" applyNumberFormat="1" applyBorder="1" applyAlignment="1">
      <alignment horizontal="center" vertical="center" wrapText="1"/>
    </xf>
    <xf numFmtId="0" fontId="23" fillId="0" borderId="44" xfId="5" applyNumberFormat="1" applyFont="1" applyBorder="1" applyAlignment="1">
      <alignment horizontal="center" vertical="center" wrapText="1"/>
    </xf>
    <xf numFmtId="0" fontId="23" fillId="0" borderId="20" xfId="5" applyNumberFormat="1" applyFont="1" applyBorder="1" applyAlignment="1">
      <alignment horizontal="center" vertical="center" wrapText="1"/>
    </xf>
    <xf numFmtId="0" fontId="28" fillId="2" borderId="44" xfId="5" applyNumberFormat="1" applyFont="1" applyFill="1" applyBorder="1" applyAlignment="1">
      <alignment horizontal="center" vertical="center"/>
    </xf>
    <xf numFmtId="0" fontId="28" fillId="2" borderId="20" xfId="5" applyNumberFormat="1" applyFont="1" applyFill="1" applyBorder="1" applyAlignment="1">
      <alignment horizontal="center" vertical="center"/>
    </xf>
    <xf numFmtId="0" fontId="15" fillId="0" borderId="20" xfId="5" applyNumberFormat="1" applyBorder="1" applyAlignment="1">
      <alignment horizontal="center" vertical="center"/>
    </xf>
    <xf numFmtId="165" fontId="51" fillId="0" borderId="0" xfId="5" applyNumberFormat="1" applyFont="1" applyBorder="1" applyAlignment="1">
      <alignment horizontal="center"/>
    </xf>
    <xf numFmtId="0" fontId="50" fillId="0" borderId="0" xfId="5" applyFont="1" applyBorder="1" applyAlignment="1">
      <alignment horizontal="center"/>
    </xf>
    <xf numFmtId="165" fontId="22" fillId="4" borderId="0" xfId="5" applyNumberFormat="1" applyFont="1" applyFill="1" applyBorder="1" applyAlignment="1">
      <alignment horizontal="center"/>
    </xf>
    <xf numFmtId="0" fontId="22" fillId="4" borderId="0" xfId="5" applyFont="1" applyFill="1" applyBorder="1" applyAlignment="1">
      <alignment vertical="top" wrapText="1"/>
    </xf>
    <xf numFmtId="0" fontId="22" fillId="0" borderId="0" xfId="5" applyFont="1" applyBorder="1" applyAlignment="1">
      <alignment vertical="top" wrapText="1"/>
    </xf>
    <xf numFmtId="0" fontId="15" fillId="4" borderId="0" xfId="5" applyFill="1" applyBorder="1" applyAlignment="1">
      <alignment vertical="top" wrapText="1"/>
    </xf>
    <xf numFmtId="0" fontId="15" fillId="4" borderId="0" xfId="5" applyNumberFormat="1" applyFont="1" applyFill="1" applyBorder="1" applyAlignment="1">
      <alignment vertical="top" wrapText="1"/>
    </xf>
    <xf numFmtId="0" fontId="15" fillId="0" borderId="0" xfId="5" applyNumberFormat="1" applyFont="1" applyBorder="1" applyAlignment="1">
      <alignment vertical="top" wrapText="1"/>
    </xf>
    <xf numFmtId="0" fontId="15" fillId="0" borderId="80" xfId="5" applyNumberFormat="1" applyFill="1" applyBorder="1" applyAlignment="1">
      <alignment horizontal="left" indent="4"/>
    </xf>
    <xf numFmtId="0" fontId="3" fillId="0" borderId="13" xfId="5" applyNumberFormat="1" applyFont="1" applyFill="1" applyBorder="1" applyAlignment="1"/>
    <xf numFmtId="0" fontId="15" fillId="0" borderId="80" xfId="5" applyNumberFormat="1" applyFill="1" applyBorder="1" applyAlignment="1"/>
    <xf numFmtId="0" fontId="3" fillId="0" borderId="13" xfId="5" applyNumberFormat="1" applyFont="1" applyFill="1" applyBorder="1" applyAlignment="1">
      <alignment horizontal="left" indent="2"/>
    </xf>
    <xf numFmtId="0" fontId="3" fillId="0" borderId="80" xfId="5" applyNumberFormat="1" applyFont="1" applyFill="1" applyBorder="1" applyAlignment="1">
      <alignment horizontal="left" indent="2"/>
    </xf>
    <xf numFmtId="0" fontId="3" fillId="0" borderId="116" xfId="5" applyNumberFormat="1" applyFont="1" applyFill="1" applyBorder="1" applyAlignment="1">
      <alignment horizontal="left" indent="2"/>
    </xf>
    <xf numFmtId="0" fontId="17" fillId="0" borderId="118" xfId="5" applyNumberFormat="1" applyFont="1" applyFill="1" applyBorder="1" applyAlignment="1"/>
    <xf numFmtId="0" fontId="15" fillId="0" borderId="119" xfId="5" applyNumberFormat="1" applyFill="1" applyBorder="1" applyAlignment="1"/>
    <xf numFmtId="0" fontId="3" fillId="0" borderId="65" xfId="5" applyNumberFormat="1" applyFont="1" applyFill="1" applyBorder="1" applyAlignment="1">
      <alignment horizontal="left" indent="1"/>
    </xf>
    <xf numFmtId="0" fontId="15" fillId="0" borderId="123" xfId="5" applyNumberFormat="1" applyFill="1" applyBorder="1" applyAlignment="1">
      <alignment horizontal="left" indent="1"/>
    </xf>
    <xf numFmtId="0" fontId="15" fillId="0" borderId="151" xfId="5" applyNumberFormat="1" applyFill="1" applyBorder="1" applyAlignment="1">
      <alignment horizontal="left" indent="1"/>
    </xf>
    <xf numFmtId="0" fontId="3" fillId="0" borderId="13" xfId="5" applyNumberFormat="1" applyFont="1" applyFill="1" applyBorder="1" applyAlignment="1">
      <alignment horizontal="left" indent="1"/>
    </xf>
    <xf numFmtId="0" fontId="15" fillId="0" borderId="80" xfId="5" applyNumberFormat="1" applyFill="1" applyBorder="1" applyAlignment="1">
      <alignment horizontal="left" indent="1"/>
    </xf>
    <xf numFmtId="0" fontId="15" fillId="0" borderId="116" xfId="5" applyNumberFormat="1" applyFill="1" applyBorder="1" applyAlignment="1">
      <alignment horizontal="left" indent="1"/>
    </xf>
    <xf numFmtId="0" fontId="3" fillId="0" borderId="65" xfId="5" applyNumberFormat="1" applyFont="1" applyFill="1" applyBorder="1" applyAlignment="1"/>
    <xf numFmtId="0" fontId="15" fillId="0" borderId="123" xfId="5" applyNumberFormat="1" applyFill="1" applyBorder="1" applyAlignment="1"/>
    <xf numFmtId="0" fontId="17" fillId="0" borderId="121" xfId="5" applyNumberFormat="1" applyFont="1" applyFill="1" applyBorder="1" applyAlignment="1">
      <alignment horizontal="left" indent="2"/>
    </xf>
    <xf numFmtId="0" fontId="15" fillId="0" borderId="122" xfId="5" applyNumberFormat="1" applyFill="1" applyBorder="1" applyAlignment="1">
      <alignment horizontal="left" indent="2"/>
    </xf>
    <xf numFmtId="0" fontId="3" fillId="0" borderId="63" xfId="5" applyNumberFormat="1" applyFont="1" applyFill="1" applyBorder="1" applyAlignment="1"/>
    <xf numFmtId="0" fontId="15" fillId="0" borderId="124" xfId="5" applyNumberFormat="1" applyFill="1" applyBorder="1" applyAlignment="1"/>
    <xf numFmtId="0" fontId="17" fillId="0" borderId="125" xfId="5" applyNumberFormat="1" applyFont="1" applyFill="1" applyBorder="1" applyAlignment="1">
      <alignment horizontal="left" indent="2"/>
    </xf>
    <xf numFmtId="0" fontId="15" fillId="0" borderId="126" xfId="5" applyNumberFormat="1" applyFill="1" applyBorder="1" applyAlignment="1">
      <alignment horizontal="left" indent="2"/>
    </xf>
    <xf numFmtId="0" fontId="17" fillId="0" borderId="13" xfId="5" applyNumberFormat="1" applyFont="1" applyFill="1" applyBorder="1" applyAlignment="1">
      <alignment horizontal="left"/>
    </xf>
    <xf numFmtId="0" fontId="17" fillId="0" borderId="80" xfId="5" applyNumberFormat="1" applyFont="1" applyFill="1" applyBorder="1" applyAlignment="1">
      <alignment horizontal="left"/>
    </xf>
    <xf numFmtId="0" fontId="17" fillId="0" borderId="116" xfId="5" applyNumberFormat="1" applyFont="1" applyFill="1" applyBorder="1" applyAlignment="1">
      <alignment horizontal="left"/>
    </xf>
    <xf numFmtId="0" fontId="15" fillId="0" borderId="80" xfId="5" applyNumberFormat="1" applyFill="1" applyBorder="1" applyAlignment="1">
      <alignment horizontal="left" indent="2"/>
    </xf>
    <xf numFmtId="0" fontId="3" fillId="0" borderId="80" xfId="5" applyNumberFormat="1" applyFont="1" applyFill="1" applyBorder="1" applyAlignment="1">
      <alignment horizontal="left" indent="4"/>
    </xf>
    <xf numFmtId="0" fontId="3" fillId="0" borderId="116" xfId="5" applyNumberFormat="1" applyFont="1" applyFill="1" applyBorder="1" applyAlignment="1">
      <alignment horizontal="left" indent="4"/>
    </xf>
    <xf numFmtId="0" fontId="3" fillId="0" borderId="53" xfId="5" applyNumberFormat="1" applyFont="1" applyFill="1" applyBorder="1" applyAlignment="1">
      <alignment horizontal="left" indent="4"/>
    </xf>
    <xf numFmtId="0" fontId="15" fillId="0" borderId="54" xfId="5" applyNumberFormat="1" applyFill="1" applyBorder="1" applyAlignment="1">
      <alignment horizontal="left" indent="4"/>
    </xf>
    <xf numFmtId="0" fontId="3" fillId="0" borderId="77" xfId="5" applyNumberFormat="1" applyFont="1" applyBorder="1" applyAlignment="1">
      <alignment horizontal="left" indent="2"/>
    </xf>
    <xf numFmtId="0" fontId="15" fillId="0" borderId="168" xfId="5" applyNumberFormat="1" applyBorder="1" applyAlignment="1">
      <alignment horizontal="left" indent="2"/>
    </xf>
    <xf numFmtId="0" fontId="3" fillId="0" borderId="80" xfId="5" applyNumberFormat="1" applyFont="1" applyBorder="1" applyAlignment="1">
      <alignment wrapText="1"/>
    </xf>
    <xf numFmtId="0" fontId="3" fillId="0" borderId="116" xfId="5" applyNumberFormat="1" applyFont="1" applyBorder="1" applyAlignment="1">
      <alignment wrapText="1"/>
    </xf>
    <xf numFmtId="0" fontId="3" fillId="0" borderId="12" xfId="5" applyNumberFormat="1" applyFont="1" applyBorder="1" applyAlignment="1"/>
    <xf numFmtId="37" fontId="3" fillId="0" borderId="80" xfId="5" applyNumberFormat="1" applyFont="1" applyFill="1" applyBorder="1" applyAlignment="1">
      <alignment wrapText="1"/>
    </xf>
    <xf numFmtId="0" fontId="15" fillId="0" borderId="116" xfId="5" applyFont="1" applyBorder="1" applyAlignment="1"/>
    <xf numFmtId="0" fontId="15" fillId="0" borderId="0" xfId="5" applyNumberFormat="1" applyFont="1" applyAlignment="1">
      <alignment horizontal="center"/>
    </xf>
    <xf numFmtId="0" fontId="15" fillId="0" borderId="0" xfId="5" applyNumberFormat="1" applyFont="1" applyBorder="1" applyAlignment="1">
      <alignment horizontal="center"/>
    </xf>
    <xf numFmtId="0" fontId="80" fillId="0" borderId="0" xfId="15" applyFont="1" applyAlignment="1">
      <alignment horizontal="center"/>
    </xf>
    <xf numFmtId="0" fontId="80" fillId="0" borderId="0" xfId="5" applyFont="1" applyAlignment="1">
      <alignment horizontal="center"/>
    </xf>
    <xf numFmtId="3" fontId="18" fillId="0" borderId="0" xfId="5" applyNumberFormat="1" applyFont="1" applyAlignment="1">
      <alignment horizontal="left"/>
    </xf>
    <xf numFmtId="0" fontId="64" fillId="0" borderId="0" xfId="5" applyFont="1" applyAlignment="1">
      <alignment horizontal="left"/>
    </xf>
    <xf numFmtId="0" fontId="18" fillId="0" borderId="0" xfId="15" applyFont="1" applyAlignment="1">
      <alignment horizontal="center"/>
    </xf>
    <xf numFmtId="3" fontId="80" fillId="0" borderId="0" xfId="15" applyNumberFormat="1" applyFont="1" applyAlignment="1">
      <alignment horizontal="center"/>
    </xf>
    <xf numFmtId="0" fontId="80" fillId="0" borderId="0" xfId="5" applyFont="1" applyBorder="1" applyAlignment="1">
      <alignment horizontal="center"/>
    </xf>
    <xf numFmtId="0" fontId="9" fillId="0" borderId="5" xfId="5" applyFont="1" applyBorder="1" applyAlignment="1"/>
    <xf numFmtId="0" fontId="9" fillId="0" borderId="5" xfId="5" applyFont="1" applyBorder="1" applyAlignment="1">
      <alignment horizontal="center" wrapText="1"/>
    </xf>
    <xf numFmtId="0" fontId="23" fillId="0" borderId="44" xfId="15" applyFont="1" applyBorder="1" applyAlignment="1">
      <alignment horizontal="center" wrapText="1"/>
    </xf>
    <xf numFmtId="0" fontId="9" fillId="0" borderId="47" xfId="5" applyFont="1" applyBorder="1" applyAlignment="1">
      <alignment horizontal="center" wrapText="1"/>
    </xf>
    <xf numFmtId="0" fontId="9" fillId="0" borderId="20" xfId="5" applyFont="1" applyBorder="1" applyAlignment="1">
      <alignment horizontal="center" wrapText="1"/>
    </xf>
    <xf numFmtId="0" fontId="9" fillId="0" borderId="5" xfId="5" applyFont="1" applyBorder="1" applyAlignment="1">
      <alignment wrapText="1"/>
    </xf>
    <xf numFmtId="3" fontId="3" fillId="0" borderId="0" xfId="16" applyNumberFormat="1" applyFont="1" applyAlignment="1">
      <alignment horizontal="center"/>
    </xf>
    <xf numFmtId="0" fontId="15" fillId="0" borderId="0" xfId="5" applyFont="1" applyBorder="1" applyAlignment="1">
      <alignment horizontal="center"/>
    </xf>
    <xf numFmtId="165" fontId="24" fillId="0" borderId="0" xfId="5" applyNumberFormat="1" applyFont="1" applyAlignment="1">
      <alignment horizontal="center"/>
    </xf>
    <xf numFmtId="0" fontId="24" fillId="0" borderId="0" xfId="5" applyFont="1" applyBorder="1" applyAlignment="1">
      <alignment horizontal="center"/>
    </xf>
    <xf numFmtId="3" fontId="10" fillId="0" borderId="0" xfId="5" applyNumberFormat="1" applyFont="1" applyAlignment="1"/>
    <xf numFmtId="0" fontId="24" fillId="0" borderId="0" xfId="5" applyFont="1" applyAlignment="1"/>
    <xf numFmtId="0" fontId="24" fillId="0" borderId="0" xfId="5" applyFont="1" applyAlignment="1">
      <alignment horizontal="center"/>
    </xf>
    <xf numFmtId="165" fontId="24" fillId="0" borderId="3" xfId="5" applyNumberFormat="1" applyFont="1" applyBorder="1" applyAlignment="1">
      <alignment horizontal="center"/>
    </xf>
    <xf numFmtId="0" fontId="17" fillId="0" borderId="2" xfId="5" applyNumberFormat="1" applyFont="1" applyBorder="1" applyAlignment="1">
      <alignment horizontal="center"/>
    </xf>
    <xf numFmtId="0" fontId="17" fillId="0" borderId="6" xfId="5" applyNumberFormat="1" applyFont="1" applyBorder="1" applyAlignment="1">
      <alignment horizontal="center"/>
    </xf>
    <xf numFmtId="0" fontId="17" fillId="0" borderId="120" xfId="5" applyNumberFormat="1" applyFont="1" applyBorder="1" applyAlignment="1">
      <alignment horizontal="center"/>
    </xf>
    <xf numFmtId="0" fontId="17" fillId="0" borderId="2" xfId="5" applyNumberFormat="1" applyFont="1" applyFill="1" applyBorder="1" applyAlignment="1">
      <alignment horizontal="center" vertical="center" wrapText="1"/>
    </xf>
    <xf numFmtId="0" fontId="17" fillId="0" borderId="6" xfId="5" applyNumberFormat="1" applyFont="1" applyFill="1" applyBorder="1" applyAlignment="1">
      <alignment horizontal="center" vertical="center" wrapText="1"/>
    </xf>
    <xf numFmtId="0" fontId="17" fillId="0" borderId="78" xfId="5" applyNumberFormat="1" applyFont="1" applyFill="1" applyBorder="1" applyAlignment="1">
      <alignment horizontal="center" vertical="center"/>
    </xf>
    <xf numFmtId="0" fontId="3" fillId="0" borderId="127" xfId="5" applyNumberFormat="1" applyFont="1" applyFill="1" applyBorder="1" applyAlignment="1">
      <alignment horizontal="center" vertical="center"/>
    </xf>
    <xf numFmtId="0" fontId="3" fillId="0" borderId="117" xfId="5" applyNumberFormat="1" applyFont="1" applyFill="1" applyBorder="1" applyAlignment="1">
      <alignment horizontal="center" vertical="center"/>
    </xf>
    <xf numFmtId="0" fontId="3" fillId="0" borderId="8" xfId="5" applyNumberFormat="1" applyFont="1" applyFill="1" applyBorder="1" applyAlignment="1">
      <alignment horizontal="center" vertical="center"/>
    </xf>
    <xf numFmtId="0" fontId="3" fillId="0" borderId="0" xfId="5" applyNumberFormat="1" applyFont="1" applyFill="1" applyBorder="1" applyAlignment="1">
      <alignment horizontal="center" vertical="center"/>
    </xf>
    <xf numFmtId="0" fontId="3" fillId="0" borderId="46" xfId="5" applyNumberFormat="1" applyFont="1" applyFill="1" applyBorder="1" applyAlignment="1">
      <alignment horizontal="center" vertical="center"/>
    </xf>
    <xf numFmtId="0" fontId="17" fillId="0" borderId="78" xfId="5" applyNumberFormat="1" applyFont="1" applyFill="1" applyBorder="1" applyAlignment="1">
      <alignment horizontal="center" vertical="center" wrapText="1"/>
    </xf>
    <xf numFmtId="0" fontId="3" fillId="0" borderId="127" xfId="5" applyNumberFormat="1" applyFont="1" applyFill="1" applyBorder="1" applyAlignment="1">
      <alignment horizontal="center" vertical="center" wrapText="1"/>
    </xf>
    <xf numFmtId="0" fontId="3" fillId="0" borderId="117" xfId="5" applyNumberFormat="1" applyFont="1" applyFill="1" applyBorder="1" applyAlignment="1">
      <alignment horizontal="center" vertical="center" wrapText="1"/>
    </xf>
    <xf numFmtId="0" fontId="3" fillId="0" borderId="8" xfId="5" applyNumberFormat="1" applyFont="1" applyFill="1" applyBorder="1" applyAlignment="1">
      <alignment horizontal="center" vertical="center" wrapText="1"/>
    </xf>
    <xf numFmtId="0" fontId="3" fillId="0" borderId="0" xfId="5" applyNumberFormat="1" applyFont="1" applyFill="1" applyBorder="1" applyAlignment="1">
      <alignment horizontal="center" vertical="center" wrapText="1"/>
    </xf>
    <xf numFmtId="0" fontId="3" fillId="0" borderId="46" xfId="5" applyNumberFormat="1" applyFont="1" applyFill="1" applyBorder="1" applyAlignment="1">
      <alignment horizontal="center" vertical="center" wrapText="1"/>
    </xf>
    <xf numFmtId="0" fontId="17" fillId="0" borderId="117" xfId="5" applyNumberFormat="1" applyFont="1" applyFill="1" applyBorder="1" applyAlignment="1">
      <alignment horizontal="center" vertical="center" wrapText="1"/>
    </xf>
    <xf numFmtId="0" fontId="17" fillId="0" borderId="46" xfId="5" applyNumberFormat="1" applyFont="1" applyFill="1" applyBorder="1" applyAlignment="1">
      <alignment horizontal="center" vertical="center" wrapText="1"/>
    </xf>
    <xf numFmtId="0" fontId="26" fillId="0" borderId="172" xfId="5" applyNumberFormat="1" applyFont="1" applyFill="1" applyBorder="1" applyAlignment="1">
      <alignment wrapText="1"/>
    </xf>
    <xf numFmtId="0" fontId="26" fillId="0" borderId="175" xfId="5" applyNumberFormat="1" applyFont="1" applyFill="1" applyBorder="1" applyAlignment="1">
      <alignment wrapText="1"/>
    </xf>
    <xf numFmtId="0" fontId="3" fillId="0" borderId="175" xfId="5" applyNumberFormat="1" applyFont="1" applyFill="1" applyBorder="1" applyAlignment="1">
      <alignment wrapText="1"/>
    </xf>
    <xf numFmtId="0" fontId="3" fillId="0" borderId="176" xfId="5" applyNumberFormat="1" applyFont="1" applyFill="1" applyBorder="1" applyAlignment="1">
      <alignment wrapText="1"/>
    </xf>
    <xf numFmtId="0" fontId="35" fillId="0" borderId="173" xfId="5" applyNumberFormat="1" applyFont="1" applyFill="1" applyBorder="1" applyAlignment="1">
      <alignment horizontal="center" wrapText="1"/>
    </xf>
    <xf numFmtId="0" fontId="35" fillId="0" borderId="174" xfId="5" applyNumberFormat="1" applyFont="1" applyFill="1" applyBorder="1" applyAlignment="1">
      <alignment horizontal="center" wrapText="1"/>
    </xf>
    <xf numFmtId="0" fontId="35" fillId="0" borderId="224" xfId="5" applyNumberFormat="1" applyFont="1" applyFill="1" applyBorder="1" applyAlignment="1">
      <alignment horizontal="center" wrapText="1"/>
    </xf>
    <xf numFmtId="0" fontId="35" fillId="0" borderId="136" xfId="5" applyNumberFormat="1" applyFont="1" applyFill="1" applyBorder="1" applyAlignment="1">
      <alignment horizontal="center" wrapText="1"/>
    </xf>
    <xf numFmtId="0" fontId="15" fillId="0" borderId="138" xfId="5" applyBorder="1" applyAlignment="1"/>
    <xf numFmtId="0" fontId="15" fillId="0" borderId="219" xfId="5" applyBorder="1" applyAlignment="1"/>
    <xf numFmtId="0" fontId="35" fillId="0" borderId="145" xfId="5" applyNumberFormat="1" applyFont="1" applyFill="1" applyBorder="1" applyAlignment="1">
      <alignment horizontal="center" wrapText="1"/>
    </xf>
    <xf numFmtId="0" fontId="24" fillId="0" borderId="122" xfId="5" applyNumberFormat="1" applyFont="1" applyFill="1" applyBorder="1" applyAlignment="1">
      <alignment horizontal="center" wrapText="1"/>
    </xf>
    <xf numFmtId="0" fontId="35" fillId="0" borderId="30" xfId="5" applyNumberFormat="1" applyFont="1" applyFill="1" applyBorder="1" applyAlignment="1">
      <alignment horizontal="center" wrapText="1"/>
    </xf>
    <xf numFmtId="0" fontId="35" fillId="0" borderId="31" xfId="5" applyNumberFormat="1" applyFont="1" applyFill="1" applyBorder="1" applyAlignment="1">
      <alignment horizontal="center" wrapText="1"/>
    </xf>
    <xf numFmtId="0" fontId="3" fillId="0" borderId="31" xfId="5" applyFont="1" applyFill="1" applyBorder="1" applyAlignment="1">
      <alignment horizontal="center" wrapText="1"/>
    </xf>
    <xf numFmtId="0" fontId="24" fillId="0" borderId="219" xfId="5" applyNumberFormat="1" applyFont="1" applyFill="1" applyBorder="1" applyAlignment="1">
      <alignment horizontal="center" wrapText="1"/>
    </xf>
    <xf numFmtId="0" fontId="35" fillId="0" borderId="122" xfId="5" applyNumberFormat="1" applyFont="1" applyFill="1" applyBorder="1" applyAlignment="1">
      <alignment horizontal="center" wrapText="1"/>
    </xf>
    <xf numFmtId="3" fontId="37" fillId="0" borderId="0" xfId="5" applyNumberFormat="1" applyFont="1" applyFill="1" applyAlignment="1">
      <alignment horizontal="center"/>
    </xf>
    <xf numFmtId="3" fontId="37" fillId="0" borderId="0" xfId="5" applyNumberFormat="1" applyFont="1" applyFill="1" applyBorder="1" applyAlignment="1">
      <alignment horizontal="center"/>
    </xf>
    <xf numFmtId="0" fontId="10" fillId="0" borderId="0" xfId="5" applyNumberFormat="1" applyFont="1" applyFill="1" applyAlignment="1">
      <alignment horizontal="center"/>
    </xf>
    <xf numFmtId="0" fontId="24" fillId="0" borderId="0" xfId="5" applyNumberFormat="1" applyFont="1" applyFill="1" applyAlignment="1">
      <alignment horizontal="center"/>
    </xf>
    <xf numFmtId="0" fontId="35" fillId="0" borderId="139" xfId="5" applyNumberFormat="1" applyFont="1" applyFill="1" applyBorder="1" applyAlignment="1">
      <alignment horizontal="center" wrapText="1"/>
    </xf>
    <xf numFmtId="0" fontId="35" fillId="0" borderId="140" xfId="5" applyNumberFormat="1" applyFont="1" applyFill="1" applyBorder="1" applyAlignment="1">
      <alignment horizontal="center" wrapText="1"/>
    </xf>
    <xf numFmtId="0" fontId="24" fillId="0" borderId="174" xfId="5" applyNumberFormat="1" applyFont="1" applyFill="1" applyBorder="1" applyAlignment="1"/>
    <xf numFmtId="0" fontId="3" fillId="0" borderId="174" xfId="5" applyFont="1" applyFill="1" applyBorder="1" applyAlignment="1"/>
    <xf numFmtId="0" fontId="3" fillId="0" borderId="224" xfId="5" applyFont="1" applyFill="1" applyBorder="1" applyAlignment="1"/>
    <xf numFmtId="0" fontId="35" fillId="0" borderId="137" xfId="5" applyNumberFormat="1" applyFont="1" applyFill="1" applyBorder="1" applyAlignment="1">
      <alignment horizontal="center" wrapText="1"/>
    </xf>
    <xf numFmtId="0" fontId="35" fillId="0" borderId="138" xfId="5" applyNumberFormat="1" applyFont="1" applyFill="1" applyBorder="1" applyAlignment="1">
      <alignment horizontal="center" wrapText="1"/>
    </xf>
    <xf numFmtId="0" fontId="15" fillId="0" borderId="181" xfId="5" applyBorder="1" applyAlignment="1"/>
    <xf numFmtId="0" fontId="35" fillId="0" borderId="32" xfId="5" applyNumberFormat="1" applyFont="1" applyFill="1" applyBorder="1" applyAlignment="1">
      <alignment horizontal="center" wrapText="1"/>
    </xf>
    <xf numFmtId="0" fontId="3" fillId="0" borderId="215" xfId="5" applyFont="1" applyFill="1" applyBorder="1" applyAlignment="1">
      <alignment horizontal="center" wrapText="1"/>
    </xf>
    <xf numFmtId="0" fontId="24" fillId="0" borderId="29" xfId="5" applyNumberFormat="1" applyFont="1" applyFill="1" applyBorder="1" applyAlignment="1">
      <alignment horizontal="center" wrapText="1"/>
    </xf>
    <xf numFmtId="0" fontId="35" fillId="0" borderId="219" xfId="5" applyNumberFormat="1" applyFont="1" applyFill="1" applyBorder="1" applyAlignment="1">
      <alignment horizontal="center" wrapText="1"/>
    </xf>
    <xf numFmtId="0" fontId="35" fillId="0" borderId="181" xfId="5" applyNumberFormat="1" applyFont="1" applyFill="1" applyBorder="1" applyAlignment="1">
      <alignment horizontal="center" wrapText="1"/>
    </xf>
    <xf numFmtId="0" fontId="35" fillId="0" borderId="215" xfId="5" applyNumberFormat="1" applyFont="1" applyFill="1" applyBorder="1" applyAlignment="1">
      <alignment horizontal="center" wrapText="1"/>
    </xf>
    <xf numFmtId="0" fontId="15" fillId="0" borderId="220" xfId="5" applyBorder="1" applyAlignment="1"/>
    <xf numFmtId="0" fontId="24" fillId="0" borderId="164" xfId="5" applyNumberFormat="1" applyFont="1" applyFill="1" applyBorder="1" applyAlignment="1">
      <alignment horizontal="center" wrapText="1"/>
    </xf>
    <xf numFmtId="0" fontId="35" fillId="0" borderId="0" xfId="5" applyNumberFormat="1" applyFont="1" applyFill="1" applyBorder="1" applyAlignment="1">
      <alignment horizontal="center" wrapText="1"/>
    </xf>
    <xf numFmtId="0" fontId="35" fillId="0" borderId="46" xfId="5" applyNumberFormat="1" applyFont="1" applyFill="1" applyBorder="1" applyAlignment="1">
      <alignment horizontal="center" wrapText="1"/>
    </xf>
    <xf numFmtId="0" fontId="35" fillId="0" borderId="190" xfId="5" applyNumberFormat="1" applyFont="1" applyFill="1" applyBorder="1" applyAlignment="1">
      <alignment horizontal="center" wrapText="1"/>
    </xf>
    <xf numFmtId="0" fontId="35" fillId="0" borderId="69" xfId="5" applyNumberFormat="1" applyFont="1" applyFill="1" applyBorder="1" applyAlignment="1">
      <alignment horizontal="center" wrapText="1"/>
    </xf>
    <xf numFmtId="0" fontId="15" fillId="0" borderId="141" xfId="5" applyBorder="1" applyAlignment="1"/>
    <xf numFmtId="0" fontId="26" fillId="0" borderId="226" xfId="5" applyNumberFormat="1" applyFont="1" applyFill="1" applyBorder="1" applyAlignment="1">
      <alignment wrapText="1"/>
    </xf>
    <xf numFmtId="0" fontId="35" fillId="0" borderId="202" xfId="5" applyNumberFormat="1" applyFont="1" applyFill="1" applyBorder="1" applyAlignment="1">
      <alignment horizontal="center" wrapText="1"/>
    </xf>
    <xf numFmtId="0" fontId="35" fillId="0" borderId="199" xfId="5" applyNumberFormat="1" applyFont="1" applyFill="1" applyBorder="1" applyAlignment="1">
      <alignment horizontal="center" wrapText="1"/>
    </xf>
    <xf numFmtId="0" fontId="3" fillId="0" borderId="137" xfId="5" applyFont="1" applyFill="1" applyBorder="1" applyAlignment="1">
      <alignment horizontal="center" wrapText="1"/>
    </xf>
    <xf numFmtId="0" fontId="9" fillId="0" borderId="0" xfId="5" applyNumberFormat="1" applyFont="1" applyFill="1" applyBorder="1" applyAlignment="1">
      <alignment horizontal="center"/>
    </xf>
    <xf numFmtId="0" fontId="15" fillId="0" borderId="0" xfId="5" applyNumberFormat="1" applyFill="1" applyBorder="1" applyAlignment="1"/>
    <xf numFmtId="0" fontId="18" fillId="0" borderId="0" xfId="5" applyNumberFormat="1" applyFont="1" applyFill="1" applyAlignment="1"/>
    <xf numFmtId="3" fontId="18" fillId="0" borderId="0" xfId="5" applyNumberFormat="1" applyFont="1" applyFill="1" applyBorder="1" applyAlignment="1"/>
    <xf numFmtId="0" fontId="15" fillId="0" borderId="0" xfId="5" applyFill="1" applyBorder="1" applyAlignment="1"/>
    <xf numFmtId="0" fontId="10" fillId="0" borderId="0" xfId="5" applyNumberFormat="1" applyFont="1" applyFill="1" applyBorder="1" applyAlignment="1">
      <alignment horizontal="center"/>
    </xf>
    <xf numFmtId="0" fontId="12" fillId="0" borderId="0" xfId="5" applyNumberFormat="1" applyFont="1" applyFill="1" applyBorder="1" applyAlignment="1">
      <alignment horizontal="center"/>
    </xf>
    <xf numFmtId="165" fontId="3" fillId="0" borderId="3" xfId="5" applyNumberFormat="1" applyFont="1" applyFill="1" applyBorder="1" applyAlignment="1">
      <alignment horizontal="center"/>
    </xf>
    <xf numFmtId="0" fontId="7" fillId="0" borderId="78" xfId="5" applyNumberFormat="1" applyFont="1" applyFill="1" applyBorder="1" applyAlignment="1"/>
    <xf numFmtId="0" fontId="15" fillId="0" borderId="73" xfId="5" applyNumberFormat="1" applyFill="1" applyBorder="1" applyAlignment="1"/>
    <xf numFmtId="0" fontId="28" fillId="0" borderId="44" xfId="5" applyNumberFormat="1" applyFont="1" applyFill="1" applyBorder="1" applyAlignment="1">
      <alignment horizontal="center" vertical="center"/>
    </xf>
    <xf numFmtId="0" fontId="28" fillId="0" borderId="20" xfId="5" applyNumberFormat="1" applyFont="1" applyFill="1" applyBorder="1" applyAlignment="1">
      <alignment horizontal="center" vertical="center"/>
    </xf>
    <xf numFmtId="0" fontId="15" fillId="0" borderId="20" xfId="5" applyNumberFormat="1" applyFill="1" applyBorder="1" applyAlignment="1">
      <alignment horizontal="center" vertical="center"/>
    </xf>
    <xf numFmtId="0" fontId="3" fillId="0" borderId="65" xfId="5" applyNumberFormat="1" applyFont="1" applyBorder="1" applyAlignment="1">
      <alignment horizontal="left"/>
    </xf>
    <xf numFmtId="0" fontId="3" fillId="0" borderId="123" xfId="5" applyNumberFormat="1" applyFont="1" applyBorder="1" applyAlignment="1">
      <alignment horizontal="left"/>
    </xf>
    <xf numFmtId="0" fontId="3" fillId="0" borderId="151" xfId="5" applyNumberFormat="1" applyFont="1" applyBorder="1" applyAlignment="1">
      <alignment horizontal="left"/>
    </xf>
    <xf numFmtId="0" fontId="3" fillId="0" borderId="15" xfId="5" applyNumberFormat="1" applyFont="1" applyBorder="1" applyAlignment="1"/>
    <xf numFmtId="0" fontId="15" fillId="0" borderId="11" xfId="5" applyNumberFormat="1" applyBorder="1" applyAlignment="1"/>
    <xf numFmtId="0" fontId="17" fillId="0" borderId="11" xfId="5" applyNumberFormat="1" applyFont="1" applyBorder="1" applyAlignment="1">
      <alignment horizontal="left" indent="2"/>
    </xf>
    <xf numFmtId="3" fontId="7" fillId="2" borderId="122" xfId="5" applyNumberFormat="1" applyFont="1" applyFill="1" applyBorder="1" applyAlignment="1">
      <alignment horizontal="center"/>
    </xf>
    <xf numFmtId="3" fontId="7" fillId="2" borderId="0" xfId="5" applyNumberFormat="1" applyFont="1" applyFill="1" applyBorder="1" applyAlignment="1">
      <alignment horizontal="center"/>
    </xf>
    <xf numFmtId="3" fontId="54" fillId="2" borderId="147" xfId="5" applyNumberFormat="1" applyFont="1" applyFill="1" applyBorder="1" applyAlignment="1">
      <alignment horizontal="center"/>
    </xf>
    <xf numFmtId="0" fontId="50" fillId="0" borderId="147" xfId="5" applyFont="1" applyBorder="1" applyAlignment="1">
      <alignment horizontal="center"/>
    </xf>
    <xf numFmtId="0" fontId="50" fillId="0" borderId="148" xfId="5" applyFont="1" applyBorder="1" applyAlignment="1">
      <alignment horizontal="center"/>
    </xf>
    <xf numFmtId="0" fontId="26" fillId="2" borderId="191" xfId="5" applyNumberFormat="1" applyFont="1" applyFill="1" applyBorder="1" applyAlignment="1">
      <alignment wrapText="1"/>
    </xf>
    <xf numFmtId="0" fontId="24" fillId="0" borderId="137" xfId="5" applyNumberFormat="1" applyFont="1" applyBorder="1"/>
    <xf numFmtId="0" fontId="24" fillId="0" borderId="138" xfId="5" applyNumberFormat="1" applyFont="1" applyBorder="1"/>
    <xf numFmtId="0" fontId="35" fillId="2" borderId="30" xfId="5" applyNumberFormat="1" applyFont="1" applyFill="1" applyBorder="1" applyAlignment="1">
      <alignment horizontal="center" wrapText="1"/>
    </xf>
    <xf numFmtId="0" fontId="24" fillId="0" borderId="33" xfId="5" applyNumberFormat="1" applyFont="1" applyBorder="1" applyAlignment="1">
      <alignment wrapText="1"/>
    </xf>
    <xf numFmtId="0" fontId="24" fillId="0" borderId="145" xfId="5" applyNumberFormat="1" applyFont="1" applyBorder="1" applyAlignment="1">
      <alignment wrapText="1"/>
    </xf>
    <xf numFmtId="0" fontId="24" fillId="0" borderId="146" xfId="5" applyNumberFormat="1" applyFont="1" applyBorder="1" applyAlignment="1">
      <alignment wrapText="1"/>
    </xf>
    <xf numFmtId="0" fontId="35" fillId="2" borderId="0" xfId="5" applyNumberFormat="1" applyFont="1" applyFill="1" applyAlignment="1">
      <alignment horizontal="center" wrapText="1"/>
    </xf>
    <xf numFmtId="0" fontId="35" fillId="2" borderId="37" xfId="5" applyNumberFormat="1" applyFont="1" applyFill="1" applyBorder="1" applyAlignment="1">
      <alignment horizontal="center" wrapText="1"/>
    </xf>
    <xf numFmtId="0" fontId="3" fillId="0" borderId="13" xfId="5" applyNumberFormat="1" applyFont="1" applyFill="1" applyBorder="1" applyAlignment="1">
      <alignment horizontal="left"/>
    </xf>
    <xf numFmtId="0" fontId="3" fillId="0" borderId="80" xfId="5" applyNumberFormat="1" applyFont="1" applyFill="1" applyBorder="1" applyAlignment="1">
      <alignment horizontal="left"/>
    </xf>
    <xf numFmtId="0" fontId="3" fillId="0" borderId="116" xfId="5" applyNumberFormat="1" applyFont="1" applyFill="1" applyBorder="1" applyAlignment="1">
      <alignment horizontal="left"/>
    </xf>
    <xf numFmtId="0" fontId="3" fillId="0" borderId="116" xfId="5" applyNumberFormat="1" applyFont="1" applyBorder="1" applyAlignment="1"/>
    <xf numFmtId="0" fontId="15" fillId="0" borderId="193" xfId="5" applyNumberFormat="1" applyFont="1" applyBorder="1" applyAlignment="1"/>
    <xf numFmtId="0" fontId="15" fillId="0" borderId="194" xfId="5" applyNumberFormat="1" applyFont="1" applyBorder="1" applyAlignment="1"/>
    <xf numFmtId="0" fontId="3" fillId="0" borderId="196" xfId="5" applyNumberFormat="1" applyFont="1" applyBorder="1" applyAlignment="1"/>
    <xf numFmtId="0" fontId="3" fillId="0" borderId="197" xfId="5" applyNumberFormat="1" applyFont="1" applyBorder="1" applyAlignment="1"/>
    <xf numFmtId="0" fontId="15" fillId="0" borderId="117" xfId="5" applyNumberFormat="1" applyFont="1" applyBorder="1" applyAlignment="1">
      <alignment vertical="center" wrapText="1"/>
    </xf>
    <xf numFmtId="0" fontId="15" fillId="0" borderId="4" xfId="5" applyNumberFormat="1" applyFont="1" applyBorder="1" applyAlignment="1">
      <alignment vertical="center" wrapText="1"/>
    </xf>
    <xf numFmtId="0" fontId="33" fillId="0" borderId="0" xfId="15" applyFont="1" applyAlignment="1">
      <alignment horizontal="center" wrapText="1"/>
    </xf>
    <xf numFmtId="0" fontId="15" fillId="0" borderId="0" xfId="5" applyAlignment="1">
      <alignment horizontal="center" wrapText="1"/>
    </xf>
    <xf numFmtId="3" fontId="34" fillId="0" borderId="0" xfId="15" applyNumberFormat="1" applyFont="1" applyAlignment="1">
      <alignment horizontal="center" wrapText="1"/>
    </xf>
    <xf numFmtId="0" fontId="34" fillId="0" borderId="0" xfId="15" applyFont="1" applyAlignment="1">
      <alignment horizontal="center" wrapText="1"/>
    </xf>
    <xf numFmtId="0" fontId="23" fillId="0" borderId="2" xfId="15" applyFont="1" applyBorder="1" applyAlignment="1">
      <alignment horizontal="left" wrapText="1"/>
    </xf>
    <xf numFmtId="0" fontId="15" fillId="0" borderId="5" xfId="5" applyBorder="1" applyAlignment="1">
      <alignment horizontal="left" wrapText="1"/>
    </xf>
    <xf numFmtId="0" fontId="23" fillId="0" borderId="2" xfId="15" applyFont="1" applyBorder="1" applyAlignment="1">
      <alignment horizontal="left"/>
    </xf>
    <xf numFmtId="0" fontId="15" fillId="0" borderId="5" xfId="5" applyBorder="1" applyAlignment="1">
      <alignment horizontal="left"/>
    </xf>
    <xf numFmtId="0" fontId="15" fillId="0" borderId="6" xfId="5" applyBorder="1" applyAlignment="1">
      <alignment horizontal="center" wrapText="1"/>
    </xf>
    <xf numFmtId="0" fontId="15" fillId="0" borderId="6" xfId="5" applyBorder="1" applyAlignment="1">
      <alignment horizontal="left" wrapText="1"/>
    </xf>
    <xf numFmtId="0" fontId="3" fillId="0" borderId="130" xfId="5" applyNumberFormat="1" applyFont="1" applyBorder="1" applyAlignment="1">
      <alignment horizontal="left"/>
    </xf>
    <xf numFmtId="0" fontId="3" fillId="0" borderId="132" xfId="5" applyNumberFormat="1" applyFont="1" applyBorder="1" applyAlignment="1">
      <alignment horizontal="left"/>
    </xf>
    <xf numFmtId="0" fontId="3" fillId="0" borderId="44" xfId="5" applyNumberFormat="1" applyFont="1" applyBorder="1" applyAlignment="1">
      <alignment horizontal="left"/>
    </xf>
    <xf numFmtId="0" fontId="3" fillId="0" borderId="8" xfId="5" applyNumberFormat="1" applyFont="1" applyBorder="1" applyAlignment="1">
      <alignment horizontal="center"/>
    </xf>
    <xf numFmtId="0" fontId="3" fillId="0" borderId="46" xfId="5" applyNumberFormat="1" applyFont="1" applyBorder="1" applyAlignment="1">
      <alignment horizontal="center"/>
    </xf>
    <xf numFmtId="0" fontId="35" fillId="2" borderId="44" xfId="5" applyNumberFormat="1" applyFont="1" applyFill="1" applyBorder="1" applyAlignment="1">
      <alignment horizontal="center" wrapText="1"/>
    </xf>
    <xf numFmtId="0" fontId="35" fillId="2" borderId="20" xfId="5" applyNumberFormat="1" applyFont="1" applyFill="1" applyBorder="1" applyAlignment="1">
      <alignment horizontal="center" wrapText="1"/>
    </xf>
    <xf numFmtId="3" fontId="7" fillId="2" borderId="3" xfId="5" applyNumberFormat="1" applyFont="1" applyFill="1" applyBorder="1" applyAlignment="1">
      <alignment horizontal="center"/>
    </xf>
    <xf numFmtId="5" fontId="26" fillId="2" borderId="48" xfId="5" applyNumberFormat="1" applyFont="1" applyFill="1" applyBorder="1" applyAlignment="1">
      <alignment horizontal="center"/>
    </xf>
    <xf numFmtId="0" fontId="35" fillId="2" borderId="201" xfId="5" applyNumberFormat="1" applyFont="1" applyFill="1" applyBorder="1" applyAlignment="1">
      <alignment horizontal="center" wrapText="1"/>
    </xf>
    <xf numFmtId="0" fontId="26" fillId="2" borderId="200" xfId="5" applyNumberFormat="1" applyFont="1" applyFill="1" applyBorder="1" applyAlignment="1">
      <alignment wrapText="1"/>
    </xf>
    <xf numFmtId="0" fontId="3" fillId="0" borderId="8" xfId="5" applyNumberFormat="1" applyFont="1" applyBorder="1" applyAlignment="1">
      <alignment wrapText="1"/>
    </xf>
    <xf numFmtId="0" fontId="3" fillId="0" borderId="7" xfId="5" applyNumberFormat="1" applyFont="1" applyBorder="1" applyAlignment="1">
      <alignment wrapText="1"/>
    </xf>
    <xf numFmtId="0" fontId="35" fillId="2" borderId="46" xfId="5" applyNumberFormat="1" applyFont="1" applyFill="1" applyBorder="1" applyAlignment="1">
      <alignment horizontal="center" wrapText="1"/>
    </xf>
    <xf numFmtId="0" fontId="35" fillId="2" borderId="48" xfId="5" applyNumberFormat="1" applyFont="1" applyFill="1" applyBorder="1" applyAlignment="1">
      <alignment horizontal="center" wrapText="1"/>
    </xf>
    <xf numFmtId="0" fontId="24" fillId="0" borderId="48" xfId="5" applyNumberFormat="1" applyFont="1" applyBorder="1" applyAlignment="1">
      <alignment horizontal="center" wrapText="1"/>
    </xf>
    <xf numFmtId="0" fontId="35" fillId="2" borderId="48" xfId="5" applyNumberFormat="1" applyFont="1" applyFill="1" applyBorder="1" applyAlignment="1">
      <alignment horizontal="center"/>
    </xf>
    <xf numFmtId="0" fontId="35" fillId="2" borderId="44" xfId="5" applyNumberFormat="1" applyFont="1" applyFill="1" applyBorder="1" applyAlignment="1">
      <alignment horizontal="center"/>
    </xf>
    <xf numFmtId="0" fontId="35" fillId="2" borderId="20" xfId="5" applyNumberFormat="1" applyFont="1" applyFill="1" applyBorder="1" applyAlignment="1">
      <alignment horizontal="center"/>
    </xf>
    <xf numFmtId="0" fontId="35" fillId="2" borderId="7" xfId="5" applyNumberFormat="1" applyFont="1" applyFill="1" applyBorder="1" applyAlignment="1">
      <alignment horizontal="center" wrapText="1"/>
    </xf>
    <xf numFmtId="0" fontId="35" fillId="2" borderId="4" xfId="5" applyNumberFormat="1" applyFont="1" applyFill="1" applyBorder="1" applyAlignment="1">
      <alignment horizontal="center" wrapText="1"/>
    </xf>
    <xf numFmtId="0" fontId="35" fillId="2" borderId="8" xfId="5" applyNumberFormat="1" applyFont="1" applyFill="1" applyBorder="1" applyAlignment="1">
      <alignment horizontal="center" wrapText="1"/>
    </xf>
    <xf numFmtId="0" fontId="26" fillId="2" borderId="8" xfId="5" applyNumberFormat="1" applyFont="1" applyFill="1" applyBorder="1" applyAlignment="1">
      <alignment wrapText="1"/>
    </xf>
    <xf numFmtId="0" fontId="3" fillId="0" borderId="73" xfId="5" applyNumberFormat="1" applyFont="1" applyBorder="1" applyAlignment="1">
      <alignment wrapText="1"/>
    </xf>
    <xf numFmtId="0" fontId="24" fillId="0" borderId="4" xfId="5" applyNumberFormat="1" applyFont="1" applyBorder="1" applyAlignment="1">
      <alignment horizontal="center" wrapText="1"/>
    </xf>
    <xf numFmtId="0" fontId="35" fillId="2" borderId="3" xfId="5" applyNumberFormat="1" applyFont="1" applyFill="1" applyBorder="1" applyAlignment="1">
      <alignment horizontal="center"/>
    </xf>
    <xf numFmtId="0" fontId="35" fillId="2" borderId="7" xfId="5" applyNumberFormat="1" applyFont="1" applyFill="1" applyBorder="1" applyAlignment="1">
      <alignment horizontal="center"/>
    </xf>
    <xf numFmtId="37" fontId="26" fillId="2" borderId="78" xfId="5" applyNumberFormat="1" applyFont="1" applyFill="1" applyBorder="1" applyAlignment="1">
      <alignment horizontal="center"/>
    </xf>
    <xf numFmtId="37" fontId="25" fillId="2" borderId="117" xfId="5" applyNumberFormat="1" applyFont="1" applyFill="1" applyBorder="1" applyAlignment="1">
      <alignment horizontal="center"/>
    </xf>
    <xf numFmtId="37" fontId="25" fillId="2" borderId="7" xfId="5" applyNumberFormat="1" applyFont="1" applyFill="1" applyBorder="1" applyAlignment="1">
      <alignment horizontal="center"/>
    </xf>
    <xf numFmtId="37" fontId="25" fillId="2" borderId="4" xfId="5" applyNumberFormat="1" applyFont="1" applyFill="1" applyBorder="1" applyAlignment="1">
      <alignment horizontal="center"/>
    </xf>
    <xf numFmtId="0" fontId="35" fillId="2" borderId="127" xfId="5" applyNumberFormat="1" applyFont="1" applyFill="1" applyBorder="1" applyAlignment="1">
      <alignment horizontal="center" wrapText="1"/>
    </xf>
    <xf numFmtId="0" fontId="7" fillId="2" borderId="8" xfId="5" applyNumberFormat="1" applyFont="1" applyFill="1" applyBorder="1" applyAlignment="1"/>
    <xf numFmtId="0" fontId="15" fillId="0" borderId="20" xfId="5" applyNumberFormat="1" applyBorder="1" applyAlignment="1">
      <alignment horizontal="center" vertical="center" wrapText="1"/>
    </xf>
    <xf numFmtId="0" fontId="26" fillId="2" borderId="30" xfId="5" applyNumberFormat="1" applyFont="1" applyFill="1" applyBorder="1" applyAlignment="1">
      <alignment wrapText="1"/>
    </xf>
    <xf numFmtId="0" fontId="26" fillId="2" borderId="28" xfId="5" applyNumberFormat="1" applyFont="1" applyFill="1" applyBorder="1" applyAlignment="1">
      <alignment wrapText="1"/>
    </xf>
    <xf numFmtId="0" fontId="3" fillId="0" borderId="28" xfId="5" applyNumberFormat="1" applyFont="1" applyBorder="1" applyAlignment="1">
      <alignment wrapText="1"/>
    </xf>
    <xf numFmtId="0" fontId="15" fillId="0" borderId="48" xfId="5" applyBorder="1"/>
    <xf numFmtId="0" fontId="35" fillId="2" borderId="32" xfId="5" applyNumberFormat="1" applyFont="1" applyFill="1" applyBorder="1" applyAlignment="1">
      <alignment horizontal="center" wrapText="1"/>
    </xf>
    <xf numFmtId="0" fontId="24" fillId="0" borderId="43" xfId="5" applyNumberFormat="1" applyFont="1" applyBorder="1" applyAlignment="1">
      <alignment wrapText="1"/>
    </xf>
    <xf numFmtId="0" fontId="24" fillId="0" borderId="122" xfId="5" applyNumberFormat="1" applyFont="1" applyBorder="1" applyAlignment="1">
      <alignment wrapText="1"/>
    </xf>
    <xf numFmtId="0" fontId="52" fillId="0" borderId="7" xfId="15" applyFont="1" applyBorder="1" applyAlignment="1">
      <alignment horizontal="center"/>
    </xf>
    <xf numFmtId="0" fontId="52" fillId="0" borderId="3" xfId="15" applyFont="1" applyBorder="1" applyAlignment="1">
      <alignment horizontal="center"/>
    </xf>
    <xf numFmtId="0" fontId="52" fillId="0" borderId="4" xfId="15" applyFont="1" applyBorder="1" applyAlignment="1">
      <alignment horizontal="center"/>
    </xf>
    <xf numFmtId="0" fontId="24" fillId="0" borderId="48" xfId="5" applyNumberFormat="1" applyFont="1" applyBorder="1"/>
    <xf numFmtId="166" fontId="6" fillId="0" borderId="0" xfId="9" applyNumberFormat="1" applyFont="1" applyAlignment="1">
      <alignment horizontal="center"/>
    </xf>
    <xf numFmtId="3" fontId="17" fillId="0" borderId="0" xfId="9" applyNumberFormat="1" applyFont="1" applyAlignment="1">
      <alignment horizontal="left"/>
    </xf>
    <xf numFmtId="166" fontId="17" fillId="0" borderId="0" xfId="9" applyNumberFormat="1" applyFont="1" applyAlignment="1">
      <alignment horizontal="center"/>
    </xf>
    <xf numFmtId="167" fontId="74" fillId="0" borderId="0" xfId="1" applyNumberFormat="1" applyFont="1" applyAlignment="1">
      <alignment horizontal="center" vertical="center"/>
    </xf>
    <xf numFmtId="0" fontId="9" fillId="0" borderId="3" xfId="9" applyNumberFormat="1" applyFont="1" applyFill="1" applyBorder="1" applyAlignment="1" applyProtection="1">
      <alignment horizontal="center"/>
    </xf>
    <xf numFmtId="167" fontId="9" fillId="0" borderId="0" xfId="1" applyNumberFormat="1" applyFont="1" applyFill="1" applyBorder="1" applyAlignment="1" applyProtection="1">
      <alignment horizontal="center"/>
    </xf>
    <xf numFmtId="166" fontId="9" fillId="4" borderId="0" xfId="0" applyNumberFormat="1" applyFont="1" applyFill="1" applyBorder="1" applyAlignment="1">
      <alignment vertical="top" wrapText="1"/>
    </xf>
    <xf numFmtId="0" fontId="0" fillId="0" borderId="0" xfId="0" applyAlignment="1">
      <alignment vertical="top" wrapText="1"/>
    </xf>
    <xf numFmtId="0" fontId="76" fillId="0" borderId="78" xfId="9" applyNumberFormat="1" applyFont="1" applyFill="1" applyBorder="1" applyAlignment="1" applyProtection="1"/>
    <xf numFmtId="0" fontId="76" fillId="0" borderId="127" xfId="9" applyNumberFormat="1" applyFont="1" applyFill="1" applyBorder="1" applyAlignment="1" applyProtection="1"/>
    <xf numFmtId="0" fontId="76" fillId="0" borderId="7" xfId="9" applyNumberFormat="1" applyFont="1" applyFill="1" applyBorder="1" applyAlignment="1" applyProtection="1"/>
    <xf numFmtId="0" fontId="76" fillId="0" borderId="3" xfId="9" applyNumberFormat="1" applyFont="1" applyFill="1" applyBorder="1" applyAlignment="1" applyProtection="1"/>
    <xf numFmtId="166" fontId="67" fillId="4" borderId="0" xfId="0" applyNumberFormat="1" applyFont="1" applyFill="1" applyBorder="1" applyAlignment="1">
      <alignment horizontal="center"/>
    </xf>
    <xf numFmtId="166" fontId="9" fillId="4" borderId="0" xfId="0" applyNumberFormat="1" applyFont="1" applyFill="1" applyBorder="1" applyAlignment="1">
      <alignment horizontal="left" wrapText="1"/>
    </xf>
    <xf numFmtId="0" fontId="9" fillId="4" borderId="0" xfId="0" applyFont="1" applyFill="1" applyBorder="1" applyAlignment="1">
      <alignment vertical="top" wrapText="1"/>
    </xf>
    <xf numFmtId="167" fontId="76" fillId="0" borderId="117" xfId="1" applyNumberFormat="1" applyFont="1" applyFill="1" applyBorder="1" applyAlignment="1">
      <alignment horizontal="center" vertical="top" wrapText="1"/>
    </xf>
    <xf numFmtId="167" fontId="76" fillId="0" borderId="4" xfId="1" applyNumberFormat="1" applyFont="1" applyFill="1" applyBorder="1" applyAlignment="1">
      <alignment horizontal="center" vertical="top" wrapText="1"/>
    </xf>
    <xf numFmtId="167" fontId="76" fillId="0" borderId="127" xfId="1" applyNumberFormat="1" applyFont="1" applyFill="1" applyBorder="1" applyAlignment="1">
      <alignment horizontal="center" vertical="top" wrapText="1"/>
    </xf>
    <xf numFmtId="167" fontId="76" fillId="0" borderId="3" xfId="1" applyNumberFormat="1" applyFont="1" applyFill="1" applyBorder="1" applyAlignment="1">
      <alignment horizontal="center" vertical="top" wrapText="1"/>
    </xf>
    <xf numFmtId="167" fontId="76" fillId="0" borderId="78" xfId="1" applyNumberFormat="1" applyFont="1" applyFill="1" applyBorder="1" applyAlignment="1">
      <alignment horizontal="center" vertical="top" wrapText="1"/>
    </xf>
    <xf numFmtId="167" fontId="76" fillId="0" borderId="7" xfId="1" applyNumberFormat="1" applyFont="1" applyFill="1" applyBorder="1" applyAlignment="1">
      <alignment horizontal="center" vertical="top" wrapText="1"/>
    </xf>
    <xf numFmtId="0" fontId="0" fillId="0" borderId="0" xfId="0" applyBorder="1" applyAlignment="1">
      <alignment wrapText="1"/>
    </xf>
    <xf numFmtId="0" fontId="77" fillId="0" borderId="44" xfId="9" applyFont="1" applyFill="1" applyBorder="1" applyAlignment="1">
      <alignment horizontal="left" vertical="center"/>
    </xf>
    <xf numFmtId="0" fontId="77" fillId="0" borderId="47" xfId="9" applyFont="1" applyFill="1" applyBorder="1" applyAlignment="1">
      <alignment horizontal="left" vertical="center"/>
    </xf>
    <xf numFmtId="167" fontId="26" fillId="0" borderId="0" xfId="1" applyNumberFormat="1" applyFont="1" applyAlignment="1">
      <alignment horizontal="center" vertical="center"/>
    </xf>
    <xf numFmtId="0" fontId="75" fillId="0" borderId="3" xfId="9" applyFont="1" applyBorder="1" applyAlignment="1">
      <alignment horizontal="center" vertical="center"/>
    </xf>
    <xf numFmtId="0" fontId="21" fillId="0" borderId="0" xfId="0" applyFont="1" applyBorder="1" applyAlignment="1">
      <alignment vertical="top" wrapText="1"/>
    </xf>
    <xf numFmtId="0" fontId="21" fillId="0" borderId="0" xfId="0" applyFont="1" applyBorder="1" applyAlignment="1">
      <alignment horizontal="center"/>
    </xf>
    <xf numFmtId="0" fontId="21" fillId="0" borderId="0" xfId="0" applyFont="1" applyBorder="1" applyAlignment="1">
      <alignment wrapText="1"/>
    </xf>
    <xf numFmtId="0" fontId="0" fillId="0" borderId="0" xfId="0" applyBorder="1"/>
    <xf numFmtId="0" fontId="9" fillId="0" borderId="0" xfId="0" applyFont="1" applyFill="1" applyBorder="1" applyAlignment="1">
      <alignment vertical="top" wrapText="1"/>
    </xf>
    <xf numFmtId="0" fontId="0" fillId="0" borderId="0" xfId="0" applyFill="1" applyBorder="1"/>
    <xf numFmtId="166" fontId="9" fillId="0" borderId="0" xfId="0" applyNumberFormat="1" applyFont="1" applyFill="1" applyBorder="1" applyAlignment="1">
      <alignment vertical="top" wrapText="1"/>
    </xf>
    <xf numFmtId="0" fontId="6" fillId="0" borderId="0" xfId="8" applyFont="1" applyAlignment="1">
      <alignment horizontal="center" vertical="top"/>
    </xf>
    <xf numFmtId="0" fontId="6" fillId="0" borderId="0" xfId="0" applyFont="1" applyBorder="1" applyAlignment="1">
      <alignment horizontal="left"/>
    </xf>
    <xf numFmtId="0" fontId="17" fillId="0" borderId="0" xfId="0" applyFont="1" applyBorder="1" applyAlignment="1">
      <alignment horizontal="left"/>
    </xf>
    <xf numFmtId="3" fontId="6" fillId="0" borderId="0" xfId="0" applyNumberFormat="1" applyFont="1" applyBorder="1" applyAlignment="1">
      <alignment horizontal="center"/>
    </xf>
    <xf numFmtId="0" fontId="17" fillId="0" borderId="0" xfId="0" applyFont="1" applyBorder="1" applyAlignment="1">
      <alignment horizontal="center"/>
    </xf>
    <xf numFmtId="165" fontId="107" fillId="0" borderId="0" xfId="5" applyNumberFormat="1" applyFont="1" applyAlignment="1"/>
    <xf numFmtId="165" fontId="108" fillId="0" borderId="0" xfId="5" applyNumberFormat="1" applyFont="1" applyAlignment="1"/>
    <xf numFmtId="0" fontId="109" fillId="0" borderId="0" xfId="15" applyFont="1"/>
    <xf numFmtId="0" fontId="110" fillId="0" borderId="0" xfId="5" applyFont="1" applyFill="1"/>
    <xf numFmtId="0" fontId="89" fillId="0" borderId="0" xfId="5" applyFont="1" applyFill="1"/>
    <xf numFmtId="0" fontId="89" fillId="0" borderId="0" xfId="5" applyFont="1"/>
  </cellXfs>
  <cellStyles count="17">
    <cellStyle name="Comma" xfId="1" builtinId="3"/>
    <cellStyle name="Comma 2" xfId="2"/>
    <cellStyle name="Currency" xfId="3" builtinId="4"/>
    <cellStyle name="Currency 2" xfId="4"/>
    <cellStyle name="Normal" xfId="0" builtinId="0"/>
    <cellStyle name="Normal 2" xfId="5"/>
    <cellStyle name="Normal 3" xfId="6"/>
    <cellStyle name="Normal_Appendix Exhibits.FINAL 2" xfId="7"/>
    <cellStyle name="Normal_FY 2011 Qs for IT Requests 04-16-09" xfId="8"/>
    <cellStyle name="Normal_FY2009 Cost Mod Prototype - Update 03-05-07" xfId="9"/>
    <cellStyle name="Normal_Improve by DU" xfId="10"/>
    <cellStyle name="Normal_Improve by DU 2" xfId="11"/>
    <cellStyle name="Normal_Improve by DU 3" xfId="15"/>
    <cellStyle name="Normal_Rsrcs_X_ DOJ Goal  Obj" xfId="12"/>
    <cellStyle name="Normal_Rsrcs_X_ DOJ Goal  Obj 2" xfId="16"/>
    <cellStyle name="Normal_Sheet1 2" xfId="13"/>
    <cellStyle name="Percent" xfId="1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udget_Staff\napostolides\FY06%20Formulation\05%20OMB%20Budget%20-%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olyn\AppData\Local\Microsoft\Windows\Temporary%20Internet%20Files\Low\Content.IE5\7F7APNRM\Budget_Staff\napostolides\FY06%20Formulation\05%20OMB%20Budget%20-%20chart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umReq"/>
      <sheetName val="ATB Narr"/>
      <sheetName val="2003 XWalk"/>
      <sheetName val="2004 XWalk"/>
      <sheetName val="Perm Positions"/>
      <sheetName val="Positions by Category"/>
      <sheetName val="Sum by Grade"/>
      <sheetName val="Sum by OC"/>
    </sheetNames>
    <sheetDataSet>
      <sheetData sheetId="0"/>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4">
    <pageSetUpPr fitToPage="1"/>
  </sheetPr>
  <dimension ref="A1:Y100"/>
  <sheetViews>
    <sheetView showGridLines="0" tabSelected="1" showOutlineSymbols="0" view="pageBreakPreview" zoomScale="60" zoomScaleNormal="75" workbookViewId="0">
      <selection activeCell="V37" sqref="V37:X37"/>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8.44140625" style="7" bestFit="1" customWidth="1"/>
    <col min="8" max="8" width="6.21875" style="7" customWidth="1"/>
    <col min="9" max="9" width="9.77734375" style="7" customWidth="1"/>
    <col min="10" max="10" width="6.21875" style="7" bestFit="1" customWidth="1"/>
    <col min="11" max="11" width="5.664062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8.5546875" style="7" customWidth="1"/>
    <col min="22" max="22" width="9.5546875" style="7" customWidth="1"/>
    <col min="23" max="23" width="9.77734375" style="7" bestFit="1" customWidth="1"/>
    <col min="24" max="24" width="13.21875" style="7" bestFit="1" customWidth="1"/>
    <col min="25" max="25" width="6.5546875" style="111" customWidth="1"/>
    <col min="26" max="26" width="6.5546875" style="4" customWidth="1"/>
    <col min="27" max="27" width="7.6640625" style="4" customWidth="1"/>
    <col min="28" max="16384" width="9.6640625" style="4"/>
  </cols>
  <sheetData>
    <row r="1" spans="1:25" ht="20.25">
      <c r="A1" s="1799" t="s">
        <v>34</v>
      </c>
      <c r="B1" s="1800"/>
      <c r="C1" s="1800"/>
      <c r="D1" s="1800"/>
      <c r="E1" s="1800"/>
      <c r="F1" s="1800"/>
      <c r="G1" s="1800"/>
      <c r="H1" s="1800"/>
      <c r="I1" s="1800"/>
      <c r="J1" s="1800"/>
      <c r="K1" s="1800"/>
      <c r="L1" s="1800"/>
      <c r="M1" s="1800"/>
      <c r="N1" s="1800"/>
      <c r="O1" s="1800"/>
      <c r="P1" s="1800"/>
      <c r="Q1" s="1800"/>
      <c r="R1" s="1800"/>
      <c r="S1" s="1800"/>
      <c r="T1" s="1800"/>
      <c r="U1" s="1800"/>
      <c r="V1" s="1800"/>
      <c r="W1" s="1800"/>
      <c r="X1" s="1800"/>
      <c r="Y1" s="110" t="s">
        <v>0</v>
      </c>
    </row>
    <row r="2" spans="1:25">
      <c r="A2" s="1801"/>
      <c r="B2" s="1801"/>
      <c r="C2" s="1801"/>
      <c r="D2" s="1801"/>
      <c r="E2" s="1801"/>
      <c r="F2" s="1801"/>
      <c r="G2" s="1801"/>
      <c r="H2" s="1801"/>
      <c r="I2" s="1801"/>
      <c r="J2" s="1801"/>
      <c r="K2" s="1801"/>
      <c r="L2" s="1801"/>
      <c r="M2" s="1801"/>
      <c r="N2" s="1801"/>
      <c r="O2" s="1801"/>
      <c r="P2" s="1801"/>
      <c r="Q2" s="1801"/>
      <c r="R2" s="1801"/>
      <c r="S2" s="1801"/>
      <c r="T2" s="1801"/>
      <c r="U2" s="1801"/>
      <c r="V2" s="1801"/>
      <c r="W2" s="1801"/>
      <c r="X2" s="1801"/>
      <c r="Y2" s="110" t="s">
        <v>0</v>
      </c>
    </row>
    <row r="3" spans="1:25">
      <c r="A3" s="1781"/>
      <c r="B3" s="1781"/>
      <c r="C3" s="1781"/>
      <c r="D3" s="1781"/>
      <c r="E3" s="1781"/>
      <c r="F3" s="1781"/>
      <c r="G3" s="1781"/>
      <c r="H3" s="1781"/>
      <c r="I3" s="1781"/>
      <c r="J3" s="1781"/>
      <c r="K3" s="1781"/>
      <c r="L3" s="1781"/>
      <c r="M3" s="1781"/>
      <c r="N3" s="1781"/>
      <c r="O3" s="1781"/>
      <c r="P3" s="1781"/>
      <c r="Q3" s="1781"/>
      <c r="R3" s="1781"/>
      <c r="S3" s="1781"/>
      <c r="T3" s="1781"/>
      <c r="U3" s="1781"/>
      <c r="V3" s="1781"/>
      <c r="W3" s="1781"/>
      <c r="X3" s="1781"/>
      <c r="Y3" s="110" t="s">
        <v>0</v>
      </c>
    </row>
    <row r="4" spans="1:25" ht="22.5">
      <c r="A4" s="1776" t="s">
        <v>267</v>
      </c>
      <c r="B4" s="1777"/>
      <c r="C4" s="1777"/>
      <c r="D4" s="1777"/>
      <c r="E4" s="1777"/>
      <c r="F4" s="1777"/>
      <c r="G4" s="1777"/>
      <c r="H4" s="1777"/>
      <c r="I4" s="1777"/>
      <c r="J4" s="1777"/>
      <c r="K4" s="1777"/>
      <c r="L4" s="1777"/>
      <c r="M4" s="1777"/>
      <c r="N4" s="1777"/>
      <c r="O4" s="1777"/>
      <c r="P4" s="1777"/>
      <c r="Q4" s="1777"/>
      <c r="R4" s="1777"/>
      <c r="S4" s="1777"/>
      <c r="T4" s="1777"/>
      <c r="U4" s="1777"/>
      <c r="V4" s="1777"/>
      <c r="W4" s="1777"/>
      <c r="X4" s="1777"/>
      <c r="Y4" s="110" t="s">
        <v>0</v>
      </c>
    </row>
    <row r="5" spans="1:25" ht="23.25">
      <c r="A5" s="1778" t="s">
        <v>362</v>
      </c>
      <c r="B5" s="1780"/>
      <c r="C5" s="1780"/>
      <c r="D5" s="1780"/>
      <c r="E5" s="1780"/>
      <c r="F5" s="1780"/>
      <c r="G5" s="1780"/>
      <c r="H5" s="1780"/>
      <c r="I5" s="1780"/>
      <c r="J5" s="1780"/>
      <c r="K5" s="1780"/>
      <c r="L5" s="1780"/>
      <c r="M5" s="1780"/>
      <c r="N5" s="1780"/>
      <c r="O5" s="1780"/>
      <c r="P5" s="1780"/>
      <c r="Q5" s="1780"/>
      <c r="R5" s="1780"/>
      <c r="S5" s="1780"/>
      <c r="T5" s="1780"/>
      <c r="U5" s="1780"/>
      <c r="V5" s="1780"/>
      <c r="W5" s="1780"/>
      <c r="X5" s="1780"/>
      <c r="Y5" s="110" t="s">
        <v>0</v>
      </c>
    </row>
    <row r="6" spans="1:25" ht="23.25">
      <c r="A6" s="1778" t="s">
        <v>258</v>
      </c>
      <c r="B6" s="1777"/>
      <c r="C6" s="1777"/>
      <c r="D6" s="1777"/>
      <c r="E6" s="1777"/>
      <c r="F6" s="1777"/>
      <c r="G6" s="1777"/>
      <c r="H6" s="1777"/>
      <c r="I6" s="1777"/>
      <c r="J6" s="1777"/>
      <c r="K6" s="1777"/>
      <c r="L6" s="1777"/>
      <c r="M6" s="1777"/>
      <c r="N6" s="1777"/>
      <c r="O6" s="1777"/>
      <c r="P6" s="1777"/>
      <c r="Q6" s="1777"/>
      <c r="R6" s="1777"/>
      <c r="S6" s="1777"/>
      <c r="T6" s="1777"/>
      <c r="U6" s="1777"/>
      <c r="V6" s="1777"/>
      <c r="W6" s="1777"/>
      <c r="X6" s="1777"/>
      <c r="Y6" s="110" t="s">
        <v>0</v>
      </c>
    </row>
    <row r="7" spans="1:25" ht="23.25">
      <c r="A7" s="1778" t="s">
        <v>257</v>
      </c>
      <c r="B7" s="1780"/>
      <c r="C7" s="1780"/>
      <c r="D7" s="1780"/>
      <c r="E7" s="1780"/>
      <c r="F7" s="1780"/>
      <c r="G7" s="1780"/>
      <c r="H7" s="1780"/>
      <c r="I7" s="1780"/>
      <c r="J7" s="1780"/>
      <c r="K7" s="1780"/>
      <c r="L7" s="1780"/>
      <c r="M7" s="1780"/>
      <c r="N7" s="1780"/>
      <c r="O7" s="1780"/>
      <c r="P7" s="1780"/>
      <c r="Q7" s="1780"/>
      <c r="R7" s="1780"/>
      <c r="S7" s="1780"/>
      <c r="T7" s="1780"/>
      <c r="U7" s="1780"/>
      <c r="V7" s="1780"/>
      <c r="W7" s="1780"/>
      <c r="X7" s="1780"/>
      <c r="Y7" s="110" t="s">
        <v>0</v>
      </c>
    </row>
    <row r="8" spans="1:25" ht="23.25">
      <c r="A8" s="1802"/>
      <c r="B8" s="1802"/>
      <c r="C8" s="1802"/>
      <c r="D8" s="1802"/>
      <c r="E8" s="1802"/>
      <c r="F8" s="1802"/>
      <c r="G8" s="1802"/>
      <c r="H8" s="1802"/>
      <c r="I8" s="1802"/>
      <c r="J8" s="1802"/>
      <c r="K8" s="1802"/>
      <c r="L8" s="1802"/>
      <c r="M8" s="1802"/>
      <c r="N8" s="1802"/>
      <c r="O8" s="1802"/>
      <c r="P8" s="1802"/>
      <c r="Q8" s="1802"/>
      <c r="R8" s="1802"/>
      <c r="S8" s="1802"/>
      <c r="T8" s="1802"/>
      <c r="U8" s="1802"/>
      <c r="V8" s="1802"/>
      <c r="W8" s="1802"/>
      <c r="X8" s="1802"/>
      <c r="Y8" s="110" t="s">
        <v>0</v>
      </c>
    </row>
    <row r="9" spans="1:25" ht="23.25">
      <c r="A9" s="1802"/>
      <c r="B9" s="1802"/>
      <c r="C9" s="1802"/>
      <c r="D9" s="1802"/>
      <c r="E9" s="1802"/>
      <c r="F9" s="1802"/>
      <c r="G9" s="1802"/>
      <c r="H9" s="1802"/>
      <c r="I9" s="1802"/>
      <c r="J9" s="1802"/>
      <c r="K9" s="1802"/>
      <c r="L9" s="1802"/>
      <c r="M9" s="1802"/>
      <c r="N9" s="1802"/>
      <c r="O9" s="1802"/>
      <c r="P9" s="1802"/>
      <c r="Q9" s="1802"/>
      <c r="R9" s="1802"/>
      <c r="S9" s="1802"/>
      <c r="T9" s="1802"/>
      <c r="U9" s="1802"/>
      <c r="V9" s="1802"/>
      <c r="W9" s="1802"/>
      <c r="X9" s="1802"/>
      <c r="Y9" s="110" t="s">
        <v>0</v>
      </c>
    </row>
    <row r="10" spans="1:25" ht="23.25">
      <c r="A10" s="1802"/>
      <c r="B10" s="1802"/>
      <c r="C10" s="1802"/>
      <c r="D10" s="1802"/>
      <c r="E10" s="1802"/>
      <c r="F10" s="1802"/>
      <c r="G10" s="1802"/>
      <c r="H10" s="1802"/>
      <c r="I10" s="1802"/>
      <c r="J10" s="1802"/>
      <c r="K10" s="1802"/>
      <c r="L10" s="1802"/>
      <c r="M10" s="1802"/>
      <c r="N10" s="1802"/>
      <c r="O10" s="1802"/>
      <c r="P10" s="1802"/>
      <c r="Q10" s="1802"/>
      <c r="R10" s="1802"/>
      <c r="S10" s="1802"/>
      <c r="T10" s="1802"/>
      <c r="U10" s="1802"/>
      <c r="V10" s="1802"/>
      <c r="W10" s="1802"/>
      <c r="X10" s="1802"/>
      <c r="Y10" s="110" t="s">
        <v>0</v>
      </c>
    </row>
    <row r="11" spans="1:25">
      <c r="A11" s="1781"/>
      <c r="B11" s="1781"/>
      <c r="C11" s="1781"/>
      <c r="D11" s="1781"/>
      <c r="E11" s="1781"/>
      <c r="F11" s="1781"/>
      <c r="G11" s="1781"/>
      <c r="H11" s="1781"/>
      <c r="I11" s="1781"/>
      <c r="J11" s="1781"/>
      <c r="K11" s="1781"/>
      <c r="L11" s="1781"/>
      <c r="M11" s="1781"/>
      <c r="N11" s="1781"/>
      <c r="O11" s="1781"/>
      <c r="P11" s="1781"/>
      <c r="Q11" s="1781"/>
      <c r="R11" s="1781"/>
      <c r="S11" s="1781"/>
      <c r="T11" s="1781"/>
      <c r="U11" s="1782"/>
      <c r="V11" s="1806" t="s">
        <v>40</v>
      </c>
      <c r="W11" s="1807"/>
      <c r="X11" s="1808"/>
      <c r="Y11" s="110" t="s">
        <v>0</v>
      </c>
    </row>
    <row r="12" spans="1:25">
      <c r="A12" s="1781"/>
      <c r="B12" s="1781"/>
      <c r="C12" s="1781"/>
      <c r="D12" s="1781"/>
      <c r="E12" s="1781"/>
      <c r="F12" s="1781"/>
      <c r="G12" s="1781"/>
      <c r="H12" s="1781"/>
      <c r="I12" s="1781"/>
      <c r="J12" s="1781"/>
      <c r="K12" s="1781"/>
      <c r="L12" s="1781"/>
      <c r="M12" s="1781"/>
      <c r="N12" s="1781"/>
      <c r="O12" s="1781"/>
      <c r="P12" s="1781"/>
      <c r="Q12" s="1781"/>
      <c r="R12" s="1781"/>
      <c r="S12" s="1781"/>
      <c r="T12" s="1781"/>
      <c r="U12" s="1782"/>
      <c r="V12" s="1787" t="s">
        <v>21</v>
      </c>
      <c r="W12" s="1805" t="s">
        <v>49</v>
      </c>
      <c r="X12" s="1803" t="s">
        <v>279</v>
      </c>
      <c r="Y12" s="110" t="s">
        <v>0</v>
      </c>
    </row>
    <row r="13" spans="1:25" ht="16.5" thickBot="1">
      <c r="A13" s="1783"/>
      <c r="B13" s="1783"/>
      <c r="C13" s="1783"/>
      <c r="D13" s="1783"/>
      <c r="E13" s="1783"/>
      <c r="F13" s="1783"/>
      <c r="G13" s="1783"/>
      <c r="H13" s="1783"/>
      <c r="I13" s="1783"/>
      <c r="J13" s="1783"/>
      <c r="K13" s="1783"/>
      <c r="L13" s="1783"/>
      <c r="M13" s="1783"/>
      <c r="N13" s="1783"/>
      <c r="O13" s="1783"/>
      <c r="P13" s="1783"/>
      <c r="Q13" s="1783"/>
      <c r="R13" s="1783"/>
      <c r="S13" s="1783"/>
      <c r="T13" s="1783"/>
      <c r="U13" s="1784"/>
      <c r="V13" s="1788"/>
      <c r="W13" s="1804"/>
      <c r="X13" s="1804"/>
      <c r="Y13" s="110" t="s">
        <v>0</v>
      </c>
    </row>
    <row r="14" spans="1:25">
      <c r="A14" s="1793" t="s">
        <v>116</v>
      </c>
      <c r="B14" s="1794"/>
      <c r="C14" s="1794"/>
      <c r="D14" s="1794"/>
      <c r="E14" s="1794"/>
      <c r="F14" s="1794"/>
      <c r="G14" s="1794"/>
      <c r="H14" s="1794"/>
      <c r="I14" s="1794"/>
      <c r="J14" s="1794"/>
      <c r="K14" s="1794"/>
      <c r="L14" s="1794"/>
      <c r="M14" s="1794"/>
      <c r="N14" s="1794"/>
      <c r="O14" s="1794"/>
      <c r="P14" s="1794"/>
      <c r="Q14" s="1794"/>
      <c r="R14" s="1794"/>
      <c r="S14" s="1794"/>
      <c r="T14" s="1794"/>
      <c r="U14" s="1794"/>
      <c r="V14" s="180">
        <v>702</v>
      </c>
      <c r="W14" s="180">
        <v>680</v>
      </c>
      <c r="X14" s="177">
        <v>160218</v>
      </c>
      <c r="Y14" s="110" t="s">
        <v>0</v>
      </c>
    </row>
    <row r="15" spans="1:25" ht="20.25" customHeight="1">
      <c r="A15" s="1789" t="s">
        <v>385</v>
      </c>
      <c r="B15" s="1758"/>
      <c r="C15" s="1758"/>
      <c r="D15" s="1758"/>
      <c r="E15" s="1758"/>
      <c r="F15" s="1758"/>
      <c r="G15" s="1758"/>
      <c r="H15" s="1758"/>
      <c r="I15" s="1758"/>
      <c r="J15" s="1758"/>
      <c r="K15" s="1758"/>
      <c r="L15" s="1758"/>
      <c r="M15" s="1758"/>
      <c r="N15" s="1758"/>
      <c r="O15" s="1758"/>
      <c r="P15" s="1758"/>
      <c r="Q15" s="1758"/>
      <c r="R15" s="1758"/>
      <c r="S15" s="1758"/>
      <c r="T15" s="1758"/>
      <c r="U15" s="1790"/>
      <c r="V15" s="181"/>
      <c r="W15" s="181"/>
      <c r="X15" s="115">
        <v>4858</v>
      </c>
      <c r="Y15" s="110" t="s">
        <v>0</v>
      </c>
    </row>
    <row r="16" spans="1:25" ht="20.25" customHeight="1">
      <c r="A16" s="1791" t="s">
        <v>363</v>
      </c>
      <c r="B16" s="1792"/>
      <c r="C16" s="1792"/>
      <c r="D16" s="1792"/>
      <c r="E16" s="1792"/>
      <c r="F16" s="1792"/>
      <c r="G16" s="1792"/>
      <c r="H16" s="1792"/>
      <c r="I16" s="1792"/>
      <c r="J16" s="1792"/>
      <c r="K16" s="1792"/>
      <c r="L16" s="1792"/>
      <c r="M16" s="1792"/>
      <c r="N16" s="1792"/>
      <c r="O16" s="1792"/>
      <c r="P16" s="1792"/>
      <c r="Q16" s="1792"/>
      <c r="R16" s="1792"/>
      <c r="S16" s="1792"/>
      <c r="T16" s="1792"/>
      <c r="U16" s="1792"/>
      <c r="V16" s="181"/>
      <c r="W16" s="181"/>
      <c r="X16" s="115">
        <v>19818</v>
      </c>
      <c r="Y16" s="110" t="s">
        <v>0</v>
      </c>
    </row>
    <row r="17" spans="1:25" ht="20.25" customHeight="1">
      <c r="A17" s="1791" t="s">
        <v>364</v>
      </c>
      <c r="B17" s="1792"/>
      <c r="C17" s="1792"/>
      <c r="D17" s="1792"/>
      <c r="E17" s="1792"/>
      <c r="F17" s="1792"/>
      <c r="G17" s="1792"/>
      <c r="H17" s="1792"/>
      <c r="I17" s="1792"/>
      <c r="J17" s="1792"/>
      <c r="K17" s="1792"/>
      <c r="L17" s="1792"/>
      <c r="M17" s="1792"/>
      <c r="N17" s="1792"/>
      <c r="O17" s="1792"/>
      <c r="P17" s="1792"/>
      <c r="Q17" s="1792"/>
      <c r="R17" s="1792"/>
      <c r="S17" s="1792"/>
      <c r="T17" s="1792"/>
      <c r="U17" s="1792"/>
      <c r="V17" s="181"/>
      <c r="W17" s="181"/>
      <c r="X17" s="115">
        <v>628</v>
      </c>
      <c r="Y17" s="110" t="s">
        <v>0</v>
      </c>
    </row>
    <row r="18" spans="1:25" ht="20.25" customHeight="1">
      <c r="A18" s="1791" t="s">
        <v>386</v>
      </c>
      <c r="B18" s="1792"/>
      <c r="C18" s="1792"/>
      <c r="D18" s="1792"/>
      <c r="E18" s="1792"/>
      <c r="F18" s="1792"/>
      <c r="G18" s="1792"/>
      <c r="H18" s="1792"/>
      <c r="I18" s="1792"/>
      <c r="J18" s="1792"/>
      <c r="K18" s="1792"/>
      <c r="L18" s="1792"/>
      <c r="M18" s="1792"/>
      <c r="N18" s="1792"/>
      <c r="O18" s="1792"/>
      <c r="P18" s="1792"/>
      <c r="Q18" s="1792"/>
      <c r="R18" s="1792"/>
      <c r="S18" s="1792"/>
      <c r="T18" s="1792"/>
      <c r="U18" s="1792"/>
      <c r="V18" s="181"/>
      <c r="W18" s="181"/>
      <c r="X18" s="115">
        <v>5122</v>
      </c>
      <c r="Y18" s="110" t="s">
        <v>0</v>
      </c>
    </row>
    <row r="19" spans="1:25" ht="20.25" customHeight="1">
      <c r="A19" s="1809" t="s">
        <v>242</v>
      </c>
      <c r="B19" s="1792"/>
      <c r="C19" s="1792"/>
      <c r="D19" s="1792"/>
      <c r="E19" s="1792"/>
      <c r="F19" s="1792"/>
      <c r="G19" s="1792"/>
      <c r="H19" s="1792"/>
      <c r="I19" s="1792"/>
      <c r="J19" s="1792"/>
      <c r="K19" s="1792"/>
      <c r="L19" s="1792"/>
      <c r="M19" s="1792"/>
      <c r="N19" s="1792"/>
      <c r="O19" s="1792"/>
      <c r="P19" s="1792"/>
      <c r="Q19" s="1792"/>
      <c r="R19" s="1792"/>
      <c r="S19" s="1792"/>
      <c r="T19" s="1792"/>
      <c r="U19" s="1792"/>
      <c r="V19" s="181"/>
      <c r="W19" s="181"/>
      <c r="X19" s="115"/>
      <c r="Y19" s="110" t="s">
        <v>0</v>
      </c>
    </row>
    <row r="20" spans="1:25">
      <c r="A20" s="1795" t="s">
        <v>117</v>
      </c>
      <c r="B20" s="1796"/>
      <c r="C20" s="1796"/>
      <c r="D20" s="1796"/>
      <c r="E20" s="1796"/>
      <c r="F20" s="1796"/>
      <c r="G20" s="1796"/>
      <c r="H20" s="1796"/>
      <c r="I20" s="1796"/>
      <c r="J20" s="1796"/>
      <c r="K20" s="1796"/>
      <c r="L20" s="1796"/>
      <c r="M20" s="1796"/>
      <c r="N20" s="1796"/>
      <c r="O20" s="1796"/>
      <c r="P20" s="1796"/>
      <c r="Q20" s="1796"/>
      <c r="R20" s="1796"/>
      <c r="S20" s="1796"/>
      <c r="T20" s="1796"/>
      <c r="U20" s="1796"/>
      <c r="V20" s="182">
        <f t="shared" ref="V20:W20" si="0">+V19+V14+V18+V17+V16+V15</f>
        <v>702</v>
      </c>
      <c r="W20" s="182">
        <f t="shared" si="0"/>
        <v>680</v>
      </c>
      <c r="X20" s="116">
        <f>+X19+X14+X18+X17+X16+X15</f>
        <v>190644</v>
      </c>
      <c r="Y20" s="110" t="s">
        <v>0</v>
      </c>
    </row>
    <row r="21" spans="1:25">
      <c r="A21" s="1793" t="s">
        <v>353</v>
      </c>
      <c r="B21" s="1794"/>
      <c r="C21" s="1794"/>
      <c r="D21" s="1794"/>
      <c r="E21" s="1794"/>
      <c r="F21" s="1794"/>
      <c r="G21" s="1794"/>
      <c r="H21" s="1794"/>
      <c r="I21" s="1794"/>
      <c r="J21" s="1794"/>
      <c r="K21" s="1794"/>
      <c r="L21" s="1794"/>
      <c r="M21" s="1794"/>
      <c r="N21" s="1794"/>
      <c r="O21" s="1794"/>
      <c r="P21" s="1794"/>
      <c r="Q21" s="1794"/>
      <c r="R21" s="1794"/>
      <c r="S21" s="1794"/>
      <c r="T21" s="1794"/>
      <c r="U21" s="1794"/>
      <c r="V21" s="183">
        <v>702</v>
      </c>
      <c r="W21" s="183">
        <v>680</v>
      </c>
      <c r="X21" s="117">
        <v>160218</v>
      </c>
      <c r="Y21" s="110" t="s">
        <v>0</v>
      </c>
    </row>
    <row r="22" spans="1:25" ht="18.75" customHeight="1">
      <c r="A22" s="1785" t="s">
        <v>41</v>
      </c>
      <c r="B22" s="1786"/>
      <c r="C22" s="1786"/>
      <c r="D22" s="1786"/>
      <c r="E22" s="1786"/>
      <c r="F22" s="1786"/>
      <c r="G22" s="1786"/>
      <c r="H22" s="1786"/>
      <c r="I22" s="1786"/>
      <c r="J22" s="1786"/>
      <c r="K22" s="1786"/>
      <c r="L22" s="1786"/>
      <c r="M22" s="1786"/>
      <c r="N22" s="1786"/>
      <c r="O22" s="1786"/>
      <c r="P22" s="1786"/>
      <c r="Q22" s="1786"/>
      <c r="R22" s="1786"/>
      <c r="S22" s="1786"/>
      <c r="T22" s="1786"/>
      <c r="U22" s="1786"/>
      <c r="V22" s="501"/>
      <c r="W22" s="501"/>
      <c r="X22" s="502"/>
      <c r="Y22" s="110" t="s">
        <v>0</v>
      </c>
    </row>
    <row r="23" spans="1:25">
      <c r="A23" s="1797" t="s">
        <v>354</v>
      </c>
      <c r="B23" s="1798"/>
      <c r="C23" s="1798"/>
      <c r="D23" s="1798"/>
      <c r="E23" s="1798"/>
      <c r="F23" s="1798"/>
      <c r="G23" s="1798"/>
      <c r="H23" s="1798"/>
      <c r="I23" s="1798"/>
      <c r="J23" s="1798"/>
      <c r="K23" s="1798"/>
      <c r="L23" s="1798"/>
      <c r="M23" s="1798"/>
      <c r="N23" s="1798"/>
      <c r="O23" s="1798"/>
      <c r="P23" s="1798"/>
      <c r="Q23" s="1798"/>
      <c r="R23" s="1798"/>
      <c r="S23" s="1798"/>
      <c r="T23" s="1798"/>
      <c r="U23" s="1798"/>
      <c r="V23" s="184">
        <f>+V22+V21</f>
        <v>702</v>
      </c>
      <c r="W23" s="184">
        <f>+W22+W21</f>
        <v>680</v>
      </c>
      <c r="X23" s="118">
        <f>+X22+X21</f>
        <v>160218</v>
      </c>
      <c r="Y23" s="110" t="s">
        <v>0</v>
      </c>
    </row>
    <row r="24" spans="1:25">
      <c r="A24" s="1757" t="s">
        <v>104</v>
      </c>
      <c r="B24" s="1758"/>
      <c r="C24" s="1758"/>
      <c r="D24" s="1758"/>
      <c r="E24" s="1758"/>
      <c r="F24" s="1758"/>
      <c r="G24" s="1758"/>
      <c r="H24" s="1758"/>
      <c r="I24" s="1758"/>
      <c r="J24" s="1758"/>
      <c r="K24" s="1758"/>
      <c r="L24" s="1758"/>
      <c r="M24" s="1758"/>
      <c r="N24" s="1758"/>
      <c r="O24" s="1758"/>
      <c r="P24" s="1758"/>
      <c r="Q24" s="1758"/>
      <c r="R24" s="1758"/>
      <c r="S24" s="1758"/>
      <c r="T24" s="1758"/>
      <c r="U24" s="1758"/>
      <c r="V24" s="114"/>
      <c r="W24" s="114"/>
      <c r="X24" s="115"/>
      <c r="Y24" s="110" t="s">
        <v>0</v>
      </c>
    </row>
    <row r="25" spans="1:25">
      <c r="A25" s="1706" t="s">
        <v>804</v>
      </c>
      <c r="B25" s="1707"/>
      <c r="C25" s="1707"/>
      <c r="D25" s="1707"/>
      <c r="E25" s="1707"/>
      <c r="F25" s="1707"/>
      <c r="G25" s="1707"/>
      <c r="H25" s="1707"/>
      <c r="I25" s="1707"/>
      <c r="J25" s="1707"/>
      <c r="K25" s="1707"/>
      <c r="L25" s="1707"/>
      <c r="M25" s="1707"/>
      <c r="N25" s="1707"/>
      <c r="O25" s="1707"/>
      <c r="P25" s="1707"/>
      <c r="Q25" s="1707"/>
      <c r="R25" s="1707"/>
      <c r="S25" s="1707"/>
      <c r="T25" s="1707"/>
      <c r="U25" s="1708"/>
      <c r="V25" s="114"/>
      <c r="W25" s="114"/>
      <c r="X25" s="115">
        <v>-21000</v>
      </c>
      <c r="Y25" s="110" t="s">
        <v>0</v>
      </c>
    </row>
    <row r="26" spans="1:25">
      <c r="A26" s="1706" t="s">
        <v>803</v>
      </c>
      <c r="B26" s="1707"/>
      <c r="C26" s="1707"/>
      <c r="D26" s="1707"/>
      <c r="E26" s="1707"/>
      <c r="F26" s="1707"/>
      <c r="G26" s="1707"/>
      <c r="H26" s="1707"/>
      <c r="I26" s="1707"/>
      <c r="J26" s="1707"/>
      <c r="K26" s="1707"/>
      <c r="L26" s="1707"/>
      <c r="M26" s="1707"/>
      <c r="N26" s="1707"/>
      <c r="O26" s="1707"/>
      <c r="P26" s="1707"/>
      <c r="Q26" s="1707"/>
      <c r="R26" s="1707"/>
      <c r="S26" s="1707"/>
      <c r="T26" s="1707"/>
      <c r="U26" s="1708"/>
      <c r="V26" s="114"/>
      <c r="W26" s="114"/>
      <c r="X26" s="115">
        <v>21000</v>
      </c>
      <c r="Y26" s="110" t="s">
        <v>0</v>
      </c>
    </row>
    <row r="27" spans="1:25">
      <c r="A27" s="1709" t="s">
        <v>367</v>
      </c>
      <c r="B27" s="1710"/>
      <c r="C27" s="1710"/>
      <c r="D27" s="1710"/>
      <c r="E27" s="1710"/>
      <c r="F27" s="1710"/>
      <c r="G27" s="1710"/>
      <c r="H27" s="1710"/>
      <c r="I27" s="1710"/>
      <c r="J27" s="1710"/>
      <c r="K27" s="1710"/>
      <c r="L27" s="1710"/>
      <c r="M27" s="1710"/>
      <c r="N27" s="1710"/>
      <c r="O27" s="1710"/>
      <c r="P27" s="1710"/>
      <c r="Q27" s="1710"/>
      <c r="R27" s="1710"/>
      <c r="S27" s="1710"/>
      <c r="T27" s="1710"/>
      <c r="U27" s="1710"/>
      <c r="V27" s="114">
        <f>SUM(V23:V26)</f>
        <v>702</v>
      </c>
      <c r="W27" s="114">
        <f>SUM(W23:W26)</f>
        <v>680</v>
      </c>
      <c r="X27" s="114">
        <f>SUM(X25:X26)</f>
        <v>0</v>
      </c>
      <c r="Y27" s="110" t="s">
        <v>0</v>
      </c>
    </row>
    <row r="28" spans="1:25">
      <c r="A28" s="1722" t="s">
        <v>12</v>
      </c>
      <c r="B28" s="1723"/>
      <c r="C28" s="1723"/>
      <c r="D28" s="1723"/>
      <c r="E28" s="1723"/>
      <c r="F28" s="1723"/>
      <c r="G28" s="1723"/>
      <c r="H28" s="1723"/>
      <c r="I28" s="1723"/>
      <c r="J28" s="1723"/>
      <c r="K28" s="1723"/>
      <c r="L28" s="1723"/>
      <c r="M28" s="1723"/>
      <c r="N28" s="1723"/>
      <c r="O28" s="1723"/>
      <c r="P28" s="1723"/>
      <c r="Q28" s="1723"/>
      <c r="R28" s="1723"/>
      <c r="S28" s="1723"/>
      <c r="T28" s="1723"/>
      <c r="U28" s="1723"/>
      <c r="V28" s="114"/>
      <c r="W28" s="114"/>
      <c r="X28" s="115"/>
      <c r="Y28" s="110" t="s">
        <v>0</v>
      </c>
    </row>
    <row r="29" spans="1:25">
      <c r="A29" s="1719" t="s">
        <v>37</v>
      </c>
      <c r="B29" s="1720"/>
      <c r="C29" s="1720"/>
      <c r="D29" s="1720"/>
      <c r="E29" s="1720"/>
      <c r="F29" s="1720"/>
      <c r="G29" s="1720"/>
      <c r="H29" s="1720"/>
      <c r="I29" s="1720"/>
      <c r="J29" s="1720"/>
      <c r="K29" s="1720"/>
      <c r="L29" s="1720"/>
      <c r="M29" s="1720"/>
      <c r="N29" s="1720"/>
      <c r="O29" s="1720"/>
      <c r="P29" s="1720"/>
      <c r="Q29" s="1720"/>
      <c r="R29" s="1720"/>
      <c r="S29" s="1720"/>
      <c r="T29" s="1720"/>
      <c r="U29" s="1720"/>
      <c r="V29" s="114"/>
      <c r="W29" s="114"/>
      <c r="X29" s="115"/>
      <c r="Y29" s="110" t="s">
        <v>0</v>
      </c>
    </row>
    <row r="30" spans="1:25">
      <c r="A30" s="1706" t="s">
        <v>365</v>
      </c>
      <c r="B30" s="1707"/>
      <c r="C30" s="1707"/>
      <c r="D30" s="1707"/>
      <c r="E30" s="1707"/>
      <c r="F30" s="1707"/>
      <c r="G30" s="1707"/>
      <c r="H30" s="1707"/>
      <c r="I30" s="1707"/>
      <c r="J30" s="1707"/>
      <c r="K30" s="1707"/>
      <c r="L30" s="1707"/>
      <c r="M30" s="1707"/>
      <c r="N30" s="1707"/>
      <c r="O30" s="1707"/>
      <c r="P30" s="1707"/>
      <c r="Q30" s="1707"/>
      <c r="R30" s="1707"/>
      <c r="S30" s="1707"/>
      <c r="T30" s="1707"/>
      <c r="U30" s="1708"/>
      <c r="V30" s="114"/>
      <c r="W30" s="114"/>
      <c r="X30" s="115">
        <v>-20</v>
      </c>
      <c r="Y30" s="110" t="s">
        <v>0</v>
      </c>
    </row>
    <row r="31" spans="1:25">
      <c r="A31" s="1706" t="s">
        <v>366</v>
      </c>
      <c r="B31" s="1707"/>
      <c r="C31" s="1707"/>
      <c r="D31" s="1707"/>
      <c r="E31" s="1707"/>
      <c r="F31" s="1707"/>
      <c r="G31" s="1707"/>
      <c r="H31" s="1707"/>
      <c r="I31" s="1707"/>
      <c r="J31" s="1707"/>
      <c r="K31" s="1707"/>
      <c r="L31" s="1707"/>
      <c r="M31" s="1707"/>
      <c r="N31" s="1707"/>
      <c r="O31" s="1707"/>
      <c r="P31" s="1707"/>
      <c r="Q31" s="1707"/>
      <c r="R31" s="1707"/>
      <c r="S31" s="1707"/>
      <c r="T31" s="1707"/>
      <c r="U31" s="1708"/>
      <c r="V31" s="114"/>
      <c r="W31" s="114"/>
      <c r="X31" s="115">
        <v>-14</v>
      </c>
      <c r="Y31" s="110" t="s">
        <v>0</v>
      </c>
    </row>
    <row r="32" spans="1:25">
      <c r="A32" s="1709" t="s">
        <v>367</v>
      </c>
      <c r="B32" s="1710"/>
      <c r="C32" s="1710"/>
      <c r="D32" s="1710"/>
      <c r="E32" s="1710"/>
      <c r="F32" s="1710"/>
      <c r="G32" s="1710"/>
      <c r="H32" s="1710"/>
      <c r="I32" s="1710"/>
      <c r="J32" s="1710"/>
      <c r="K32" s="1710"/>
      <c r="L32" s="1710"/>
      <c r="M32" s="1710"/>
      <c r="N32" s="1710"/>
      <c r="O32" s="1710"/>
      <c r="P32" s="1710"/>
      <c r="Q32" s="1710"/>
      <c r="R32" s="1710"/>
      <c r="S32" s="1710"/>
      <c r="T32" s="1710"/>
      <c r="U32" s="1710"/>
      <c r="V32" s="114">
        <f>SUM(V28:V31)</f>
        <v>0</v>
      </c>
      <c r="W32" s="114">
        <f>SUM(W28:W31)</f>
        <v>0</v>
      </c>
      <c r="X32" s="114">
        <f>SUM(X28:X31)</f>
        <v>-34</v>
      </c>
      <c r="Y32" s="110" t="s">
        <v>0</v>
      </c>
    </row>
    <row r="33" spans="1:25">
      <c r="A33" s="1721" t="s">
        <v>350</v>
      </c>
      <c r="B33" s="1720"/>
      <c r="C33" s="1720"/>
      <c r="D33" s="1720"/>
      <c r="E33" s="1720"/>
      <c r="F33" s="1720"/>
      <c r="G33" s="1720"/>
      <c r="H33" s="1720"/>
      <c r="I33" s="1720"/>
      <c r="J33" s="1720"/>
      <c r="K33" s="1720"/>
      <c r="L33" s="1720"/>
      <c r="M33" s="1720"/>
      <c r="N33" s="1720"/>
      <c r="O33" s="1720"/>
      <c r="P33" s="1720"/>
      <c r="Q33" s="1720"/>
      <c r="R33" s="1720"/>
      <c r="S33" s="1720"/>
      <c r="T33" s="1720"/>
      <c r="U33" s="1720"/>
      <c r="V33" s="114"/>
      <c r="W33" s="114"/>
      <c r="X33" s="115"/>
      <c r="Y33" s="110" t="s">
        <v>0</v>
      </c>
    </row>
    <row r="34" spans="1:25">
      <c r="A34" s="1706" t="s">
        <v>251</v>
      </c>
      <c r="B34" s="1710"/>
      <c r="C34" s="1710"/>
      <c r="D34" s="1710"/>
      <c r="E34" s="1710"/>
      <c r="F34" s="1710"/>
      <c r="G34" s="1710"/>
      <c r="H34" s="1710"/>
      <c r="I34" s="1710"/>
      <c r="J34" s="1710"/>
      <c r="K34" s="1710"/>
      <c r="L34" s="1710"/>
      <c r="M34" s="1710"/>
      <c r="N34" s="1710"/>
      <c r="O34" s="1710"/>
      <c r="P34" s="1710"/>
      <c r="Q34" s="1710"/>
      <c r="R34" s="1710"/>
      <c r="S34" s="1710"/>
      <c r="T34" s="1710"/>
      <c r="U34" s="1710"/>
      <c r="V34" s="114"/>
      <c r="W34" s="114"/>
      <c r="X34" s="115">
        <f>357-381-55+370+87</f>
        <v>378</v>
      </c>
      <c r="Y34" s="110" t="s">
        <v>0</v>
      </c>
    </row>
    <row r="35" spans="1:25">
      <c r="A35" s="1747" t="s">
        <v>13</v>
      </c>
      <c r="B35" s="1748"/>
      <c r="C35" s="1748"/>
      <c r="D35" s="1748"/>
      <c r="E35" s="1748"/>
      <c r="F35" s="1748"/>
      <c r="G35" s="1748"/>
      <c r="H35" s="1748"/>
      <c r="I35" s="1748"/>
      <c r="J35" s="1748"/>
      <c r="K35" s="1748"/>
      <c r="L35" s="1748"/>
      <c r="M35" s="1748"/>
      <c r="N35" s="1748"/>
      <c r="O35" s="1748"/>
      <c r="P35" s="1748"/>
      <c r="Q35" s="1748"/>
      <c r="R35" s="1748"/>
      <c r="S35" s="1748"/>
      <c r="T35" s="1748"/>
      <c r="U35" s="1748"/>
      <c r="V35" s="114"/>
      <c r="W35" s="114"/>
      <c r="X35" s="115">
        <f>-3256+11447</f>
        <v>8191</v>
      </c>
      <c r="Y35" s="110" t="s">
        <v>0</v>
      </c>
    </row>
    <row r="36" spans="1:25">
      <c r="A36" s="1775" t="s">
        <v>271</v>
      </c>
      <c r="B36" s="1710"/>
      <c r="C36" s="1710"/>
      <c r="D36" s="1710"/>
      <c r="E36" s="1710"/>
      <c r="F36" s="1710"/>
      <c r="G36" s="1710"/>
      <c r="H36" s="1710"/>
      <c r="I36" s="1710"/>
      <c r="J36" s="1710"/>
      <c r="K36" s="1710"/>
      <c r="L36" s="1710"/>
      <c r="M36" s="1710"/>
      <c r="N36" s="1710"/>
      <c r="O36" s="1710"/>
      <c r="P36" s="1710"/>
      <c r="Q36" s="1710"/>
      <c r="R36" s="1710"/>
      <c r="S36" s="1710"/>
      <c r="T36" s="1710"/>
      <c r="U36" s="1710"/>
      <c r="V36" s="114">
        <f>SUM(V34:V35)</f>
        <v>0</v>
      </c>
      <c r="W36" s="114">
        <f>SUM(W34:W35)</f>
        <v>0</v>
      </c>
      <c r="X36" s="114">
        <f>SUM(X34:X35)</f>
        <v>8569</v>
      </c>
      <c r="Y36" s="110" t="s">
        <v>0</v>
      </c>
    </row>
    <row r="37" spans="1:25">
      <c r="A37" s="1719" t="s">
        <v>39</v>
      </c>
      <c r="B37" s="1720"/>
      <c r="C37" s="1720"/>
      <c r="D37" s="1720"/>
      <c r="E37" s="1720"/>
      <c r="F37" s="1720"/>
      <c r="G37" s="1720"/>
      <c r="H37" s="1720"/>
      <c r="I37" s="1720"/>
      <c r="J37" s="1720"/>
      <c r="K37" s="1720"/>
      <c r="L37" s="1720"/>
      <c r="M37" s="1720"/>
      <c r="N37" s="1720"/>
      <c r="O37" s="1720"/>
      <c r="P37" s="1720"/>
      <c r="Q37" s="1720"/>
      <c r="R37" s="1720"/>
      <c r="S37" s="1720"/>
      <c r="T37" s="1720"/>
      <c r="U37" s="1720"/>
      <c r="V37" s="114">
        <f>+V32+V36</f>
        <v>0</v>
      </c>
      <c r="W37" s="114">
        <f t="shared" ref="W37:X37" si="1">+W32+W36</f>
        <v>0</v>
      </c>
      <c r="X37" s="114">
        <f t="shared" si="1"/>
        <v>8535</v>
      </c>
      <c r="Y37" s="110" t="s">
        <v>0</v>
      </c>
    </row>
    <row r="38" spans="1:25">
      <c r="A38" s="1719" t="s">
        <v>38</v>
      </c>
      <c r="B38" s="1720"/>
      <c r="C38" s="1720"/>
      <c r="D38" s="1720"/>
      <c r="E38" s="1720"/>
      <c r="F38" s="1720"/>
      <c r="G38" s="1720"/>
      <c r="H38" s="1720"/>
      <c r="I38" s="1720"/>
      <c r="J38" s="1720"/>
      <c r="K38" s="1720"/>
      <c r="L38" s="1720"/>
      <c r="M38" s="1720"/>
      <c r="N38" s="1720"/>
      <c r="O38" s="1720"/>
      <c r="P38" s="1720"/>
      <c r="Q38" s="1720"/>
      <c r="R38" s="1720"/>
      <c r="S38" s="1720"/>
      <c r="T38" s="1720"/>
      <c r="U38" s="1720"/>
      <c r="V38" s="114">
        <f>V24+V37</f>
        <v>0</v>
      </c>
      <c r="W38" s="114">
        <f>W24+W37</f>
        <v>0</v>
      </c>
      <c r="X38" s="114">
        <f>X27+X37</f>
        <v>8535</v>
      </c>
      <c r="Y38" s="110" t="s">
        <v>0</v>
      </c>
    </row>
    <row r="39" spans="1:25">
      <c r="A39" s="1714" t="s">
        <v>244</v>
      </c>
      <c r="B39" s="1715"/>
      <c r="C39" s="1715"/>
      <c r="D39" s="1715"/>
      <c r="E39" s="1715"/>
      <c r="F39" s="1715"/>
      <c r="G39" s="1715"/>
      <c r="H39" s="1715"/>
      <c r="I39" s="1715"/>
      <c r="J39" s="1715"/>
      <c r="K39" s="1715"/>
      <c r="L39" s="1715"/>
      <c r="M39" s="1715"/>
      <c r="N39" s="1715"/>
      <c r="O39" s="1715"/>
      <c r="P39" s="1715"/>
      <c r="Q39" s="1715"/>
      <c r="R39" s="1715"/>
      <c r="S39" s="1715"/>
      <c r="T39" s="1715"/>
      <c r="U39" s="1716"/>
      <c r="V39" s="175">
        <f>+V38+V23</f>
        <v>702</v>
      </c>
      <c r="W39" s="175">
        <f>+W38+W23</f>
        <v>680</v>
      </c>
      <c r="X39" s="175">
        <f>+X38+X23</f>
        <v>168753</v>
      </c>
      <c r="Y39" s="110" t="s">
        <v>0</v>
      </c>
    </row>
    <row r="40" spans="1:25">
      <c r="A40" s="1721" t="s">
        <v>368</v>
      </c>
      <c r="B40" s="1720"/>
      <c r="C40" s="1720"/>
      <c r="D40" s="1720"/>
      <c r="E40" s="1720"/>
      <c r="F40" s="1720"/>
      <c r="G40" s="1720"/>
      <c r="H40" s="1720"/>
      <c r="I40" s="1720"/>
      <c r="J40" s="1720"/>
      <c r="K40" s="1720"/>
      <c r="L40" s="1720"/>
      <c r="M40" s="1720"/>
      <c r="N40" s="1720"/>
      <c r="O40" s="1720"/>
      <c r="P40" s="1720"/>
      <c r="Q40" s="1720"/>
      <c r="R40" s="1720"/>
      <c r="S40" s="1720"/>
      <c r="T40" s="1720"/>
      <c r="U40" s="1720"/>
      <c r="V40" s="114" t="s">
        <v>278</v>
      </c>
      <c r="W40" s="114"/>
      <c r="X40" s="115"/>
      <c r="Y40" s="110" t="s">
        <v>0</v>
      </c>
    </row>
    <row r="41" spans="1:25">
      <c r="A41" s="1709" t="s">
        <v>801</v>
      </c>
      <c r="B41" s="1710"/>
      <c r="C41" s="1710"/>
      <c r="D41" s="1710"/>
      <c r="E41" s="1710"/>
      <c r="F41" s="1710"/>
      <c r="G41" s="1710"/>
      <c r="H41" s="1710"/>
      <c r="I41" s="1710"/>
      <c r="J41" s="1710"/>
      <c r="K41" s="1710"/>
      <c r="L41" s="1710"/>
      <c r="M41" s="1710"/>
      <c r="N41" s="1710"/>
      <c r="O41" s="1710"/>
      <c r="P41" s="1710"/>
      <c r="Q41" s="1710"/>
      <c r="R41" s="1710"/>
      <c r="S41" s="1710"/>
      <c r="T41" s="1710"/>
      <c r="U41" s="1710"/>
      <c r="V41" s="114">
        <v>28</v>
      </c>
      <c r="W41" s="114">
        <v>36</v>
      </c>
      <c r="X41" s="114">
        <f>56178-16396</f>
        <v>39782</v>
      </c>
      <c r="Y41" s="110" t="s">
        <v>0</v>
      </c>
    </row>
    <row r="42" spans="1:25">
      <c r="A42" s="1709" t="s">
        <v>271</v>
      </c>
      <c r="B42" s="1710"/>
      <c r="C42" s="1710"/>
      <c r="D42" s="1710"/>
      <c r="E42" s="1710"/>
      <c r="F42" s="1710"/>
      <c r="G42" s="1710"/>
      <c r="H42" s="1710"/>
      <c r="I42" s="1710"/>
      <c r="J42" s="1710"/>
      <c r="K42" s="1710"/>
      <c r="L42" s="1710"/>
      <c r="M42" s="1710"/>
      <c r="N42" s="1710"/>
      <c r="O42" s="1710"/>
      <c r="P42" s="1710"/>
      <c r="Q42" s="1710"/>
      <c r="R42" s="1710"/>
      <c r="S42" s="1710"/>
      <c r="T42" s="1710"/>
      <c r="U42" s="1710"/>
      <c r="V42" s="500">
        <f>SUM(V41)</f>
        <v>28</v>
      </c>
      <c r="W42" s="115">
        <f>SUM(W41)</f>
        <v>36</v>
      </c>
      <c r="X42" s="115">
        <f>SUM(X41)</f>
        <v>39782</v>
      </c>
      <c r="Y42" s="110" t="s">
        <v>0</v>
      </c>
    </row>
    <row r="43" spans="1:25">
      <c r="A43" s="1721" t="s">
        <v>369</v>
      </c>
      <c r="B43" s="1720"/>
      <c r="C43" s="1720"/>
      <c r="D43" s="1720"/>
      <c r="E43" s="1720"/>
      <c r="F43" s="1720"/>
      <c r="G43" s="1720"/>
      <c r="H43" s="1720"/>
      <c r="I43" s="1720"/>
      <c r="J43" s="1720"/>
      <c r="K43" s="1720"/>
      <c r="L43" s="1720"/>
      <c r="M43" s="1720"/>
      <c r="N43" s="1720"/>
      <c r="O43" s="1720"/>
      <c r="P43" s="1720"/>
      <c r="Q43" s="1720"/>
      <c r="R43" s="1720"/>
      <c r="S43" s="1720"/>
      <c r="T43" s="1720"/>
      <c r="U43" s="1720"/>
      <c r="V43" s="114"/>
      <c r="W43" s="114"/>
      <c r="X43" s="115"/>
      <c r="Y43" s="110" t="s">
        <v>0</v>
      </c>
    </row>
    <row r="44" spans="1:25">
      <c r="A44" s="1709" t="s">
        <v>370</v>
      </c>
      <c r="B44" s="1710"/>
      <c r="C44" s="1710"/>
      <c r="D44" s="1710"/>
      <c r="E44" s="1710"/>
      <c r="F44" s="1710"/>
      <c r="G44" s="1710"/>
      <c r="H44" s="1710"/>
      <c r="I44" s="1710"/>
      <c r="J44" s="1710"/>
      <c r="K44" s="1710"/>
      <c r="L44" s="1710"/>
      <c r="M44" s="1710"/>
      <c r="N44" s="1710"/>
      <c r="O44" s="1710"/>
      <c r="P44" s="1710"/>
      <c r="Q44" s="1710"/>
      <c r="R44" s="1710"/>
      <c r="S44" s="1710"/>
      <c r="T44" s="1710"/>
      <c r="U44" s="1710"/>
      <c r="V44" s="114"/>
      <c r="W44" s="114"/>
      <c r="X44" s="115">
        <v>-118</v>
      </c>
      <c r="Y44" s="110" t="s">
        <v>0</v>
      </c>
    </row>
    <row r="45" spans="1:25">
      <c r="A45" s="1709" t="s">
        <v>371</v>
      </c>
      <c r="B45" s="1710"/>
      <c r="C45" s="1710"/>
      <c r="D45" s="1710"/>
      <c r="E45" s="1710"/>
      <c r="F45" s="1710"/>
      <c r="G45" s="1710"/>
      <c r="H45" s="1710"/>
      <c r="I45" s="1710"/>
      <c r="J45" s="1710"/>
      <c r="K45" s="1710"/>
      <c r="L45" s="1710"/>
      <c r="M45" s="1710"/>
      <c r="N45" s="1710"/>
      <c r="O45" s="1710"/>
      <c r="P45" s="1710"/>
      <c r="Q45" s="1710"/>
      <c r="R45" s="1710"/>
      <c r="S45" s="1710"/>
      <c r="T45" s="1710"/>
      <c r="U45" s="1710"/>
      <c r="V45" s="114"/>
      <c r="W45" s="114"/>
      <c r="X45" s="115">
        <v>-62</v>
      </c>
      <c r="Y45" s="110" t="s">
        <v>0</v>
      </c>
    </row>
    <row r="46" spans="1:25">
      <c r="A46" s="1709" t="s">
        <v>802</v>
      </c>
      <c r="B46" s="1710"/>
      <c r="C46" s="1710"/>
      <c r="D46" s="1710"/>
      <c r="E46" s="1710"/>
      <c r="F46" s="1710"/>
      <c r="G46" s="1710"/>
      <c r="H46" s="1710"/>
      <c r="I46" s="1710"/>
      <c r="J46" s="1710"/>
      <c r="K46" s="1710"/>
      <c r="L46" s="1710"/>
      <c r="M46" s="1710"/>
      <c r="N46" s="1710"/>
      <c r="O46" s="1710"/>
      <c r="P46" s="1710"/>
      <c r="Q46" s="1710"/>
      <c r="R46" s="1710"/>
      <c r="S46" s="1710"/>
      <c r="T46" s="1710"/>
      <c r="U46" s="1710"/>
      <c r="V46" s="500">
        <f>SUM(V44:V45)</f>
        <v>0</v>
      </c>
      <c r="W46" s="115">
        <f>SUM(W44:W45)</f>
        <v>0</v>
      </c>
      <c r="X46" s="115">
        <f>SUM(X44:X45)</f>
        <v>-180</v>
      </c>
      <c r="Y46" s="110" t="s">
        <v>0</v>
      </c>
    </row>
    <row r="47" spans="1:25" ht="18" customHeight="1">
      <c r="A47" s="1719" t="s">
        <v>106</v>
      </c>
      <c r="B47" s="1720"/>
      <c r="C47" s="1720"/>
      <c r="D47" s="1720"/>
      <c r="E47" s="1720"/>
      <c r="F47" s="1720"/>
      <c r="G47" s="1720"/>
      <c r="H47" s="1720"/>
      <c r="I47" s="1720"/>
      <c r="J47" s="1720"/>
      <c r="K47" s="1720"/>
      <c r="L47" s="1720"/>
      <c r="M47" s="1720"/>
      <c r="N47" s="1720"/>
      <c r="O47" s="1720"/>
      <c r="P47" s="1720"/>
      <c r="Q47" s="1720"/>
      <c r="R47" s="1720"/>
      <c r="S47" s="1720"/>
      <c r="T47" s="1720"/>
      <c r="U47" s="1720"/>
      <c r="V47" s="120">
        <f>V42+V46</f>
        <v>28</v>
      </c>
      <c r="W47" s="120">
        <f>W42+W46</f>
        <v>36</v>
      </c>
      <c r="X47" s="120">
        <f>X42+X46</f>
        <v>39602</v>
      </c>
      <c r="Y47" s="110" t="s">
        <v>0</v>
      </c>
    </row>
    <row r="48" spans="1:25" ht="18" customHeight="1">
      <c r="A48" s="1717" t="s">
        <v>245</v>
      </c>
      <c r="B48" s="1718"/>
      <c r="C48" s="1718"/>
      <c r="D48" s="1718"/>
      <c r="E48" s="1718"/>
      <c r="F48" s="1718"/>
      <c r="G48" s="1718"/>
      <c r="H48" s="1718"/>
      <c r="I48" s="1718"/>
      <c r="J48" s="1718"/>
      <c r="K48" s="1718"/>
      <c r="L48" s="1718"/>
      <c r="M48" s="1718"/>
      <c r="N48" s="1718"/>
      <c r="O48" s="1718"/>
      <c r="P48" s="1718"/>
      <c r="Q48" s="1718"/>
      <c r="R48" s="1718"/>
      <c r="S48" s="1718"/>
      <c r="T48" s="1718"/>
      <c r="U48" s="1718"/>
      <c r="V48" s="121">
        <f>V39+V47</f>
        <v>730</v>
      </c>
      <c r="W48" s="121">
        <f>W39+W47</f>
        <v>716</v>
      </c>
      <c r="X48" s="121">
        <f>X39+X47</f>
        <v>208355</v>
      </c>
      <c r="Y48" s="110" t="s">
        <v>0</v>
      </c>
    </row>
    <row r="49" spans="1:25" ht="18" customHeight="1">
      <c r="A49" s="1774" t="s">
        <v>360</v>
      </c>
      <c r="B49" s="1718"/>
      <c r="C49" s="1718"/>
      <c r="D49" s="1718"/>
      <c r="E49" s="1718"/>
      <c r="F49" s="1718"/>
      <c r="G49" s="1718"/>
      <c r="H49" s="1718"/>
      <c r="I49" s="1718"/>
      <c r="J49" s="1718"/>
      <c r="K49" s="1718"/>
      <c r="L49" s="1718"/>
      <c r="M49" s="1718"/>
      <c r="N49" s="1718"/>
      <c r="O49" s="1718"/>
      <c r="P49" s="1718"/>
      <c r="Q49" s="1718"/>
      <c r="R49" s="1718"/>
      <c r="S49" s="1718"/>
      <c r="T49" s="1718"/>
      <c r="U49" s="1718"/>
      <c r="V49" s="119">
        <f>+V48-V20</f>
        <v>28</v>
      </c>
      <c r="W49" s="119">
        <f>+W48-W20</f>
        <v>36</v>
      </c>
      <c r="X49" s="119">
        <f>X48-X23</f>
        <v>48137</v>
      </c>
      <c r="Y49" s="110" t="s">
        <v>0</v>
      </c>
    </row>
    <row r="50" spans="1:25">
      <c r="Y50" s="110" t="s">
        <v>0</v>
      </c>
    </row>
    <row r="51" spans="1:25" ht="18" customHeight="1">
      <c r="Y51" s="110" t="s">
        <v>0</v>
      </c>
    </row>
    <row r="52" spans="1:25" ht="18" customHeight="1">
      <c r="Y52" s="110" t="s">
        <v>0</v>
      </c>
    </row>
    <row r="53" spans="1:25" ht="18" customHeight="1">
      <c r="Y53" s="110" t="s">
        <v>0</v>
      </c>
    </row>
    <row r="54" spans="1:25" ht="18" customHeight="1">
      <c r="Y54" s="110" t="s">
        <v>0</v>
      </c>
    </row>
    <row r="55" spans="1:25" ht="18" customHeight="1">
      <c r="Y55" s="110" t="s">
        <v>0</v>
      </c>
    </row>
    <row r="56" spans="1:25" ht="18" customHeight="1">
      <c r="Y56" s="110" t="s">
        <v>0</v>
      </c>
    </row>
    <row r="57" spans="1:25" ht="18" customHeight="1">
      <c r="Y57" s="110" t="s">
        <v>0</v>
      </c>
    </row>
    <row r="58" spans="1:25" ht="18" customHeight="1">
      <c r="Y58" s="110" t="s">
        <v>0</v>
      </c>
    </row>
    <row r="59" spans="1:25" ht="22.5">
      <c r="A59" s="1776" t="s">
        <v>267</v>
      </c>
      <c r="B59" s="1777"/>
      <c r="C59" s="1777"/>
      <c r="D59" s="1777"/>
      <c r="E59" s="1777"/>
      <c r="F59" s="1777"/>
      <c r="G59" s="1777"/>
      <c r="H59" s="1777"/>
      <c r="I59" s="1777"/>
      <c r="J59" s="1777"/>
      <c r="K59" s="1777"/>
      <c r="L59" s="1777"/>
      <c r="M59" s="1777"/>
      <c r="N59" s="1777"/>
      <c r="O59" s="1777"/>
      <c r="P59" s="1777"/>
      <c r="Q59" s="1777"/>
      <c r="R59" s="1777"/>
      <c r="S59" s="1777"/>
      <c r="T59" s="1777"/>
      <c r="U59" s="1777"/>
      <c r="V59" s="1777"/>
      <c r="W59" s="1777"/>
      <c r="X59" s="1777"/>
      <c r="Y59" s="110" t="s">
        <v>0</v>
      </c>
    </row>
    <row r="60" spans="1:25" ht="23.25">
      <c r="A60" s="1778" t="str">
        <f>A5</f>
        <v>Office of Justice Programs</v>
      </c>
      <c r="B60" s="1779"/>
      <c r="C60" s="1779"/>
      <c r="D60" s="1779"/>
      <c r="E60" s="1779"/>
      <c r="F60" s="1779"/>
      <c r="G60" s="1779"/>
      <c r="H60" s="1779"/>
      <c r="I60" s="1779"/>
      <c r="J60" s="1779"/>
      <c r="K60" s="1779"/>
      <c r="L60" s="1779"/>
      <c r="M60" s="1779"/>
      <c r="N60" s="1779"/>
      <c r="O60" s="1779"/>
      <c r="P60" s="1779"/>
      <c r="Q60" s="1779"/>
      <c r="R60" s="1779"/>
      <c r="S60" s="1779"/>
      <c r="T60" s="1779"/>
      <c r="U60" s="1779"/>
      <c r="V60" s="1779"/>
      <c r="W60" s="1779"/>
      <c r="X60" s="1779"/>
      <c r="Y60" s="110" t="s">
        <v>0</v>
      </c>
    </row>
    <row r="61" spans="1:25" ht="23.25">
      <c r="A61" s="1778" t="s">
        <v>258</v>
      </c>
      <c r="B61" s="1777"/>
      <c r="C61" s="1777"/>
      <c r="D61" s="1777"/>
      <c r="E61" s="1777"/>
      <c r="F61" s="1777"/>
      <c r="G61" s="1777"/>
      <c r="H61" s="1777"/>
      <c r="I61" s="1777"/>
      <c r="J61" s="1777"/>
      <c r="K61" s="1777"/>
      <c r="L61" s="1777"/>
      <c r="M61" s="1777"/>
      <c r="N61" s="1777"/>
      <c r="O61" s="1777"/>
      <c r="P61" s="1777"/>
      <c r="Q61" s="1777"/>
      <c r="R61" s="1777"/>
      <c r="S61" s="1777"/>
      <c r="T61" s="1777"/>
      <c r="U61" s="1777"/>
      <c r="V61" s="1777"/>
      <c r="W61" s="1777"/>
      <c r="X61" s="1777"/>
      <c r="Y61" s="110" t="s">
        <v>0</v>
      </c>
    </row>
    <row r="62" spans="1:25" ht="23.25">
      <c r="A62" s="1778" t="s">
        <v>257</v>
      </c>
      <c r="B62" s="1780"/>
      <c r="C62" s="1780"/>
      <c r="D62" s="1780"/>
      <c r="E62" s="1780"/>
      <c r="F62" s="1780"/>
      <c r="G62" s="1780"/>
      <c r="H62" s="1780"/>
      <c r="I62" s="1780"/>
      <c r="J62" s="1780"/>
      <c r="K62" s="1780"/>
      <c r="L62" s="1780"/>
      <c r="M62" s="1780"/>
      <c r="N62" s="1780"/>
      <c r="O62" s="1780"/>
      <c r="P62" s="1780"/>
      <c r="Q62" s="1780"/>
      <c r="R62" s="1780"/>
      <c r="S62" s="1780"/>
      <c r="T62" s="1780"/>
      <c r="U62" s="1780"/>
      <c r="V62" s="1780"/>
      <c r="W62" s="1780"/>
      <c r="X62" s="1780"/>
      <c r="Y62" s="110" t="s">
        <v>0</v>
      </c>
    </row>
    <row r="63" spans="1:25" ht="18" customHeight="1">
      <c r="Y63" s="110" t="s">
        <v>0</v>
      </c>
    </row>
    <row r="64" spans="1:25" ht="18" customHeight="1">
      <c r="Y64" s="110" t="s">
        <v>0</v>
      </c>
    </row>
    <row r="65" spans="1:25" ht="18" customHeight="1">
      <c r="Y65" s="110" t="s">
        <v>0</v>
      </c>
    </row>
    <row r="66" spans="1:25" ht="18" customHeight="1">
      <c r="Y66" s="110" t="s">
        <v>0</v>
      </c>
    </row>
    <row r="67" spans="1:25" ht="18" customHeight="1">
      <c r="A67" s="64"/>
      <c r="B67" s="64"/>
      <c r="C67" s="64"/>
      <c r="D67" s="65"/>
      <c r="E67" s="65"/>
      <c r="F67" s="65"/>
      <c r="G67" s="65"/>
      <c r="H67" s="65"/>
      <c r="I67" s="65"/>
      <c r="J67" s="65"/>
      <c r="K67" s="65"/>
      <c r="L67" s="65"/>
      <c r="M67" s="65"/>
      <c r="N67" s="65"/>
      <c r="O67" s="65"/>
      <c r="P67" s="65"/>
      <c r="Q67" s="65"/>
      <c r="R67" s="65"/>
      <c r="S67" s="65"/>
      <c r="T67" s="65"/>
      <c r="U67" s="65"/>
      <c r="V67" s="65"/>
      <c r="W67" s="65"/>
      <c r="X67" s="65"/>
      <c r="Y67" s="110" t="s">
        <v>0</v>
      </c>
    </row>
    <row r="68" spans="1:25" ht="22.5" customHeight="1">
      <c r="A68" s="1768" t="s">
        <v>276</v>
      </c>
      <c r="B68" s="1769"/>
      <c r="C68" s="1769"/>
      <c r="D68" s="1724" t="s">
        <v>18</v>
      </c>
      <c r="E68" s="1728"/>
      <c r="F68" s="1749"/>
      <c r="G68" s="1751" t="s">
        <v>355</v>
      </c>
      <c r="H68" s="1752"/>
      <c r="I68" s="1753"/>
      <c r="J68" s="1724" t="s">
        <v>246</v>
      </c>
      <c r="K68" s="1728"/>
      <c r="L68" s="1749"/>
      <c r="M68" s="1724" t="s">
        <v>244</v>
      </c>
      <c r="N68" s="1728"/>
      <c r="O68" s="1749"/>
      <c r="P68" s="1724" t="s">
        <v>247</v>
      </c>
      <c r="Q68" s="1725"/>
      <c r="R68" s="1725"/>
      <c r="S68" s="1724" t="s">
        <v>248</v>
      </c>
      <c r="T68" s="1728"/>
      <c r="U68" s="1728"/>
      <c r="V68" s="1724" t="s">
        <v>42</v>
      </c>
      <c r="W68" s="1728"/>
      <c r="X68" s="1749"/>
      <c r="Y68" s="110" t="s">
        <v>0</v>
      </c>
    </row>
    <row r="69" spans="1:25" ht="27.75" customHeight="1">
      <c r="A69" s="1770"/>
      <c r="B69" s="1771"/>
      <c r="C69" s="1771"/>
      <c r="D69" s="1729"/>
      <c r="E69" s="1730"/>
      <c r="F69" s="1750"/>
      <c r="G69" s="1754"/>
      <c r="H69" s="1755"/>
      <c r="I69" s="1756"/>
      <c r="J69" s="1729"/>
      <c r="K69" s="1730"/>
      <c r="L69" s="1750"/>
      <c r="M69" s="1729"/>
      <c r="N69" s="1730"/>
      <c r="O69" s="1750"/>
      <c r="P69" s="1726"/>
      <c r="Q69" s="1727"/>
      <c r="R69" s="1727"/>
      <c r="S69" s="1729"/>
      <c r="T69" s="1730"/>
      <c r="U69" s="1730"/>
      <c r="V69" s="1729"/>
      <c r="W69" s="1730"/>
      <c r="X69" s="1750"/>
      <c r="Y69" s="110" t="s">
        <v>0</v>
      </c>
    </row>
    <row r="70" spans="1:25" ht="16.5" thickBot="1">
      <c r="A70" s="1772"/>
      <c r="B70" s="1773"/>
      <c r="C70" s="1773"/>
      <c r="D70" s="225" t="s">
        <v>277</v>
      </c>
      <c r="E70" s="226" t="s">
        <v>49</v>
      </c>
      <c r="F70" s="227" t="s">
        <v>279</v>
      </c>
      <c r="G70" s="225" t="s">
        <v>277</v>
      </c>
      <c r="H70" s="226" t="s">
        <v>49</v>
      </c>
      <c r="I70" s="227" t="s">
        <v>279</v>
      </c>
      <c r="J70" s="225" t="s">
        <v>277</v>
      </c>
      <c r="K70" s="226" t="s">
        <v>49</v>
      </c>
      <c r="L70" s="227" t="s">
        <v>279</v>
      </c>
      <c r="M70" s="225" t="s">
        <v>277</v>
      </c>
      <c r="N70" s="226" t="s">
        <v>49</v>
      </c>
      <c r="O70" s="227" t="s">
        <v>279</v>
      </c>
      <c r="P70" s="225" t="s">
        <v>277</v>
      </c>
      <c r="Q70" s="226" t="s">
        <v>49</v>
      </c>
      <c r="R70" s="227" t="s">
        <v>279</v>
      </c>
      <c r="S70" s="225" t="s">
        <v>277</v>
      </c>
      <c r="T70" s="226" t="s">
        <v>49</v>
      </c>
      <c r="U70" s="227" t="s">
        <v>279</v>
      </c>
      <c r="V70" s="228" t="s">
        <v>277</v>
      </c>
      <c r="W70" s="226" t="s">
        <v>49</v>
      </c>
      <c r="X70" s="229" t="s">
        <v>279</v>
      </c>
      <c r="Y70" s="110" t="s">
        <v>0</v>
      </c>
    </row>
    <row r="71" spans="1:25">
      <c r="A71" s="1731" t="s">
        <v>258</v>
      </c>
      <c r="B71" s="1732"/>
      <c r="C71" s="1733"/>
      <c r="D71" s="186">
        <v>702</v>
      </c>
      <c r="E71" s="187">
        <v>680</v>
      </c>
      <c r="F71" s="188">
        <v>139218</v>
      </c>
      <c r="G71" s="186">
        <v>702</v>
      </c>
      <c r="H71" s="187">
        <v>680</v>
      </c>
      <c r="I71" s="188">
        <v>139218</v>
      </c>
      <c r="J71" s="186"/>
      <c r="K71" s="187"/>
      <c r="L71" s="188">
        <f>8535+21000</f>
        <v>29535</v>
      </c>
      <c r="M71" s="186">
        <f t="shared" ref="M71:N71" si="2">J71+G71</f>
        <v>702</v>
      </c>
      <c r="N71" s="187">
        <f t="shared" si="2"/>
        <v>680</v>
      </c>
      <c r="O71" s="188">
        <f>L71+I71</f>
        <v>168753</v>
      </c>
      <c r="P71" s="186"/>
      <c r="Q71" s="187"/>
      <c r="R71" s="188"/>
      <c r="S71" s="186"/>
      <c r="T71" s="187"/>
      <c r="U71" s="615"/>
      <c r="V71" s="186">
        <f>P71+M71+S71</f>
        <v>702</v>
      </c>
      <c r="W71" s="187">
        <f>+N71+Q71+T71</f>
        <v>680</v>
      </c>
      <c r="X71" s="189">
        <f>R71+O71+U71</f>
        <v>168753</v>
      </c>
      <c r="Y71" s="110" t="s">
        <v>0</v>
      </c>
    </row>
    <row r="72" spans="1:25" ht="28.5" customHeight="1">
      <c r="A72" s="1734" t="s">
        <v>372</v>
      </c>
      <c r="B72" s="1735"/>
      <c r="C72" s="1736"/>
      <c r="D72" s="186"/>
      <c r="E72" s="187"/>
      <c r="F72" s="190">
        <v>21000</v>
      </c>
      <c r="G72" s="186">
        <v>0</v>
      </c>
      <c r="H72" s="187">
        <v>0</v>
      </c>
      <c r="I72" s="41">
        <v>21000</v>
      </c>
      <c r="J72" s="186"/>
      <c r="K72" s="187"/>
      <c r="L72" s="188">
        <v>-21000</v>
      </c>
      <c r="M72" s="186">
        <v>0</v>
      </c>
      <c r="N72" s="187">
        <v>0</v>
      </c>
      <c r="O72" s="188">
        <f t="shared" ref="O72:O74" si="3">L72+I72</f>
        <v>0</v>
      </c>
      <c r="P72" s="186"/>
      <c r="Q72" s="187"/>
      <c r="R72" s="41"/>
      <c r="S72" s="186"/>
      <c r="T72" s="187"/>
      <c r="U72" s="41"/>
      <c r="V72" s="186">
        <f>P72+M72+S72</f>
        <v>0</v>
      </c>
      <c r="W72" s="187">
        <f>+N72+Q72+T72</f>
        <v>0</v>
      </c>
      <c r="X72" s="189">
        <f>R72+O72+U72</f>
        <v>0</v>
      </c>
      <c r="Y72" s="110" t="s">
        <v>0</v>
      </c>
    </row>
    <row r="73" spans="1:25">
      <c r="A73" s="1711" t="s">
        <v>408</v>
      </c>
      <c r="B73" s="1737"/>
      <c r="C73" s="1738"/>
      <c r="D73" s="186"/>
      <c r="E73" s="187"/>
      <c r="F73" s="41">
        <v>30426</v>
      </c>
      <c r="G73" s="186"/>
      <c r="H73" s="187"/>
      <c r="I73" s="41"/>
      <c r="J73" s="186"/>
      <c r="K73" s="187"/>
      <c r="L73" s="41"/>
      <c r="M73" s="186"/>
      <c r="N73" s="187"/>
      <c r="O73" s="188">
        <f t="shared" si="3"/>
        <v>0</v>
      </c>
      <c r="P73" s="186"/>
      <c r="Q73" s="187"/>
      <c r="R73" s="41"/>
      <c r="S73" s="186"/>
      <c r="T73" s="187"/>
      <c r="U73" s="41"/>
      <c r="V73" s="186">
        <f>P73+M73+S73</f>
        <v>0</v>
      </c>
      <c r="W73" s="187">
        <f>+N73+Q73+T73</f>
        <v>0</v>
      </c>
      <c r="X73" s="189">
        <f>R73+O73+U73</f>
        <v>0</v>
      </c>
      <c r="Y73" s="110" t="s">
        <v>0</v>
      </c>
    </row>
    <row r="74" spans="1:25" ht="33.75" customHeight="1">
      <c r="A74" s="1734" t="s">
        <v>801</v>
      </c>
      <c r="B74" s="1735"/>
      <c r="C74" s="1736"/>
      <c r="D74" s="186"/>
      <c r="E74" s="187"/>
      <c r="F74" s="41"/>
      <c r="G74" s="186"/>
      <c r="H74" s="187"/>
      <c r="I74" s="41"/>
      <c r="J74" s="186"/>
      <c r="K74" s="187"/>
      <c r="L74" s="41"/>
      <c r="M74" s="186"/>
      <c r="N74" s="187"/>
      <c r="O74" s="188">
        <f t="shared" si="3"/>
        <v>0</v>
      </c>
      <c r="P74" s="186">
        <v>28</v>
      </c>
      <c r="Q74" s="187">
        <v>36</v>
      </c>
      <c r="R74" s="41">
        <f>56178-16396</f>
        <v>39782</v>
      </c>
      <c r="S74" s="186"/>
      <c r="T74" s="187"/>
      <c r="U74" s="615"/>
      <c r="V74" s="186">
        <f>P74+M74+S74</f>
        <v>28</v>
      </c>
      <c r="W74" s="187">
        <f>+N74+Q74+T74</f>
        <v>36</v>
      </c>
      <c r="X74" s="115">
        <f>R74+O74+U74</f>
        <v>39782</v>
      </c>
      <c r="Y74" s="110" t="s">
        <v>0</v>
      </c>
    </row>
    <row r="75" spans="1:25" ht="16.5" customHeight="1">
      <c r="A75" s="1711" t="s">
        <v>370</v>
      </c>
      <c r="B75" s="1712"/>
      <c r="C75" s="1713"/>
      <c r="D75" s="186"/>
      <c r="E75" s="187"/>
      <c r="F75" s="41"/>
      <c r="G75" s="186"/>
      <c r="H75" s="187"/>
      <c r="I75" s="41"/>
      <c r="J75" s="186"/>
      <c r="K75" s="187"/>
      <c r="L75" s="41"/>
      <c r="M75" s="186"/>
      <c r="N75" s="187"/>
      <c r="O75" s="188"/>
      <c r="P75" s="186"/>
      <c r="Q75" s="187"/>
      <c r="R75" s="41"/>
      <c r="S75" s="186"/>
      <c r="T75" s="187"/>
      <c r="U75" s="615">
        <v>-118</v>
      </c>
      <c r="V75" s="186"/>
      <c r="W75" s="187"/>
      <c r="X75" s="115">
        <f t="shared" ref="X75:X76" si="4">R75+O75+U75</f>
        <v>-118</v>
      </c>
      <c r="Y75" s="110" t="s">
        <v>0</v>
      </c>
    </row>
    <row r="76" spans="1:25" ht="16.5" customHeight="1">
      <c r="A76" s="1711" t="s">
        <v>371</v>
      </c>
      <c r="B76" s="1712"/>
      <c r="C76" s="1713"/>
      <c r="D76" s="186"/>
      <c r="E76" s="187"/>
      <c r="F76" s="41"/>
      <c r="G76" s="186"/>
      <c r="H76" s="187"/>
      <c r="I76" s="41"/>
      <c r="J76" s="186"/>
      <c r="K76" s="187"/>
      <c r="L76" s="41"/>
      <c r="M76" s="186"/>
      <c r="N76" s="187"/>
      <c r="O76" s="188">
        <f t="shared" ref="O76" si="5">L76+I76</f>
        <v>0</v>
      </c>
      <c r="P76" s="186"/>
      <c r="Q76" s="187"/>
      <c r="R76" s="41"/>
      <c r="S76" s="186"/>
      <c r="T76" s="187"/>
      <c r="U76" s="615">
        <v>-62</v>
      </c>
      <c r="V76" s="186">
        <f>P76+M76+S76</f>
        <v>0</v>
      </c>
      <c r="W76" s="187">
        <f>+N76+Q76+T76</f>
        <v>0</v>
      </c>
      <c r="X76" s="115">
        <f t="shared" si="4"/>
        <v>-62</v>
      </c>
      <c r="Y76" s="110" t="s">
        <v>0</v>
      </c>
    </row>
    <row r="77" spans="1:25">
      <c r="A77" s="218"/>
      <c r="B77" s="219"/>
      <c r="C77" s="219" t="s">
        <v>50</v>
      </c>
      <c r="D77" s="230">
        <f t="shared" ref="D77:X77" si="6">SUM(D71:D76)</f>
        <v>702</v>
      </c>
      <c r="E77" s="231">
        <f t="shared" si="6"/>
        <v>680</v>
      </c>
      <c r="F77" s="191">
        <f t="shared" si="6"/>
        <v>190644</v>
      </c>
      <c r="G77" s="230">
        <f t="shared" si="6"/>
        <v>702</v>
      </c>
      <c r="H77" s="231">
        <f t="shared" si="6"/>
        <v>680</v>
      </c>
      <c r="I77" s="191">
        <f t="shared" si="6"/>
        <v>160218</v>
      </c>
      <c r="J77" s="230">
        <f t="shared" si="6"/>
        <v>0</v>
      </c>
      <c r="K77" s="231">
        <f t="shared" si="6"/>
        <v>0</v>
      </c>
      <c r="L77" s="328">
        <f t="shared" si="6"/>
        <v>8535</v>
      </c>
      <c r="M77" s="230">
        <f t="shared" si="6"/>
        <v>702</v>
      </c>
      <c r="N77" s="231">
        <f t="shared" si="6"/>
        <v>680</v>
      </c>
      <c r="O77" s="191">
        <f t="shared" si="6"/>
        <v>168753</v>
      </c>
      <c r="P77" s="230">
        <f t="shared" si="6"/>
        <v>28</v>
      </c>
      <c r="Q77" s="231">
        <f t="shared" si="6"/>
        <v>36</v>
      </c>
      <c r="R77" s="191">
        <f t="shared" si="6"/>
        <v>39782</v>
      </c>
      <c r="S77" s="230">
        <f t="shared" si="6"/>
        <v>0</v>
      </c>
      <c r="T77" s="231">
        <f t="shared" si="6"/>
        <v>0</v>
      </c>
      <c r="U77" s="329">
        <f t="shared" si="6"/>
        <v>-180</v>
      </c>
      <c r="V77" s="230">
        <f t="shared" si="6"/>
        <v>730</v>
      </c>
      <c r="W77" s="231">
        <f t="shared" si="6"/>
        <v>716</v>
      </c>
      <c r="X77" s="192">
        <f t="shared" si="6"/>
        <v>208355</v>
      </c>
      <c r="Y77" s="110" t="s">
        <v>0</v>
      </c>
    </row>
    <row r="78" spans="1:25" ht="17.25" customHeight="1">
      <c r="A78" s="220"/>
      <c r="B78" s="1762"/>
      <c r="C78" s="1763"/>
      <c r="D78" s="232"/>
      <c r="E78" s="233"/>
      <c r="F78" s="4"/>
      <c r="G78" s="236"/>
      <c r="H78" s="237"/>
      <c r="I78" s="237"/>
      <c r="J78" s="236"/>
      <c r="K78" s="237"/>
      <c r="L78" s="237"/>
      <c r="M78" s="236"/>
      <c r="N78" s="237"/>
      <c r="O78" s="237"/>
      <c r="P78" s="236"/>
      <c r="Q78" s="237"/>
      <c r="R78" s="237"/>
      <c r="S78" s="236"/>
      <c r="T78" s="237"/>
      <c r="U78" s="237"/>
      <c r="V78" s="236"/>
      <c r="W78" s="242"/>
      <c r="X78" s="401"/>
      <c r="Y78" s="110" t="s">
        <v>0</v>
      </c>
    </row>
    <row r="79" spans="1:25">
      <c r="A79" s="218"/>
      <c r="B79" s="1764" t="s">
        <v>263</v>
      </c>
      <c r="C79" s="1765"/>
      <c r="D79" s="234"/>
      <c r="E79" s="235"/>
      <c r="F79" s="193"/>
      <c r="G79" s="238"/>
      <c r="H79" s="239"/>
      <c r="I79" s="239"/>
      <c r="J79" s="238"/>
      <c r="K79" s="239"/>
      <c r="L79" s="239"/>
      <c r="M79" s="238"/>
      <c r="N79" s="239"/>
      <c r="O79" s="239"/>
      <c r="P79" s="238"/>
      <c r="Q79" s="239"/>
      <c r="R79" s="239"/>
      <c r="S79" s="238"/>
      <c r="T79" s="239"/>
      <c r="U79" s="239"/>
      <c r="V79" s="238"/>
      <c r="W79" s="235"/>
      <c r="X79" s="331"/>
      <c r="Y79" s="110" t="s">
        <v>0</v>
      </c>
    </row>
    <row r="80" spans="1:25">
      <c r="A80" s="216"/>
      <c r="B80" s="1741" t="s">
        <v>262</v>
      </c>
      <c r="C80" s="1742"/>
      <c r="D80" s="186"/>
      <c r="E80" s="187">
        <f>+E77+E79</f>
        <v>680</v>
      </c>
      <c r="F80" s="41"/>
      <c r="G80" s="240"/>
      <c r="H80" s="187">
        <f>+H77+H79</f>
        <v>680</v>
      </c>
      <c r="I80" s="188"/>
      <c r="J80" s="240"/>
      <c r="K80" s="187">
        <f>+K77+K79</f>
        <v>0</v>
      </c>
      <c r="L80" s="188"/>
      <c r="M80" s="240"/>
      <c r="N80" s="187">
        <f>+N77+N79</f>
        <v>680</v>
      </c>
      <c r="O80" s="188"/>
      <c r="P80" s="240"/>
      <c r="Q80" s="187">
        <f>+Q77+Q79</f>
        <v>36</v>
      </c>
      <c r="R80" s="188"/>
      <c r="S80" s="240"/>
      <c r="T80" s="187">
        <f>+T77+T79</f>
        <v>0</v>
      </c>
      <c r="U80" s="188"/>
      <c r="V80" s="240"/>
      <c r="W80" s="187">
        <f>+W77+W79</f>
        <v>716</v>
      </c>
      <c r="X80" s="115"/>
      <c r="Y80" s="110" t="s">
        <v>0</v>
      </c>
    </row>
    <row r="81" spans="1:25">
      <c r="A81" s="221"/>
      <c r="B81" s="1766"/>
      <c r="C81" s="1767"/>
      <c r="D81" s="232"/>
      <c r="E81" s="233"/>
      <c r="F81" s="4"/>
      <c r="G81" s="236"/>
      <c r="H81" s="237"/>
      <c r="I81" s="237"/>
      <c r="J81" s="236"/>
      <c r="K81" s="237"/>
      <c r="L81" s="237"/>
      <c r="M81" s="236"/>
      <c r="N81" s="237"/>
      <c r="O81" s="237"/>
      <c r="P81" s="236"/>
      <c r="Q81" s="237"/>
      <c r="R81" s="237"/>
      <c r="S81" s="236"/>
      <c r="T81" s="237"/>
      <c r="U81" s="237"/>
      <c r="V81" s="236"/>
      <c r="W81" s="242"/>
      <c r="X81" s="401"/>
      <c r="Y81" s="110" t="s">
        <v>0</v>
      </c>
    </row>
    <row r="82" spans="1:25">
      <c r="A82" s="216"/>
      <c r="B82" s="1741" t="s">
        <v>260</v>
      </c>
      <c r="C82" s="1742"/>
      <c r="D82" s="186"/>
      <c r="E82" s="187"/>
      <c r="F82" s="41"/>
      <c r="G82" s="240"/>
      <c r="H82" s="188"/>
      <c r="I82" s="188"/>
      <c r="J82" s="240"/>
      <c r="K82" s="188"/>
      <c r="L82" s="188"/>
      <c r="M82" s="240"/>
      <c r="N82" s="188"/>
      <c r="O82" s="188"/>
      <c r="P82" s="240"/>
      <c r="Q82" s="188"/>
      <c r="R82" s="188"/>
      <c r="S82" s="240"/>
      <c r="T82" s="188"/>
      <c r="U82" s="188"/>
      <c r="V82" s="240"/>
      <c r="W82" s="188"/>
      <c r="X82" s="115"/>
      <c r="Y82" s="110" t="s">
        <v>0</v>
      </c>
    </row>
    <row r="83" spans="1:25">
      <c r="A83" s="216"/>
      <c r="B83" s="222"/>
      <c r="C83" s="217" t="s">
        <v>55</v>
      </c>
      <c r="D83" s="186"/>
      <c r="E83" s="187"/>
      <c r="F83" s="41"/>
      <c r="G83" s="240"/>
      <c r="H83" s="188"/>
      <c r="I83" s="188"/>
      <c r="J83" s="240"/>
      <c r="K83" s="187"/>
      <c r="L83" s="188"/>
      <c r="M83" s="240"/>
      <c r="N83" s="187"/>
      <c r="O83" s="188"/>
      <c r="P83" s="240"/>
      <c r="Q83" s="187"/>
      <c r="R83" s="188"/>
      <c r="S83" s="240"/>
      <c r="T83" s="187"/>
      <c r="U83" s="188"/>
      <c r="V83" s="240"/>
      <c r="W83" s="241"/>
      <c r="X83" s="115"/>
      <c r="Y83" s="110" t="s">
        <v>0</v>
      </c>
    </row>
    <row r="84" spans="1:25">
      <c r="A84" s="218"/>
      <c r="B84" s="223"/>
      <c r="C84" s="224" t="s">
        <v>103</v>
      </c>
      <c r="D84" s="234"/>
      <c r="E84" s="235"/>
      <c r="F84" s="193"/>
      <c r="G84" s="238"/>
      <c r="H84" s="239"/>
      <c r="I84" s="239"/>
      <c r="J84" s="238"/>
      <c r="K84" s="235"/>
      <c r="L84" s="239"/>
      <c r="M84" s="238"/>
      <c r="N84" s="235"/>
      <c r="O84" s="239"/>
      <c r="P84" s="238"/>
      <c r="Q84" s="235"/>
      <c r="R84" s="239"/>
      <c r="S84" s="238"/>
      <c r="T84" s="235"/>
      <c r="U84" s="239"/>
      <c r="V84" s="238"/>
      <c r="W84" s="235"/>
      <c r="X84" s="331"/>
      <c r="Y84" s="110" t="s">
        <v>0</v>
      </c>
    </row>
    <row r="85" spans="1:25">
      <c r="A85" s="218"/>
      <c r="B85" s="1743" t="s">
        <v>261</v>
      </c>
      <c r="C85" s="1744"/>
      <c r="D85" s="234"/>
      <c r="E85" s="235">
        <f>E84+E83+E80</f>
        <v>680</v>
      </c>
      <c r="F85" s="193"/>
      <c r="G85" s="238"/>
      <c r="H85" s="235">
        <f>H84+H83+H80</f>
        <v>680</v>
      </c>
      <c r="I85" s="239"/>
      <c r="J85" s="238"/>
      <c r="K85" s="235">
        <f>K84+K83+K80</f>
        <v>0</v>
      </c>
      <c r="L85" s="239"/>
      <c r="M85" s="238"/>
      <c r="N85" s="235">
        <f>N84+N83+N80</f>
        <v>680</v>
      </c>
      <c r="O85" s="239"/>
      <c r="P85" s="238"/>
      <c r="Q85" s="235">
        <f>Q84+Q83+Q80</f>
        <v>36</v>
      </c>
      <c r="R85" s="239"/>
      <c r="S85" s="238"/>
      <c r="T85" s="235">
        <f>T84+T83+T80</f>
        <v>0</v>
      </c>
      <c r="U85" s="239"/>
      <c r="V85" s="238"/>
      <c r="W85" s="235">
        <f>W84+W83+W80</f>
        <v>716</v>
      </c>
      <c r="X85" s="331"/>
      <c r="Y85" s="110" t="s">
        <v>24</v>
      </c>
    </row>
    <row r="86" spans="1:25">
      <c r="C86" s="5"/>
    </row>
    <row r="87" spans="1:25" s="544" customFormat="1" ht="15">
      <c r="D87" s="545"/>
      <c r="E87" s="545"/>
      <c r="F87" s="545"/>
      <c r="G87" s="545"/>
      <c r="H87" s="545"/>
      <c r="I87" s="545"/>
      <c r="J87" s="545"/>
      <c r="K87" s="545"/>
      <c r="L87" s="545"/>
      <c r="M87" s="545"/>
      <c r="N87" s="545"/>
      <c r="O87" s="545"/>
      <c r="P87" s="545"/>
      <c r="Q87" s="545"/>
      <c r="R87" s="545"/>
      <c r="S87" s="545"/>
      <c r="T87" s="545"/>
      <c r="U87" s="545"/>
      <c r="V87" s="545"/>
      <c r="W87" s="545"/>
      <c r="X87" s="545"/>
      <c r="Y87" s="546"/>
    </row>
    <row r="88" spans="1:25" s="544" customFormat="1" ht="15">
      <c r="D88" s="545"/>
      <c r="E88" s="545"/>
      <c r="F88" s="545"/>
      <c r="G88" s="545"/>
      <c r="H88" s="545"/>
      <c r="I88" s="545"/>
      <c r="J88" s="545"/>
      <c r="K88" s="545"/>
      <c r="L88" s="545"/>
      <c r="M88" s="545"/>
      <c r="N88" s="545"/>
      <c r="O88" s="545"/>
      <c r="P88" s="545"/>
      <c r="Q88" s="545"/>
      <c r="R88" s="545"/>
      <c r="S88" s="545"/>
      <c r="T88" s="545"/>
      <c r="U88" s="545"/>
      <c r="V88" s="545"/>
      <c r="W88" s="545"/>
      <c r="X88" s="545"/>
      <c r="Y88" s="546"/>
    </row>
    <row r="89" spans="1:25" s="544" customFormat="1" ht="15">
      <c r="D89" s="545"/>
      <c r="E89" s="545"/>
      <c r="F89" s="545"/>
      <c r="G89" s="545"/>
      <c r="H89" s="545"/>
      <c r="I89" s="545"/>
      <c r="J89" s="545"/>
      <c r="K89" s="545"/>
      <c r="L89" s="545"/>
      <c r="M89" s="545"/>
      <c r="N89" s="545"/>
      <c r="O89" s="545"/>
      <c r="P89" s="545"/>
      <c r="Q89" s="545"/>
      <c r="R89" s="545"/>
      <c r="S89" s="545"/>
      <c r="T89" s="545"/>
      <c r="U89" s="545"/>
      <c r="V89" s="545"/>
      <c r="W89" s="545"/>
      <c r="X89" s="545"/>
      <c r="Y89" s="546"/>
    </row>
    <row r="90" spans="1:25" s="544" customFormat="1" ht="15">
      <c r="A90" s="547"/>
      <c r="B90" s="547"/>
      <c r="C90" s="547"/>
      <c r="D90" s="548"/>
      <c r="E90" s="548"/>
      <c r="F90" s="548"/>
      <c r="G90" s="548"/>
      <c r="H90" s="548"/>
      <c r="I90" s="548"/>
      <c r="J90" s="548"/>
      <c r="K90" s="548"/>
      <c r="L90" s="548"/>
      <c r="M90" s="548"/>
      <c r="N90" s="548"/>
      <c r="O90" s="548"/>
      <c r="P90" s="548"/>
      <c r="Q90" s="548"/>
      <c r="R90" s="548"/>
      <c r="S90" s="548"/>
      <c r="T90" s="548"/>
      <c r="U90" s="548"/>
      <c r="V90" s="548"/>
      <c r="W90" s="548"/>
      <c r="X90" s="548"/>
      <c r="Y90" s="546"/>
    </row>
    <row r="91" spans="1:25" s="544" customFormat="1" ht="15">
      <c r="A91" s="549"/>
      <c r="B91" s="549"/>
      <c r="C91" s="549"/>
      <c r="D91" s="73"/>
      <c r="E91" s="73"/>
      <c r="F91" s="73"/>
      <c r="G91" s="73"/>
      <c r="H91" s="73"/>
      <c r="I91" s="73"/>
      <c r="J91" s="73"/>
      <c r="K91" s="73"/>
      <c r="L91" s="73"/>
      <c r="M91" s="73"/>
      <c r="N91" s="73"/>
      <c r="O91" s="73"/>
      <c r="P91" s="73"/>
      <c r="Q91" s="73"/>
      <c r="R91" s="73"/>
      <c r="S91" s="73"/>
      <c r="T91" s="73"/>
      <c r="U91" s="73"/>
      <c r="V91" s="73"/>
      <c r="W91" s="550"/>
      <c r="X91" s="550"/>
      <c r="Y91" s="546"/>
    </row>
    <row r="92" spans="1:25" s="544" customFormat="1" ht="26.25">
      <c r="A92" s="1761"/>
      <c r="B92" s="1761"/>
      <c r="C92" s="1761"/>
      <c r="D92" s="1761"/>
      <c r="E92" s="1761"/>
      <c r="F92" s="1761"/>
      <c r="G92" s="1761"/>
      <c r="H92" s="1761"/>
      <c r="I92" s="1761"/>
      <c r="J92" s="1761"/>
      <c r="K92" s="1761"/>
      <c r="L92" s="1761"/>
      <c r="M92" s="1761"/>
      <c r="N92" s="1761"/>
      <c r="O92" s="1761"/>
      <c r="P92" s="1761"/>
      <c r="Q92" s="1761"/>
      <c r="R92" s="1761"/>
      <c r="S92" s="1761"/>
      <c r="T92" s="1761"/>
      <c r="U92" s="1761"/>
      <c r="V92" s="1761"/>
      <c r="W92" s="85"/>
      <c r="X92" s="85"/>
      <c r="Y92" s="546"/>
    </row>
    <row r="93" spans="1:25" s="544" customFormat="1" ht="25.5">
      <c r="A93" s="1759"/>
      <c r="B93" s="1760"/>
      <c r="C93" s="1760"/>
      <c r="D93" s="1760"/>
      <c r="E93" s="1760"/>
      <c r="F93" s="1760"/>
      <c r="G93" s="1760"/>
      <c r="H93" s="1760"/>
      <c r="I93" s="1760"/>
      <c r="J93" s="1760"/>
      <c r="K93" s="1760"/>
      <c r="L93" s="1760"/>
      <c r="M93" s="1760"/>
      <c r="N93" s="1760"/>
      <c r="O93" s="1760"/>
      <c r="P93" s="1760"/>
      <c r="Q93" s="1760"/>
      <c r="R93" s="1760"/>
      <c r="S93" s="1760"/>
      <c r="T93" s="1760"/>
      <c r="U93" s="1760"/>
      <c r="V93" s="1760"/>
      <c r="W93" s="86"/>
      <c r="X93" s="86"/>
      <c r="Y93" s="546"/>
    </row>
    <row r="94" spans="1:25" s="544" customFormat="1" ht="25.5">
      <c r="A94" s="1745"/>
      <c r="B94" s="1746"/>
      <c r="C94" s="1746"/>
      <c r="D94" s="1746"/>
      <c r="E94" s="1746"/>
      <c r="F94" s="1746"/>
      <c r="G94" s="1746"/>
      <c r="H94" s="1746"/>
      <c r="I94" s="1746"/>
      <c r="J94" s="1746"/>
      <c r="K94" s="1746"/>
      <c r="L94" s="1746"/>
      <c r="M94" s="1746"/>
      <c r="N94" s="1746"/>
      <c r="O94" s="1746"/>
      <c r="P94" s="1746"/>
      <c r="Q94" s="1746"/>
      <c r="R94" s="1746"/>
      <c r="S94" s="1746"/>
      <c r="T94" s="1746"/>
      <c r="U94" s="1746"/>
      <c r="V94" s="1746"/>
      <c r="W94" s="86"/>
      <c r="X94" s="86"/>
      <c r="Y94" s="546"/>
    </row>
    <row r="95" spans="1:25" s="544" customFormat="1" ht="30" customHeight="1">
      <c r="A95" s="1746"/>
      <c r="B95" s="1746"/>
      <c r="C95" s="1746"/>
      <c r="D95" s="1746"/>
      <c r="E95" s="1746"/>
      <c r="F95" s="1746"/>
      <c r="G95" s="1746"/>
      <c r="H95" s="1746"/>
      <c r="I95" s="1746"/>
      <c r="J95" s="1746"/>
      <c r="K95" s="1746"/>
      <c r="L95" s="1746"/>
      <c r="M95" s="1746"/>
      <c r="N95" s="1746"/>
      <c r="O95" s="1746"/>
      <c r="P95" s="1746"/>
      <c r="Q95" s="1746"/>
      <c r="R95" s="1746"/>
      <c r="S95" s="1746"/>
      <c r="T95" s="1746"/>
      <c r="U95" s="1746"/>
      <c r="V95" s="1746"/>
      <c r="W95" s="86"/>
      <c r="X95" s="86"/>
      <c r="Y95" s="546"/>
    </row>
    <row r="96" spans="1:25" s="544" customFormat="1" ht="62.25" customHeight="1">
      <c r="A96" s="1739"/>
      <c r="B96" s="1739"/>
      <c r="C96" s="1739"/>
      <c r="D96" s="1739"/>
      <c r="E96" s="1739"/>
      <c r="F96" s="1739"/>
      <c r="G96" s="1739"/>
      <c r="H96" s="1739"/>
      <c r="I96" s="1739"/>
      <c r="J96" s="1739"/>
      <c r="K96" s="1739"/>
      <c r="L96" s="1739"/>
      <c r="M96" s="1739"/>
      <c r="N96" s="1739"/>
      <c r="O96" s="1739"/>
      <c r="P96" s="1739"/>
      <c r="Q96" s="1739"/>
      <c r="R96" s="1739"/>
      <c r="S96" s="1739"/>
      <c r="T96" s="1739"/>
      <c r="U96" s="1739"/>
      <c r="V96" s="1739"/>
      <c r="W96" s="80"/>
      <c r="X96" s="80"/>
      <c r="Y96" s="546"/>
    </row>
    <row r="97" spans="1:25" s="544" customFormat="1" ht="90.75" customHeight="1">
      <c r="A97" s="1739"/>
      <c r="B97" s="1740"/>
      <c r="C97" s="1740"/>
      <c r="D97" s="1740"/>
      <c r="E97" s="1740"/>
      <c r="F97" s="1740"/>
      <c r="G97" s="1740"/>
      <c r="H97" s="1740"/>
      <c r="I97" s="1740"/>
      <c r="J97" s="1740"/>
      <c r="K97" s="1740"/>
      <c r="L97" s="1740"/>
      <c r="M97" s="1740"/>
      <c r="N97" s="1740"/>
      <c r="O97" s="1740"/>
      <c r="P97" s="1740"/>
      <c r="Q97" s="1740"/>
      <c r="R97" s="1740"/>
      <c r="S97" s="1740"/>
      <c r="T97" s="1740"/>
      <c r="U97" s="1740"/>
      <c r="V97" s="1740"/>
      <c r="W97" s="80"/>
      <c r="X97" s="80"/>
      <c r="Y97" s="546"/>
    </row>
    <row r="98" spans="1:25" s="556" customFormat="1" ht="25.5">
      <c r="D98" s="557"/>
      <c r="E98" s="557"/>
      <c r="F98" s="557"/>
      <c r="G98" s="557"/>
      <c r="H98" s="557"/>
      <c r="I98" s="557"/>
      <c r="J98" s="557"/>
      <c r="K98" s="557"/>
      <c r="L98" s="557"/>
      <c r="M98" s="557"/>
      <c r="N98" s="557"/>
      <c r="O98" s="557"/>
      <c r="P98" s="557"/>
      <c r="Q98" s="557"/>
      <c r="R98" s="557"/>
      <c r="S98" s="557"/>
      <c r="T98" s="557"/>
      <c r="U98" s="557"/>
      <c r="V98" s="557"/>
      <c r="W98" s="558"/>
      <c r="X98" s="559"/>
    </row>
    <row r="99" spans="1:25">
      <c r="W99" s="45"/>
      <c r="X99" s="45"/>
    </row>
    <row r="100" spans="1:25">
      <c r="K100" s="92"/>
    </row>
  </sheetData>
  <mergeCells count="80">
    <mergeCell ref="A23:U23"/>
    <mergeCell ref="A1:X1"/>
    <mergeCell ref="A14:U14"/>
    <mergeCell ref="A2:X2"/>
    <mergeCell ref="A3:X3"/>
    <mergeCell ref="A8:X8"/>
    <mergeCell ref="A9:X9"/>
    <mergeCell ref="X12:X13"/>
    <mergeCell ref="W12:W13"/>
    <mergeCell ref="A4:X4"/>
    <mergeCell ref="A5:X5"/>
    <mergeCell ref="A6:X6"/>
    <mergeCell ref="A7:X7"/>
    <mergeCell ref="V11:X11"/>
    <mergeCell ref="A19:U19"/>
    <mergeCell ref="A10:X10"/>
    <mergeCell ref="A11:U13"/>
    <mergeCell ref="A22:U22"/>
    <mergeCell ref="V12:V13"/>
    <mergeCell ref="A15:U15"/>
    <mergeCell ref="A18:U18"/>
    <mergeCell ref="A16:U16"/>
    <mergeCell ref="A17:U17"/>
    <mergeCell ref="A21:U21"/>
    <mergeCell ref="A20:U20"/>
    <mergeCell ref="A24:U24"/>
    <mergeCell ref="A96:V96"/>
    <mergeCell ref="A25:U25"/>
    <mergeCell ref="A93:V93"/>
    <mergeCell ref="A92:V92"/>
    <mergeCell ref="B78:C78"/>
    <mergeCell ref="B79:C79"/>
    <mergeCell ref="B81:C81"/>
    <mergeCell ref="A68:C70"/>
    <mergeCell ref="A49:U49"/>
    <mergeCell ref="A36:U36"/>
    <mergeCell ref="A59:X59"/>
    <mergeCell ref="A60:X60"/>
    <mergeCell ref="A31:U31"/>
    <mergeCell ref="A61:X61"/>
    <mergeCell ref="A62:X62"/>
    <mergeCell ref="A30:U30"/>
    <mergeCell ref="A32:U32"/>
    <mergeCell ref="A97:V97"/>
    <mergeCell ref="B80:C80"/>
    <mergeCell ref="B82:C82"/>
    <mergeCell ref="B85:C85"/>
    <mergeCell ref="A94:V95"/>
    <mergeCell ref="A35:U35"/>
    <mergeCell ref="A40:U40"/>
    <mergeCell ref="A37:U37"/>
    <mergeCell ref="A38:U38"/>
    <mergeCell ref="V68:X69"/>
    <mergeCell ref="D68:F69"/>
    <mergeCell ref="G68:I69"/>
    <mergeCell ref="J68:L69"/>
    <mergeCell ref="M68:O69"/>
    <mergeCell ref="P68:R69"/>
    <mergeCell ref="S68:U69"/>
    <mergeCell ref="A76:C76"/>
    <mergeCell ref="A71:C71"/>
    <mergeCell ref="A72:C72"/>
    <mergeCell ref="A73:C73"/>
    <mergeCell ref="A74:C74"/>
    <mergeCell ref="A26:U26"/>
    <mergeCell ref="A27:U27"/>
    <mergeCell ref="A46:U46"/>
    <mergeCell ref="A75:C75"/>
    <mergeCell ref="A45:U45"/>
    <mergeCell ref="A39:U39"/>
    <mergeCell ref="A48:U48"/>
    <mergeCell ref="A47:U47"/>
    <mergeCell ref="A44:U44"/>
    <mergeCell ref="A43:U43"/>
    <mergeCell ref="A42:U42"/>
    <mergeCell ref="A41:U41"/>
    <mergeCell ref="A28:U28"/>
    <mergeCell ref="A33:U33"/>
    <mergeCell ref="A34:U34"/>
    <mergeCell ref="A29:U29"/>
  </mergeCells>
  <phoneticPr fontId="0" type="noConversion"/>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Requirements&amp;R&amp;"Times New Roman,Regular"Salaries and Expenses</oddFooter>
  </headerFooter>
  <rowBreaks count="1" manualBreakCount="1">
    <brk id="49" max="23" man="1"/>
  </rowBreaks>
  <ignoredErrors>
    <ignoredError sqref="W71:W72 W73" formula="1"/>
  </ignoredErrors>
</worksheet>
</file>

<file path=xl/worksheets/sheet10.xml><?xml version="1.0" encoding="utf-8"?>
<worksheet xmlns="http://schemas.openxmlformats.org/spreadsheetml/2006/main" xmlns:r="http://schemas.openxmlformats.org/officeDocument/2006/relationships">
  <sheetPr codeName="Sheet16">
    <pageSetUpPr fitToPage="1"/>
  </sheetPr>
  <dimension ref="A1:N37"/>
  <sheetViews>
    <sheetView showGridLines="0" showOutlineSymbols="0" view="pageBreakPreview" zoomScale="75" zoomScaleNormal="75" workbookViewId="0">
      <selection activeCell="A41" sqref="A41"/>
    </sheetView>
  </sheetViews>
  <sheetFormatPr defaultColWidth="9.6640625" defaultRowHeight="15.75"/>
  <cols>
    <col min="1" max="1" width="57" style="7" customWidth="1"/>
    <col min="2" max="2" width="8.33203125" style="7" customWidth="1"/>
    <col min="3" max="3" width="12.109375" style="7" customWidth="1"/>
    <col min="4" max="4" width="8.77734375" style="7" customWidth="1"/>
    <col min="5" max="5" width="9.77734375" style="7" customWidth="1"/>
    <col min="6" max="6" width="9.21875" style="7" customWidth="1"/>
    <col min="7" max="7" width="9.77734375" style="7" customWidth="1"/>
    <col min="8" max="8" width="7.77734375" style="7" customWidth="1"/>
    <col min="9" max="9" width="11.77734375" style="7" bestFit="1" customWidth="1"/>
    <col min="10" max="10" width="1.21875" style="101" customWidth="1"/>
    <col min="11" max="16384" width="9.6640625" style="7"/>
  </cols>
  <sheetData>
    <row r="1" spans="1:10" ht="20.25">
      <c r="A1" s="1986" t="s">
        <v>237</v>
      </c>
      <c r="B1" s="1987"/>
      <c r="C1" s="1987"/>
      <c r="D1" s="1987"/>
      <c r="E1" s="1987"/>
      <c r="F1" s="1987"/>
      <c r="G1" s="1987"/>
      <c r="H1" s="1987"/>
      <c r="I1" s="1987"/>
      <c r="J1" s="342" t="s">
        <v>0</v>
      </c>
    </row>
    <row r="2" spans="1:10" ht="18.75">
      <c r="A2" s="1988"/>
      <c r="B2" s="1988"/>
      <c r="C2" s="1988"/>
      <c r="D2" s="1988"/>
      <c r="E2" s="1988"/>
      <c r="F2" s="1988"/>
      <c r="G2" s="1988"/>
      <c r="H2" s="1988"/>
      <c r="I2" s="1988"/>
      <c r="J2" s="342" t="s">
        <v>0</v>
      </c>
    </row>
    <row r="3" spans="1:10">
      <c r="A3" s="1989"/>
      <c r="B3" s="1989"/>
      <c r="C3" s="1989"/>
      <c r="D3" s="1989"/>
      <c r="E3" s="1989"/>
      <c r="F3" s="1989"/>
      <c r="G3" s="1989"/>
      <c r="H3" s="1989"/>
      <c r="I3" s="1989"/>
      <c r="J3" s="342" t="s">
        <v>0</v>
      </c>
    </row>
    <row r="4" spans="1:10" ht="20.25">
      <c r="A4" s="1984" t="s">
        <v>287</v>
      </c>
      <c r="B4" s="1985"/>
      <c r="C4" s="1985"/>
      <c r="D4" s="1985"/>
      <c r="E4" s="1985"/>
      <c r="F4" s="1985"/>
      <c r="G4" s="1985"/>
      <c r="H4" s="1985"/>
      <c r="I4" s="1985"/>
      <c r="J4" s="342" t="s">
        <v>0</v>
      </c>
    </row>
    <row r="5" spans="1:10" ht="18.75">
      <c r="A5" s="1982" t="str">
        <f>+'B. Summ of Reqs - S&amp;E '!A5</f>
        <v>Office of Justice Programs</v>
      </c>
      <c r="B5" s="1983"/>
      <c r="C5" s="1983"/>
      <c r="D5" s="1983"/>
      <c r="E5" s="1983"/>
      <c r="F5" s="1983"/>
      <c r="G5" s="1983"/>
      <c r="H5" s="1983"/>
      <c r="I5" s="1983"/>
      <c r="J5" s="342" t="s">
        <v>0</v>
      </c>
    </row>
    <row r="6" spans="1:10" ht="18.75">
      <c r="A6" s="1982" t="str">
        <f>+'B. Summ of Reqs - S&amp;E '!A6</f>
        <v>Salaries and Expenses</v>
      </c>
      <c r="B6" s="1985"/>
      <c r="C6" s="1985"/>
      <c r="D6" s="1985"/>
      <c r="E6" s="1985"/>
      <c r="F6" s="1985"/>
      <c r="G6" s="1985"/>
      <c r="H6" s="1985"/>
      <c r="I6" s="1985"/>
      <c r="J6" s="342" t="s">
        <v>0</v>
      </c>
    </row>
    <row r="7" spans="1:10">
      <c r="A7" s="1989"/>
      <c r="B7" s="1989"/>
      <c r="C7" s="1989"/>
      <c r="D7" s="1989"/>
      <c r="E7" s="1989"/>
      <c r="F7" s="1989"/>
      <c r="G7" s="1989"/>
      <c r="H7" s="1989"/>
      <c r="I7" s="1989"/>
      <c r="J7" s="342" t="s">
        <v>0</v>
      </c>
    </row>
    <row r="8" spans="1:10" ht="16.5" thickBot="1">
      <c r="A8" s="2001" t="s">
        <v>278</v>
      </c>
      <c r="B8" s="2001"/>
      <c r="C8" s="2001"/>
      <c r="D8" s="2001"/>
      <c r="E8" s="2001"/>
      <c r="F8" s="2001"/>
      <c r="G8" s="2001"/>
      <c r="H8" s="2001"/>
      <c r="I8" s="2001"/>
      <c r="J8" s="342" t="s">
        <v>0</v>
      </c>
    </row>
    <row r="9" spans="1:10">
      <c r="A9" s="1998" t="s">
        <v>54</v>
      </c>
      <c r="B9" s="1990" t="s">
        <v>20</v>
      </c>
      <c r="C9" s="1991"/>
      <c r="D9" s="1994" t="s">
        <v>358</v>
      </c>
      <c r="E9" s="1995"/>
      <c r="F9" s="1994" t="s">
        <v>42</v>
      </c>
      <c r="G9" s="1995"/>
      <c r="H9" s="1994" t="s">
        <v>44</v>
      </c>
      <c r="I9" s="1995"/>
      <c r="J9" s="342" t="s">
        <v>0</v>
      </c>
    </row>
    <row r="10" spans="1:10" ht="30.75" customHeight="1">
      <c r="A10" s="1999"/>
      <c r="B10" s="1992"/>
      <c r="C10" s="1993"/>
      <c r="D10" s="1996"/>
      <c r="E10" s="1997"/>
      <c r="F10" s="1996"/>
      <c r="G10" s="1997"/>
      <c r="H10" s="1996"/>
      <c r="I10" s="1997"/>
      <c r="J10" s="342" t="s">
        <v>0</v>
      </c>
    </row>
    <row r="11" spans="1:10" ht="16.5" thickBot="1">
      <c r="A11" s="2000"/>
      <c r="B11" s="639" t="s">
        <v>277</v>
      </c>
      <c r="C11" s="640" t="s">
        <v>279</v>
      </c>
      <c r="D11" s="639" t="s">
        <v>277</v>
      </c>
      <c r="E11" s="640" t="s">
        <v>279</v>
      </c>
      <c r="F11" s="639" t="s">
        <v>277</v>
      </c>
      <c r="G11" s="640" t="s">
        <v>279</v>
      </c>
      <c r="H11" s="639" t="s">
        <v>277</v>
      </c>
      <c r="I11" s="641" t="s">
        <v>279</v>
      </c>
      <c r="J11" s="342" t="s">
        <v>0</v>
      </c>
    </row>
    <row r="12" spans="1:10">
      <c r="A12" s="203" t="s">
        <v>381</v>
      </c>
      <c r="B12" s="642">
        <v>6</v>
      </c>
      <c r="C12" s="643"/>
      <c r="D12" s="642">
        <v>6</v>
      </c>
      <c r="E12" s="643"/>
      <c r="F12" s="642">
        <f>D12</f>
        <v>6</v>
      </c>
      <c r="G12" s="643"/>
      <c r="H12" s="642">
        <f>F12-B12</f>
        <v>0</v>
      </c>
      <c r="I12" s="644"/>
      <c r="J12" s="342" t="s">
        <v>0</v>
      </c>
    </row>
    <row r="13" spans="1:10">
      <c r="A13" s="203" t="s">
        <v>230</v>
      </c>
      <c r="B13" s="642">
        <v>20</v>
      </c>
      <c r="C13" s="643"/>
      <c r="D13" s="642">
        <v>20</v>
      </c>
      <c r="E13" s="643"/>
      <c r="F13" s="642">
        <f t="shared" ref="F13:F25" si="0">D13</f>
        <v>20</v>
      </c>
      <c r="G13" s="643"/>
      <c r="H13" s="642">
        <f>F13-B13</f>
        <v>0</v>
      </c>
      <c r="I13" s="645"/>
      <c r="J13" s="342" t="s">
        <v>0</v>
      </c>
    </row>
    <row r="14" spans="1:10">
      <c r="A14" s="203" t="s">
        <v>229</v>
      </c>
      <c r="B14" s="642">
        <v>78</v>
      </c>
      <c r="C14" s="643"/>
      <c r="D14" s="642">
        <v>78</v>
      </c>
      <c r="E14" s="643"/>
      <c r="F14" s="642">
        <f t="shared" si="0"/>
        <v>78</v>
      </c>
      <c r="G14" s="643"/>
      <c r="H14" s="642">
        <f t="shared" ref="H14:H25" si="1">F14-B14</f>
        <v>0</v>
      </c>
      <c r="I14" s="646"/>
      <c r="J14" s="342" t="s">
        <v>0</v>
      </c>
    </row>
    <row r="15" spans="1:10">
      <c r="A15" s="203" t="s">
        <v>228</v>
      </c>
      <c r="B15" s="642">
        <v>134</v>
      </c>
      <c r="C15" s="643"/>
      <c r="D15" s="642">
        <v>134</v>
      </c>
      <c r="E15" s="643"/>
      <c r="F15" s="642">
        <f t="shared" si="0"/>
        <v>134</v>
      </c>
      <c r="G15" s="643"/>
      <c r="H15" s="642">
        <f t="shared" si="1"/>
        <v>0</v>
      </c>
      <c r="I15" s="646"/>
      <c r="J15" s="342" t="s">
        <v>0</v>
      </c>
    </row>
    <row r="16" spans="1:10">
      <c r="A16" s="203" t="s">
        <v>227</v>
      </c>
      <c r="B16" s="642">
        <v>254</v>
      </c>
      <c r="C16" s="643"/>
      <c r="D16" s="642">
        <v>254</v>
      </c>
      <c r="E16" s="643"/>
      <c r="F16" s="642">
        <f>D16+3+3</f>
        <v>260</v>
      </c>
      <c r="G16" s="643"/>
      <c r="H16" s="642">
        <f t="shared" si="1"/>
        <v>6</v>
      </c>
      <c r="I16" s="646"/>
      <c r="J16" s="342" t="s">
        <v>0</v>
      </c>
    </row>
    <row r="17" spans="1:10">
      <c r="A17" s="203" t="s">
        <v>226</v>
      </c>
      <c r="B17" s="642">
        <v>58</v>
      </c>
      <c r="C17" s="643"/>
      <c r="D17" s="642">
        <v>58</v>
      </c>
      <c r="E17" s="643"/>
      <c r="F17" s="642">
        <f t="shared" si="0"/>
        <v>58</v>
      </c>
      <c r="G17" s="643"/>
      <c r="H17" s="642">
        <f t="shared" si="1"/>
        <v>0</v>
      </c>
      <c r="I17" s="646"/>
      <c r="J17" s="342" t="s">
        <v>0</v>
      </c>
    </row>
    <row r="18" spans="1:10">
      <c r="A18" s="203" t="s">
        <v>225</v>
      </c>
      <c r="B18" s="642">
        <v>58</v>
      </c>
      <c r="C18" s="643"/>
      <c r="D18" s="642">
        <v>58</v>
      </c>
      <c r="E18" s="643"/>
      <c r="F18" s="642">
        <f>D18+10</f>
        <v>68</v>
      </c>
      <c r="G18" s="643"/>
      <c r="H18" s="642">
        <f>F18-B18</f>
        <v>10</v>
      </c>
      <c r="I18" s="646"/>
      <c r="J18" s="342" t="s">
        <v>0</v>
      </c>
    </row>
    <row r="19" spans="1:10">
      <c r="A19" s="203" t="s">
        <v>224</v>
      </c>
      <c r="B19" s="642">
        <v>7</v>
      </c>
      <c r="C19" s="643"/>
      <c r="D19" s="642">
        <v>7</v>
      </c>
      <c r="E19" s="643"/>
      <c r="F19" s="642">
        <f t="shared" si="0"/>
        <v>7</v>
      </c>
      <c r="G19" s="643"/>
      <c r="H19" s="642">
        <f t="shared" si="1"/>
        <v>0</v>
      </c>
      <c r="I19" s="646"/>
      <c r="J19" s="342" t="s">
        <v>0</v>
      </c>
    </row>
    <row r="20" spans="1:10">
      <c r="A20" s="203" t="s">
        <v>223</v>
      </c>
      <c r="B20" s="642">
        <v>34</v>
      </c>
      <c r="C20" s="643"/>
      <c r="D20" s="642">
        <v>34</v>
      </c>
      <c r="E20" s="643"/>
      <c r="F20" s="642">
        <f>D20+10+1</f>
        <v>45</v>
      </c>
      <c r="G20" s="643"/>
      <c r="H20" s="642">
        <f t="shared" si="1"/>
        <v>11</v>
      </c>
      <c r="I20" s="646"/>
      <c r="J20" s="342" t="s">
        <v>0</v>
      </c>
    </row>
    <row r="21" spans="1:10">
      <c r="A21" s="203" t="s">
        <v>222</v>
      </c>
      <c r="B21" s="642">
        <v>13</v>
      </c>
      <c r="C21" s="643"/>
      <c r="D21" s="642">
        <v>13</v>
      </c>
      <c r="E21" s="643"/>
      <c r="F21" s="642">
        <f t="shared" si="0"/>
        <v>13</v>
      </c>
      <c r="G21" s="643"/>
      <c r="H21" s="642">
        <f t="shared" si="1"/>
        <v>0</v>
      </c>
      <c r="I21" s="646"/>
      <c r="J21" s="342" t="s">
        <v>0</v>
      </c>
    </row>
    <row r="22" spans="1:10">
      <c r="A22" s="203" t="s">
        <v>221</v>
      </c>
      <c r="B22" s="642">
        <v>23</v>
      </c>
      <c r="C22" s="643"/>
      <c r="D22" s="642">
        <v>23</v>
      </c>
      <c r="E22" s="643"/>
      <c r="F22" s="642">
        <f>D22+1</f>
        <v>24</v>
      </c>
      <c r="G22" s="643"/>
      <c r="H22" s="642">
        <f t="shared" si="1"/>
        <v>1</v>
      </c>
      <c r="I22" s="646"/>
      <c r="J22" s="342" t="s">
        <v>0</v>
      </c>
    </row>
    <row r="23" spans="1:10">
      <c r="A23" s="203" t="s">
        <v>220</v>
      </c>
      <c r="B23" s="642">
        <v>9</v>
      </c>
      <c r="C23" s="643"/>
      <c r="D23" s="642">
        <v>9</v>
      </c>
      <c r="E23" s="643"/>
      <c r="F23" s="642">
        <f t="shared" si="0"/>
        <v>9</v>
      </c>
      <c r="G23" s="643"/>
      <c r="H23" s="642">
        <f t="shared" si="1"/>
        <v>0</v>
      </c>
      <c r="I23" s="646"/>
      <c r="J23" s="342" t="s">
        <v>0</v>
      </c>
    </row>
    <row r="24" spans="1:10">
      <c r="A24" s="203" t="s">
        <v>219</v>
      </c>
      <c r="B24" s="642">
        <v>6</v>
      </c>
      <c r="C24" s="643"/>
      <c r="D24" s="642">
        <v>6</v>
      </c>
      <c r="E24" s="643"/>
      <c r="F24" s="642">
        <f t="shared" ref="F24" si="2">D24</f>
        <v>6</v>
      </c>
      <c r="G24" s="643"/>
      <c r="H24" s="642">
        <f t="shared" ref="H24" si="3">F24-B24</f>
        <v>0</v>
      </c>
      <c r="I24" s="646"/>
      <c r="J24" s="342" t="s">
        <v>0</v>
      </c>
    </row>
    <row r="25" spans="1:10">
      <c r="A25" s="203" t="s">
        <v>410</v>
      </c>
      <c r="B25" s="642">
        <v>2</v>
      </c>
      <c r="C25" s="643"/>
      <c r="D25" s="642">
        <v>2</v>
      </c>
      <c r="E25" s="643"/>
      <c r="F25" s="642">
        <f t="shared" si="0"/>
        <v>2</v>
      </c>
      <c r="G25" s="643"/>
      <c r="H25" s="642">
        <f t="shared" si="1"/>
        <v>0</v>
      </c>
      <c r="I25" s="646"/>
      <c r="J25" s="342" t="s">
        <v>0</v>
      </c>
    </row>
    <row r="26" spans="1:10">
      <c r="A26" s="647" t="s">
        <v>72</v>
      </c>
      <c r="B26" s="648">
        <f>SUM(B12:B25)</f>
        <v>702</v>
      </c>
      <c r="C26" s="649"/>
      <c r="D26" s="648">
        <f>SUM(D12:D25)</f>
        <v>702</v>
      </c>
      <c r="E26" s="649"/>
      <c r="F26" s="648">
        <f>SUM(F12:F25)</f>
        <v>730</v>
      </c>
      <c r="G26" s="649"/>
      <c r="H26" s="648">
        <f>SUM(H12:H25)</f>
        <v>28</v>
      </c>
      <c r="I26" s="650"/>
      <c r="J26" s="342" t="s">
        <v>0</v>
      </c>
    </row>
    <row r="27" spans="1:10">
      <c r="A27" s="651" t="s">
        <v>382</v>
      </c>
      <c r="B27" s="652"/>
      <c r="C27" s="653">
        <v>155000</v>
      </c>
      <c r="D27" s="652"/>
      <c r="E27" s="653">
        <f>C27*1.014</f>
        <v>157170</v>
      </c>
      <c r="F27" s="654"/>
      <c r="G27" s="653">
        <f>E27*1.023</f>
        <v>160784.90999999997</v>
      </c>
      <c r="H27" s="652"/>
      <c r="I27" s="655"/>
      <c r="J27" s="342" t="s">
        <v>0</v>
      </c>
    </row>
    <row r="28" spans="1:10">
      <c r="A28" s="651" t="s">
        <v>17</v>
      </c>
      <c r="B28" s="652"/>
      <c r="C28" s="653">
        <v>152023</v>
      </c>
      <c r="D28" s="652"/>
      <c r="E28" s="653">
        <f>C28*1.014</f>
        <v>154151.32200000001</v>
      </c>
      <c r="F28" s="654"/>
      <c r="G28" s="653">
        <f>E28*1.023</f>
        <v>157696.802406</v>
      </c>
      <c r="H28" s="652"/>
      <c r="I28" s="645"/>
      <c r="J28" s="342" t="s">
        <v>0</v>
      </c>
    </row>
    <row r="29" spans="1:10">
      <c r="A29" s="651" t="s">
        <v>97</v>
      </c>
      <c r="B29" s="656"/>
      <c r="C29" s="653">
        <v>98362</v>
      </c>
      <c r="D29" s="652"/>
      <c r="E29" s="653">
        <f>C29*1.014</f>
        <v>99739.067999999999</v>
      </c>
      <c r="F29" s="654"/>
      <c r="G29" s="653">
        <f>E29*1.023</f>
        <v>102033.06656399999</v>
      </c>
      <c r="H29" s="652"/>
      <c r="I29" s="646"/>
      <c r="J29" s="342" t="s">
        <v>0</v>
      </c>
    </row>
    <row r="30" spans="1:10" ht="16.5" thickBot="1">
      <c r="A30" s="657" t="s">
        <v>98</v>
      </c>
      <c r="B30" s="658"/>
      <c r="C30" s="636">
        <v>12.45</v>
      </c>
      <c r="D30" s="659"/>
      <c r="E30" s="636">
        <v>12.43</v>
      </c>
      <c r="F30" s="659"/>
      <c r="G30" s="636">
        <v>12.37</v>
      </c>
      <c r="H30" s="659"/>
      <c r="I30" s="660"/>
      <c r="J30" s="342" t="s">
        <v>24</v>
      </c>
    </row>
    <row r="31" spans="1:10">
      <c r="A31" s="661"/>
      <c r="B31" s="85"/>
      <c r="C31" s="85"/>
      <c r="D31" s="85"/>
      <c r="E31" s="85"/>
      <c r="F31" s="85"/>
      <c r="G31" s="85"/>
      <c r="H31" s="85"/>
      <c r="I31" s="45"/>
    </row>
    <row r="32" spans="1:10">
      <c r="A32" s="82"/>
      <c r="B32" s="67"/>
      <c r="C32" s="67"/>
      <c r="D32" s="67"/>
      <c r="E32" s="67"/>
      <c r="F32" s="67"/>
      <c r="G32" s="67"/>
      <c r="H32" s="67"/>
    </row>
    <row r="33" spans="1:14" ht="67.5" customHeight="1">
      <c r="A33" s="1740"/>
      <c r="B33" s="1740"/>
      <c r="C33" s="1740"/>
      <c r="D33" s="1740"/>
      <c r="E33" s="1740"/>
      <c r="F33" s="1740"/>
      <c r="G33" s="1740"/>
      <c r="H33" s="1740"/>
    </row>
    <row r="34" spans="1:14">
      <c r="A34" s="75"/>
      <c r="B34" s="73"/>
      <c r="C34" s="73"/>
      <c r="D34" s="73"/>
      <c r="E34" s="73"/>
      <c r="F34" s="73"/>
      <c r="G34" s="73"/>
      <c r="H34" s="73"/>
    </row>
    <row r="35" spans="1:14" ht="46.5" customHeight="1">
      <c r="A35" s="1886"/>
      <c r="B35" s="1887"/>
      <c r="C35" s="1887"/>
      <c r="D35" s="1887"/>
      <c r="E35" s="1887"/>
      <c r="F35" s="1887"/>
      <c r="G35" s="1887"/>
      <c r="H35" s="1887"/>
    </row>
    <row r="36" spans="1:14">
      <c r="A36" s="20"/>
      <c r="B36" s="20"/>
      <c r="C36" s="20"/>
      <c r="D36" s="20"/>
      <c r="E36" s="20"/>
      <c r="F36" s="20"/>
      <c r="G36" s="20"/>
      <c r="H36" s="20"/>
    </row>
    <row r="37" spans="1:14" ht="18">
      <c r="A37" s="1928"/>
      <c r="B37" s="1929"/>
      <c r="C37" s="1929"/>
      <c r="D37" s="1929"/>
      <c r="E37" s="1929"/>
      <c r="F37" s="1929"/>
      <c r="G37" s="1929"/>
      <c r="H37" s="1929"/>
      <c r="I37" s="1929"/>
      <c r="J37" s="1929"/>
      <c r="K37" s="1929"/>
      <c r="L37" s="1929"/>
      <c r="M37" s="1929"/>
      <c r="N37" s="1930"/>
    </row>
  </sheetData>
  <mergeCells count="16">
    <mergeCell ref="A5:I5"/>
    <mergeCell ref="A4:I4"/>
    <mergeCell ref="A37:N37"/>
    <mergeCell ref="A1:I1"/>
    <mergeCell ref="A2:I2"/>
    <mergeCell ref="A3:I3"/>
    <mergeCell ref="A33:H33"/>
    <mergeCell ref="A35:H35"/>
    <mergeCell ref="B9:C10"/>
    <mergeCell ref="D9:E10"/>
    <mergeCell ref="F9:G10"/>
    <mergeCell ref="H9:I10"/>
    <mergeCell ref="A9:A11"/>
    <mergeCell ref="A7:I7"/>
    <mergeCell ref="A8:I8"/>
    <mergeCell ref="A6:I6"/>
  </mergeCells>
  <phoneticPr fontId="0" type="noConversion"/>
  <printOptions horizontalCentered="1"/>
  <pageMargins left="0.5" right="0.4" top="0.5" bottom="0.25" header="0" footer="0"/>
  <pageSetup scale="80" firstPageNumber="8" fitToHeight="0" orientation="landscape" useFirstPageNumber="1" r:id="rId1"/>
  <headerFooter alignWithMargins="0">
    <oddFooter>&amp;C&amp;"Times New Roman,Regular"Exhibit K – Summary of Requirements by Grade&amp;R&amp;"Times New Roman,Regular"Salaries and Expenses</oddFooter>
  </headerFooter>
</worksheet>
</file>

<file path=xl/worksheets/sheet11.xml><?xml version="1.0" encoding="utf-8"?>
<worksheet xmlns="http://schemas.openxmlformats.org/spreadsheetml/2006/main" xmlns:r="http://schemas.openxmlformats.org/officeDocument/2006/relationships">
  <sheetPr codeName="Sheet17">
    <pageSetUpPr fitToPage="1"/>
  </sheetPr>
  <dimension ref="A1:L199"/>
  <sheetViews>
    <sheetView view="pageBreakPreview" zoomScale="75" zoomScaleNormal="75" zoomScaleSheetLayoutView="50" workbookViewId="0">
      <selection activeCell="G27" sqref="G27"/>
    </sheetView>
  </sheetViews>
  <sheetFormatPr defaultRowHeight="15.75"/>
  <cols>
    <col min="1" max="1" width="62.6640625" style="3" customWidth="1"/>
    <col min="2" max="2" width="8.88671875" style="3"/>
    <col min="3" max="3" width="10.109375" style="3" customWidth="1"/>
    <col min="4" max="4" width="8.88671875" style="3"/>
    <col min="5" max="5" width="10.6640625" style="3" customWidth="1"/>
    <col min="6" max="6" width="8.88671875" style="3"/>
    <col min="7" max="7" width="10.5546875" style="3" bestFit="1" customWidth="1"/>
    <col min="8" max="8" width="8.88671875" style="3"/>
    <col min="9" max="9" width="10.33203125" style="3" customWidth="1"/>
    <col min="10" max="10" width="4.5546875" style="99" customWidth="1"/>
    <col min="12" max="16384" width="8.88671875" style="3"/>
  </cols>
  <sheetData>
    <row r="1" spans="1:10" ht="19.149999999999999" customHeight="1">
      <c r="A1" s="1799" t="s">
        <v>236</v>
      </c>
      <c r="B1" s="2009"/>
      <c r="C1" s="2009"/>
      <c r="D1" s="2009"/>
      <c r="E1" s="2009"/>
      <c r="F1" s="2009"/>
      <c r="G1" s="2009"/>
      <c r="H1" s="2009"/>
      <c r="I1" s="2009"/>
      <c r="J1" s="98" t="s">
        <v>0</v>
      </c>
    </row>
    <row r="2" spans="1:10" ht="19.149999999999999" customHeight="1">
      <c r="A2" s="2013"/>
      <c r="B2" s="2014"/>
      <c r="C2" s="2014"/>
      <c r="D2" s="2014"/>
      <c r="E2" s="2014"/>
      <c r="F2" s="2014"/>
      <c r="G2" s="2014"/>
      <c r="H2" s="2014"/>
      <c r="I2" s="2014"/>
      <c r="J2" s="98" t="s">
        <v>0</v>
      </c>
    </row>
    <row r="3" spans="1:10" ht="18.75">
      <c r="A3" s="2015" t="s">
        <v>102</v>
      </c>
      <c r="B3" s="2009"/>
      <c r="C3" s="2009"/>
      <c r="D3" s="2009"/>
      <c r="E3" s="2009"/>
      <c r="F3" s="2009"/>
      <c r="G3" s="2009"/>
      <c r="H3" s="2009"/>
      <c r="I3" s="2009"/>
      <c r="J3" s="98" t="s">
        <v>0</v>
      </c>
    </row>
    <row r="4" spans="1:10" ht="16.5">
      <c r="A4" s="1937" t="str">
        <f>+'B. Summ of Reqs - S&amp;E '!A5</f>
        <v>Office of Justice Programs</v>
      </c>
      <c r="B4" s="2009"/>
      <c r="C4" s="2009"/>
      <c r="D4" s="2009"/>
      <c r="E4" s="2009"/>
      <c r="F4" s="2009"/>
      <c r="G4" s="2009"/>
      <c r="H4" s="2009"/>
      <c r="I4" s="2009"/>
      <c r="J4" s="98" t="s">
        <v>0</v>
      </c>
    </row>
    <row r="5" spans="1:10" ht="16.5">
      <c r="A5" s="1937" t="str">
        <f>+'B. Summ of Reqs - S&amp;E '!A6</f>
        <v>Salaries and Expenses</v>
      </c>
      <c r="B5" s="2009"/>
      <c r="C5" s="2009"/>
      <c r="D5" s="2009"/>
      <c r="E5" s="2009"/>
      <c r="F5" s="2009"/>
      <c r="G5" s="2009"/>
      <c r="H5" s="2009"/>
      <c r="I5" s="2009"/>
      <c r="J5" s="98" t="s">
        <v>0</v>
      </c>
    </row>
    <row r="6" spans="1:10">
      <c r="A6" s="2012" t="s">
        <v>257</v>
      </c>
      <c r="B6" s="2009"/>
      <c r="C6" s="2009"/>
      <c r="D6" s="2009"/>
      <c r="E6" s="2009"/>
      <c r="F6" s="2009"/>
      <c r="G6" s="2009"/>
      <c r="H6" s="2009"/>
      <c r="I6" s="2009"/>
      <c r="J6" s="98" t="s">
        <v>0</v>
      </c>
    </row>
    <row r="7" spans="1:10" ht="11.25" customHeight="1">
      <c r="A7" s="1903"/>
      <c r="B7" s="1903"/>
      <c r="C7" s="1903"/>
      <c r="D7" s="1903"/>
      <c r="E7" s="1903"/>
      <c r="F7" s="1903"/>
      <c r="G7" s="1903"/>
      <c r="H7" s="1903"/>
      <c r="I7" s="1903"/>
      <c r="J7" s="98" t="s">
        <v>0</v>
      </c>
    </row>
    <row r="8" spans="1:10" ht="44.25" customHeight="1">
      <c r="A8" s="2010" t="s">
        <v>99</v>
      </c>
      <c r="B8" s="2017" t="s">
        <v>808</v>
      </c>
      <c r="C8" s="2018"/>
      <c r="D8" s="2024" t="s">
        <v>330</v>
      </c>
      <c r="E8" s="2025"/>
      <c r="F8" s="2021" t="s">
        <v>42</v>
      </c>
      <c r="G8" s="2023"/>
      <c r="H8" s="2021" t="s">
        <v>361</v>
      </c>
      <c r="I8" s="2022"/>
      <c r="J8" s="98" t="s">
        <v>0</v>
      </c>
    </row>
    <row r="9" spans="1:10" ht="25.5" customHeight="1" thickBot="1">
      <c r="A9" s="2011"/>
      <c r="B9" s="213" t="s">
        <v>49</v>
      </c>
      <c r="C9" s="214" t="s">
        <v>279</v>
      </c>
      <c r="D9" s="213" t="s">
        <v>49</v>
      </c>
      <c r="E9" s="214" t="s">
        <v>279</v>
      </c>
      <c r="F9" s="213" t="s">
        <v>49</v>
      </c>
      <c r="G9" s="214" t="s">
        <v>279</v>
      </c>
      <c r="H9" s="213" t="s">
        <v>49</v>
      </c>
      <c r="I9" s="215" t="s">
        <v>279</v>
      </c>
      <c r="J9" s="98" t="s">
        <v>0</v>
      </c>
    </row>
    <row r="10" spans="1:10">
      <c r="A10" s="205" t="s">
        <v>15</v>
      </c>
      <c r="B10" s="145">
        <v>638</v>
      </c>
      <c r="C10" s="273">
        <v>67559</v>
      </c>
      <c r="D10" s="145">
        <v>638</v>
      </c>
      <c r="E10" s="273">
        <v>66657</v>
      </c>
      <c r="F10" s="145">
        <f>642+36</f>
        <v>678</v>
      </c>
      <c r="G10" s="273">
        <f>((C10/$C$16))*(357)+E10-1-7424+25436</f>
        <v>85008.076465362872</v>
      </c>
      <c r="H10" s="145">
        <f>F10-D10</f>
        <v>40</v>
      </c>
      <c r="I10" s="132">
        <f>G10-E10</f>
        <v>18351.076465362872</v>
      </c>
      <c r="J10" s="98" t="s">
        <v>0</v>
      </c>
    </row>
    <row r="11" spans="1:10">
      <c r="A11" s="206" t="s">
        <v>71</v>
      </c>
      <c r="B11" s="145">
        <v>34</v>
      </c>
      <c r="C11" s="146">
        <v>1957</v>
      </c>
      <c r="D11" s="145">
        <v>34</v>
      </c>
      <c r="E11" s="146">
        <v>3206</v>
      </c>
      <c r="F11" s="145">
        <f>38</f>
        <v>38</v>
      </c>
      <c r="G11" s="273">
        <f>((C11/$C$16)*(357))+E11-357+1223</f>
        <v>4081.8510878301208</v>
      </c>
      <c r="H11" s="145">
        <f t="shared" ref="H11:H12" si="0">F11-D11</f>
        <v>4</v>
      </c>
      <c r="I11" s="132">
        <f t="shared" ref="I11:I12" si="1">G11-E11</f>
        <v>875.85108783012083</v>
      </c>
      <c r="J11" s="98" t="s">
        <v>0</v>
      </c>
    </row>
    <row r="12" spans="1:10">
      <c r="A12" s="206" t="s">
        <v>56</v>
      </c>
      <c r="B12" s="512">
        <v>8</v>
      </c>
      <c r="C12" s="146">
        <v>1405</v>
      </c>
      <c r="D12" s="512">
        <v>8</v>
      </c>
      <c r="E12" s="146">
        <v>2137</v>
      </c>
      <c r="F12" s="512"/>
      <c r="G12" s="273">
        <f>((C12/$C$16)*(357))+E12-238+815</f>
        <v>2721.0724468070107</v>
      </c>
      <c r="H12" s="145">
        <f t="shared" si="0"/>
        <v>-8</v>
      </c>
      <c r="I12" s="132">
        <f t="shared" si="1"/>
        <v>584.07244680701069</v>
      </c>
      <c r="J12" s="98" t="s">
        <v>0</v>
      </c>
    </row>
    <row r="13" spans="1:10">
      <c r="A13" s="207" t="s">
        <v>58</v>
      </c>
      <c r="B13" s="151"/>
      <c r="C13" s="152"/>
      <c r="D13" s="151"/>
      <c r="E13" s="152"/>
      <c r="F13" s="151"/>
      <c r="G13" s="152"/>
      <c r="H13" s="151"/>
      <c r="I13" s="153"/>
      <c r="J13" s="98" t="s">
        <v>0</v>
      </c>
    </row>
    <row r="14" spans="1:10">
      <c r="A14" s="207" t="s">
        <v>57</v>
      </c>
      <c r="B14" s="151"/>
      <c r="C14" s="152"/>
      <c r="D14" s="151"/>
      <c r="E14" s="152"/>
      <c r="F14" s="151"/>
      <c r="G14" s="152"/>
      <c r="H14" s="151"/>
      <c r="I14" s="153"/>
      <c r="J14" s="98" t="s">
        <v>0</v>
      </c>
    </row>
    <row r="15" spans="1:10">
      <c r="A15" s="208" t="s">
        <v>59</v>
      </c>
      <c r="B15" s="154"/>
      <c r="C15" s="155"/>
      <c r="D15" s="154"/>
      <c r="E15" s="155"/>
      <c r="F15" s="154"/>
      <c r="G15" s="155"/>
      <c r="H15" s="154"/>
      <c r="I15" s="156"/>
      <c r="J15" s="98" t="s">
        <v>0</v>
      </c>
    </row>
    <row r="16" spans="1:10">
      <c r="A16" s="209" t="s">
        <v>16</v>
      </c>
      <c r="B16" s="157">
        <f>+B10+B11+B12+B15</f>
        <v>680</v>
      </c>
      <c r="C16" s="158">
        <f t="shared" ref="C16:G16" si="2">+C10+C11+C12+C15</f>
        <v>70921</v>
      </c>
      <c r="D16" s="157">
        <f>+D10+D11+D12+D15</f>
        <v>680</v>
      </c>
      <c r="E16" s="158">
        <f t="shared" si="2"/>
        <v>72000</v>
      </c>
      <c r="F16" s="157">
        <f t="shared" si="2"/>
        <v>716</v>
      </c>
      <c r="G16" s="503">
        <f t="shared" si="2"/>
        <v>91811</v>
      </c>
      <c r="H16" s="158">
        <f>+H10+H11+H12+H15</f>
        <v>36</v>
      </c>
      <c r="I16" s="503">
        <f>+I10+I11+I12+I15</f>
        <v>19811.000000000004</v>
      </c>
      <c r="J16" s="98" t="s">
        <v>0</v>
      </c>
    </row>
    <row r="17" spans="1:12">
      <c r="A17" s="206" t="s">
        <v>100</v>
      </c>
      <c r="B17" s="145"/>
      <c r="C17" s="146"/>
      <c r="D17" s="145"/>
      <c r="E17" s="146"/>
      <c r="F17" s="145"/>
      <c r="G17" s="146"/>
      <c r="H17" s="145"/>
      <c r="I17" s="132"/>
      <c r="J17" s="98" t="s">
        <v>0</v>
      </c>
    </row>
    <row r="18" spans="1:12">
      <c r="A18" s="210" t="s">
        <v>61</v>
      </c>
      <c r="B18" s="145"/>
      <c r="C18" s="146">
        <v>18757</v>
      </c>
      <c r="D18" s="145"/>
      <c r="E18" s="146">
        <v>20400</v>
      </c>
      <c r="F18" s="145"/>
      <c r="G18" s="146">
        <f>(C18/$C$31)-381-55+370+87+E18-2272+7785</f>
        <v>25934.099337993855</v>
      </c>
      <c r="H18" s="145"/>
      <c r="I18" s="132">
        <f t="shared" ref="I18:I30" si="3">G18-E18</f>
        <v>5534.0993379938554</v>
      </c>
      <c r="J18" s="98" t="s">
        <v>0</v>
      </c>
    </row>
    <row r="19" spans="1:12">
      <c r="A19" s="210" t="s">
        <v>62</v>
      </c>
      <c r="B19" s="145"/>
      <c r="C19" s="146">
        <v>2255</v>
      </c>
      <c r="D19" s="145"/>
      <c r="E19" s="146">
        <v>4000</v>
      </c>
      <c r="F19" s="145"/>
      <c r="G19" s="146">
        <f>(C19/$C$31)+E19-445+1526</f>
        <v>5081.0119425908269</v>
      </c>
      <c r="H19" s="145"/>
      <c r="I19" s="132">
        <f t="shared" si="3"/>
        <v>1081.0119425908269</v>
      </c>
      <c r="J19" s="98" t="s">
        <v>0</v>
      </c>
    </row>
    <row r="20" spans="1:12">
      <c r="A20" s="210" t="s">
        <v>63</v>
      </c>
      <c r="B20" s="145"/>
      <c r="C20" s="146">
        <v>950</v>
      </c>
      <c r="D20" s="145"/>
      <c r="E20" s="146">
        <v>1000</v>
      </c>
      <c r="F20" s="145"/>
      <c r="G20" s="146">
        <f>(C20/$C$31)+E20-111+382</f>
        <v>1271.0050312466901</v>
      </c>
      <c r="H20" s="145"/>
      <c r="I20" s="132">
        <f t="shared" si="3"/>
        <v>271.00503124669012</v>
      </c>
      <c r="J20" s="98" t="s">
        <v>0</v>
      </c>
    </row>
    <row r="21" spans="1:12">
      <c r="A21" s="210" t="s">
        <v>234</v>
      </c>
      <c r="B21" s="145"/>
      <c r="C21" s="146">
        <v>15000</v>
      </c>
      <c r="D21" s="145"/>
      <c r="E21" s="146">
        <v>13000</v>
      </c>
      <c r="F21" s="145"/>
      <c r="G21" s="146">
        <f>(C21/$C$31)+E21-3256</f>
        <v>9744.0794407372105</v>
      </c>
      <c r="H21" s="145"/>
      <c r="I21" s="132">
        <f t="shared" si="3"/>
        <v>-3255.9205592627895</v>
      </c>
      <c r="J21" s="98" t="s">
        <v>0</v>
      </c>
    </row>
    <row r="22" spans="1:12">
      <c r="A22" s="210" t="s">
        <v>36</v>
      </c>
      <c r="B22" s="145"/>
      <c r="C22" s="146">
        <v>500</v>
      </c>
      <c r="D22" s="145"/>
      <c r="E22" s="146">
        <v>0</v>
      </c>
      <c r="F22" s="145"/>
      <c r="G22" s="146">
        <f>(C22/$C$31)+E22+11447</f>
        <v>11447.002648024574</v>
      </c>
      <c r="H22" s="145"/>
      <c r="I22" s="132">
        <f t="shared" si="3"/>
        <v>11447.002648024574</v>
      </c>
      <c r="J22" s="98" t="s">
        <v>0</v>
      </c>
    </row>
    <row r="23" spans="1:12">
      <c r="A23" s="210" t="s">
        <v>64</v>
      </c>
      <c r="B23" s="145"/>
      <c r="C23" s="146">
        <v>2670</v>
      </c>
      <c r="D23" s="145"/>
      <c r="E23" s="146">
        <v>2500</v>
      </c>
      <c r="F23" s="145"/>
      <c r="G23" s="146">
        <f>(C23/$C$31)+E23-278+954</f>
        <v>3176.0141404512233</v>
      </c>
      <c r="H23" s="145"/>
      <c r="I23" s="132">
        <f t="shared" si="3"/>
        <v>676.01414045122328</v>
      </c>
      <c r="J23" s="98" t="s">
        <v>0</v>
      </c>
    </row>
    <row r="24" spans="1:12">
      <c r="A24" s="210" t="s">
        <v>65</v>
      </c>
      <c r="B24" s="145"/>
      <c r="C24" s="146">
        <v>7465</v>
      </c>
      <c r="D24" s="145"/>
      <c r="E24" s="146">
        <v>1500</v>
      </c>
      <c r="F24" s="145"/>
      <c r="G24" s="146">
        <f>(C24/$C$31)+E24-167+572-118</f>
        <v>1787.0395350068848</v>
      </c>
      <c r="H24" s="145"/>
      <c r="I24" s="132">
        <f t="shared" si="3"/>
        <v>287.03953500688476</v>
      </c>
      <c r="J24" s="98" t="s">
        <v>0</v>
      </c>
    </row>
    <row r="25" spans="1:12">
      <c r="A25" s="210" t="s">
        <v>66</v>
      </c>
      <c r="B25" s="145"/>
      <c r="C25" s="146">
        <v>23478</v>
      </c>
      <c r="D25" s="145"/>
      <c r="E25" s="146">
        <v>1000</v>
      </c>
      <c r="F25" s="145"/>
      <c r="G25" s="146">
        <f>(C25/$C$31)+E25-111+382</f>
        <v>1271.1243406418812</v>
      </c>
      <c r="H25" s="145"/>
      <c r="I25" s="132">
        <f t="shared" si="3"/>
        <v>271.12434064188119</v>
      </c>
      <c r="J25" s="98" t="s">
        <v>0</v>
      </c>
    </row>
    <row r="26" spans="1:12">
      <c r="A26" s="210" t="s">
        <v>67</v>
      </c>
      <c r="B26" s="145"/>
      <c r="C26" s="146">
        <f>44485-1824</f>
        <v>42661</v>
      </c>
      <c r="D26" s="145"/>
      <c r="E26" s="146">
        <f>41318+1824</f>
        <v>43142</v>
      </c>
      <c r="F26" s="145"/>
      <c r="G26" s="146">
        <f>(C26/$C$31)+E26-20-14-62-4602+15767-1824</f>
        <v>52387.225934752678</v>
      </c>
      <c r="H26" s="145"/>
      <c r="I26" s="132">
        <f t="shared" si="3"/>
        <v>9245.2259347526779</v>
      </c>
      <c r="J26" s="98" t="s">
        <v>0</v>
      </c>
    </row>
    <row r="27" spans="1:12">
      <c r="A27" s="210" t="s">
        <v>235</v>
      </c>
      <c r="B27" s="145"/>
      <c r="C27" s="146">
        <v>207</v>
      </c>
      <c r="D27" s="145"/>
      <c r="E27" s="146">
        <v>0</v>
      </c>
      <c r="F27" s="145"/>
      <c r="G27" s="146">
        <f>(C27/$C$31)+E27</f>
        <v>1.09628217349857E-3</v>
      </c>
      <c r="H27" s="145"/>
      <c r="I27" s="132">
        <f t="shared" si="3"/>
        <v>1.09628217349857E-3</v>
      </c>
      <c r="J27" s="98" t="s">
        <v>0</v>
      </c>
      <c r="L27" s="24"/>
    </row>
    <row r="28" spans="1:12">
      <c r="A28" s="210" t="s">
        <v>241</v>
      </c>
      <c r="B28" s="145"/>
      <c r="C28" s="146">
        <v>0</v>
      </c>
      <c r="D28" s="145"/>
      <c r="E28" s="146">
        <v>1500</v>
      </c>
      <c r="F28" s="145"/>
      <c r="G28" s="146">
        <f>(C28/$C$31)+E28-167+572</f>
        <v>1905</v>
      </c>
      <c r="H28" s="145"/>
      <c r="I28" s="132">
        <f t="shared" si="3"/>
        <v>405</v>
      </c>
      <c r="J28" s="98" t="s">
        <v>0</v>
      </c>
      <c r="L28" s="24"/>
    </row>
    <row r="29" spans="1:12">
      <c r="A29" s="210" t="s">
        <v>68</v>
      </c>
      <c r="B29" s="145"/>
      <c r="C29" s="146">
        <v>956</v>
      </c>
      <c r="D29" s="145"/>
      <c r="E29" s="146">
        <v>2000</v>
      </c>
      <c r="F29" s="145"/>
      <c r="G29" s="146">
        <f>(C29/$C$31)+E29-223+763</f>
        <v>2540.0050630229848</v>
      </c>
      <c r="H29" s="145"/>
      <c r="I29" s="132">
        <f t="shared" si="3"/>
        <v>540.00506302298481</v>
      </c>
      <c r="J29" s="98" t="s">
        <v>0</v>
      </c>
      <c r="L29" s="24"/>
    </row>
    <row r="30" spans="1:12">
      <c r="A30" s="210" t="s">
        <v>69</v>
      </c>
      <c r="B30" s="145"/>
      <c r="C30" s="146">
        <v>3000</v>
      </c>
      <c r="D30" s="145"/>
      <c r="E30" s="146"/>
      <c r="F30" s="145"/>
      <c r="G30" s="146"/>
      <c r="H30" s="145"/>
      <c r="I30" s="132">
        <f t="shared" si="3"/>
        <v>0</v>
      </c>
      <c r="J30" s="98" t="s">
        <v>0</v>
      </c>
    </row>
    <row r="31" spans="1:12">
      <c r="A31" s="211" t="s">
        <v>70</v>
      </c>
      <c r="B31" s="96"/>
      <c r="C31" s="50">
        <f>SUM(C16:C30)</f>
        <v>188820</v>
      </c>
      <c r="D31" s="96"/>
      <c r="E31" s="50">
        <f>SUM(E16:E30)</f>
        <v>162042</v>
      </c>
      <c r="F31" s="96"/>
      <c r="G31" s="50">
        <f>SUM(G16:G30)</f>
        <v>208354.60851075099</v>
      </c>
      <c r="H31" s="96"/>
      <c r="I31" s="49">
        <f>SUM(I16:I30)</f>
        <v>46312.608510750986</v>
      </c>
      <c r="J31" s="98" t="s">
        <v>0</v>
      </c>
    </row>
    <row r="32" spans="1:12" s="1020" customFormat="1">
      <c r="A32" s="1051" t="s">
        <v>478</v>
      </c>
      <c r="B32" s="1052"/>
      <c r="C32" s="1030">
        <v>0</v>
      </c>
      <c r="D32" s="1647"/>
      <c r="E32" s="1030">
        <v>-1824</v>
      </c>
      <c r="F32" s="1026"/>
      <c r="G32" s="1030">
        <v>0</v>
      </c>
      <c r="H32" s="1648"/>
      <c r="I32" s="1031">
        <f t="shared" ref="I32:I33" si="4">G32-C32</f>
        <v>0</v>
      </c>
      <c r="J32" s="98" t="s">
        <v>0</v>
      </c>
      <c r="K32" s="1621"/>
    </row>
    <row r="33" spans="1:11" s="1020" customFormat="1" ht="16.899999999999999" customHeight="1">
      <c r="A33" s="1051" t="s">
        <v>479</v>
      </c>
      <c r="B33" s="1052"/>
      <c r="C33" s="1030">
        <v>1824</v>
      </c>
      <c r="D33" s="1647"/>
      <c r="E33" s="1030">
        <v>0</v>
      </c>
      <c r="F33" s="1026"/>
      <c r="G33" s="1030">
        <v>0</v>
      </c>
      <c r="H33" s="1648"/>
      <c r="I33" s="1031">
        <f t="shared" si="4"/>
        <v>-1824</v>
      </c>
      <c r="J33" s="98" t="s">
        <v>0</v>
      </c>
      <c r="K33" s="1621"/>
    </row>
    <row r="34" spans="1:11">
      <c r="A34" s="212" t="s">
        <v>383</v>
      </c>
      <c r="B34" s="148"/>
      <c r="C34" s="149">
        <v>-30426</v>
      </c>
      <c r="D34" s="148"/>
      <c r="E34" s="149"/>
      <c r="F34" s="148"/>
      <c r="G34" s="149"/>
      <c r="H34" s="148"/>
      <c r="I34" s="150"/>
      <c r="J34" s="98" t="s">
        <v>0</v>
      </c>
    </row>
    <row r="35" spans="1:11" ht="16.5" thickBot="1">
      <c r="A35" s="490" t="s">
        <v>1</v>
      </c>
      <c r="B35" s="491"/>
      <c r="C35" s="492">
        <f>SUM(C31:C34)</f>
        <v>160218</v>
      </c>
      <c r="D35" s="491"/>
      <c r="E35" s="492">
        <f>SUM(E31:E34)</f>
        <v>160218</v>
      </c>
      <c r="F35" s="491"/>
      <c r="G35" s="492">
        <f>SUM(G31:G34)</f>
        <v>208354.60851075099</v>
      </c>
      <c r="H35" s="491"/>
      <c r="I35" s="493"/>
      <c r="J35" s="98" t="s">
        <v>0</v>
      </c>
    </row>
    <row r="36" spans="1:11">
      <c r="A36" s="494" t="s">
        <v>88</v>
      </c>
      <c r="B36" s="495"/>
      <c r="C36" s="496"/>
      <c r="D36" s="495"/>
      <c r="E36" s="496"/>
      <c r="F36" s="495"/>
      <c r="G36" s="624"/>
      <c r="H36" s="495"/>
      <c r="I36" s="497"/>
      <c r="J36" s="98" t="s">
        <v>0</v>
      </c>
    </row>
    <row r="37" spans="1:11">
      <c r="A37" s="489" t="s">
        <v>268</v>
      </c>
      <c r="B37" s="145"/>
      <c r="C37" s="146"/>
      <c r="D37" s="145"/>
      <c r="E37" s="146"/>
      <c r="F37" s="145"/>
      <c r="G37" s="146"/>
      <c r="H37" s="145"/>
      <c r="I37" s="132"/>
      <c r="J37" s="98" t="s">
        <v>0</v>
      </c>
    </row>
    <row r="38" spans="1:11">
      <c r="A38" s="210" t="s">
        <v>60</v>
      </c>
      <c r="B38" s="147">
        <v>0</v>
      </c>
      <c r="C38" s="273">
        <v>0</v>
      </c>
      <c r="D38" s="147">
        <v>0</v>
      </c>
      <c r="E38" s="273">
        <v>0</v>
      </c>
      <c r="F38" s="147">
        <v>0</v>
      </c>
      <c r="G38" s="273">
        <v>0</v>
      </c>
      <c r="H38" s="148">
        <f>F38+B38</f>
        <v>0</v>
      </c>
      <c r="I38" s="274">
        <f>C38+G38</f>
        <v>0</v>
      </c>
      <c r="J38" s="98" t="s">
        <v>0</v>
      </c>
    </row>
    <row r="39" spans="1:11">
      <c r="A39" s="206" t="s">
        <v>2</v>
      </c>
      <c r="B39" s="145"/>
      <c r="C39" s="273">
        <v>0</v>
      </c>
      <c r="D39" s="145"/>
      <c r="E39" s="273">
        <v>0</v>
      </c>
      <c r="F39" s="145"/>
      <c r="G39" s="273">
        <v>0</v>
      </c>
      <c r="H39" s="148"/>
      <c r="I39" s="274">
        <f>C39+G39</f>
        <v>0</v>
      </c>
      <c r="J39" s="98" t="s">
        <v>0</v>
      </c>
    </row>
    <row r="40" spans="1:11">
      <c r="A40" s="208" t="s">
        <v>3</v>
      </c>
      <c r="B40" s="173"/>
      <c r="C40" s="608">
        <v>0</v>
      </c>
      <c r="D40" s="173"/>
      <c r="E40" s="608">
        <v>0</v>
      </c>
      <c r="F40" s="173"/>
      <c r="G40" s="608">
        <v>0</v>
      </c>
      <c r="H40" s="174"/>
      <c r="I40" s="609">
        <f>C40+G40</f>
        <v>0</v>
      </c>
      <c r="J40" s="98" t="s">
        <v>0</v>
      </c>
    </row>
    <row r="41" spans="1:11">
      <c r="A41" s="89"/>
      <c r="B41" s="69"/>
      <c r="C41" s="69"/>
      <c r="D41" s="69"/>
      <c r="E41" s="69"/>
      <c r="F41" s="69"/>
      <c r="G41" s="69"/>
      <c r="H41" s="69"/>
      <c r="I41" s="69"/>
      <c r="J41" s="98" t="s">
        <v>24</v>
      </c>
    </row>
    <row r="42" spans="1:11">
      <c r="A42" s="2019"/>
      <c r="B42" s="2020"/>
      <c r="C42" s="2020"/>
      <c r="D42" s="2020"/>
      <c r="E42" s="2020"/>
      <c r="F42" s="2020"/>
      <c r="G42" s="2020"/>
      <c r="H42" s="2020"/>
      <c r="I42" s="2020"/>
      <c r="J42" s="2020"/>
    </row>
    <row r="43" spans="1:11">
      <c r="H43" s="15"/>
      <c r="I43" s="15"/>
    </row>
    <row r="44" spans="1:11">
      <c r="A44" s="2016"/>
      <c r="B44" s="2016"/>
      <c r="C44" s="2016"/>
      <c r="D44" s="2016"/>
      <c r="E44" s="2016"/>
      <c r="F44" s="2016"/>
      <c r="G44" s="2016"/>
      <c r="H44" s="69"/>
      <c r="I44" s="69"/>
    </row>
    <row r="45" spans="1:11">
      <c r="A45" s="66"/>
      <c r="B45" s="67"/>
      <c r="C45" s="67"/>
      <c r="D45" s="67"/>
      <c r="E45" s="67"/>
      <c r="F45" s="67"/>
      <c r="G45" s="67"/>
      <c r="H45" s="69"/>
      <c r="I45" s="69"/>
    </row>
    <row r="46" spans="1:11" ht="41.25" customHeight="1">
      <c r="A46" s="2003"/>
      <c r="B46" s="2004"/>
      <c r="C46" s="2004"/>
      <c r="D46" s="2004"/>
      <c r="E46" s="2004"/>
      <c r="F46" s="2004"/>
      <c r="G46" s="2004"/>
      <c r="H46" s="70"/>
      <c r="I46" s="71"/>
    </row>
    <row r="47" spans="1:11" ht="14.25" customHeight="1">
      <c r="A47" s="66"/>
      <c r="B47" s="68"/>
      <c r="C47" s="68"/>
      <c r="D47" s="68"/>
      <c r="E47" s="68"/>
      <c r="F47" s="68"/>
      <c r="G47" s="68"/>
      <c r="H47" s="70"/>
      <c r="I47" s="70"/>
    </row>
    <row r="48" spans="1:11" ht="77.25" customHeight="1">
      <c r="A48" s="1740"/>
      <c r="B48" s="1740"/>
      <c r="C48" s="1740"/>
      <c r="D48" s="1740"/>
      <c r="E48" s="1740"/>
      <c r="F48" s="1740"/>
      <c r="G48" s="1740"/>
      <c r="H48" s="72"/>
      <c r="I48" s="71"/>
    </row>
    <row r="49" spans="1:11" ht="12.75" customHeight="1">
      <c r="A49" s="66"/>
      <c r="B49" s="68"/>
      <c r="C49" s="68"/>
      <c r="D49" s="68"/>
      <c r="E49" s="68"/>
      <c r="F49" s="68"/>
      <c r="G49" s="68"/>
      <c r="H49" s="70"/>
      <c r="I49" s="70"/>
    </row>
    <row r="50" spans="1:11" ht="54" customHeight="1">
      <c r="A50" s="1740"/>
      <c r="B50" s="2005"/>
      <c r="C50" s="2005"/>
      <c r="D50" s="2005"/>
      <c r="E50" s="2005"/>
      <c r="F50" s="2005"/>
      <c r="G50" s="2005"/>
      <c r="H50" s="72"/>
      <c r="I50" s="71"/>
    </row>
    <row r="51" spans="1:11" ht="43.5" customHeight="1">
      <c r="A51" s="2007"/>
      <c r="B51" s="2005"/>
      <c r="C51" s="2005"/>
      <c r="D51" s="2005"/>
      <c r="E51" s="2005"/>
      <c r="F51" s="2005"/>
      <c r="G51" s="2005"/>
      <c r="H51" s="70"/>
      <c r="I51" s="70"/>
    </row>
    <row r="52" spans="1:11" ht="62.25" customHeight="1">
      <c r="A52" s="555"/>
      <c r="B52" s="1740"/>
      <c r="C52" s="1740"/>
      <c r="D52" s="1740"/>
      <c r="E52" s="1740"/>
      <c r="F52" s="1740"/>
      <c r="G52" s="1740"/>
      <c r="H52" s="70"/>
      <c r="I52" s="70"/>
    </row>
    <row r="53" spans="1:11" ht="12" customHeight="1">
      <c r="A53" s="555"/>
      <c r="B53" s="68"/>
      <c r="C53" s="68"/>
      <c r="D53" s="68"/>
      <c r="E53" s="68"/>
      <c r="F53" s="68"/>
      <c r="G53" s="68"/>
      <c r="H53" s="70"/>
      <c r="I53" s="70"/>
    </row>
    <row r="54" spans="1:11" ht="64.5" customHeight="1">
      <c r="A54" s="2006"/>
      <c r="B54" s="2008"/>
      <c r="C54" s="2008"/>
      <c r="D54" s="2008"/>
      <c r="E54" s="2008"/>
      <c r="F54" s="2008"/>
      <c r="G54" s="2008"/>
      <c r="H54" s="70"/>
      <c r="I54" s="70"/>
    </row>
    <row r="55" spans="1:11" ht="47.25" customHeight="1">
      <c r="A55" s="2006"/>
      <c r="B55" s="2005"/>
      <c r="C55" s="2005"/>
      <c r="D55" s="2005"/>
      <c r="E55" s="2005"/>
      <c r="F55" s="2005"/>
      <c r="G55" s="2005"/>
      <c r="H55" s="70"/>
      <c r="I55" s="70"/>
    </row>
    <row r="56" spans="1:11" ht="60" customHeight="1">
      <c r="A56" s="2006"/>
      <c r="B56" s="2005"/>
      <c r="C56" s="2005"/>
      <c r="D56" s="2005"/>
      <c r="E56" s="2005"/>
      <c r="F56" s="2005"/>
      <c r="G56" s="2005"/>
      <c r="H56" s="70"/>
      <c r="I56" s="70"/>
    </row>
    <row r="57" spans="1:11" ht="15" customHeight="1">
      <c r="A57" s="1928"/>
      <c r="B57" s="1929"/>
      <c r="C57" s="1929"/>
      <c r="D57" s="1929"/>
      <c r="E57" s="1929"/>
      <c r="F57" s="1929"/>
      <c r="G57" s="1929"/>
      <c r="H57" s="1929"/>
      <c r="I57" s="1929"/>
      <c r="J57" s="1929"/>
      <c r="K57" s="1930"/>
    </row>
    <row r="58" spans="1:11" ht="22.9" customHeight="1">
      <c r="A58" s="46"/>
      <c r="B58" s="2002"/>
      <c r="C58" s="2002"/>
      <c r="D58" s="2002"/>
      <c r="E58" s="2002"/>
      <c r="F58" s="2002"/>
      <c r="G58" s="2002"/>
      <c r="H58" s="2002"/>
      <c r="I58" s="2002"/>
    </row>
    <row r="59" spans="1:11">
      <c r="A59" s="46"/>
      <c r="B59" s="46"/>
      <c r="C59" s="46"/>
      <c r="D59" s="46"/>
      <c r="E59" s="46"/>
      <c r="F59" s="46"/>
      <c r="G59" s="46"/>
      <c r="H59" s="47"/>
      <c r="I59" s="48"/>
    </row>
    <row r="60" spans="1:11">
      <c r="A60" s="46"/>
      <c r="B60" s="46"/>
      <c r="C60" s="46"/>
      <c r="D60" s="46"/>
      <c r="E60" s="46"/>
      <c r="F60" s="46"/>
      <c r="G60" s="46"/>
      <c r="H60" s="48"/>
      <c r="I60" s="48"/>
    </row>
    <row r="61" spans="1:11">
      <c r="A61" s="46"/>
      <c r="B61" s="46"/>
      <c r="C61" s="46"/>
      <c r="D61" s="46"/>
      <c r="E61" s="46"/>
      <c r="F61" s="46"/>
      <c r="G61" s="46"/>
      <c r="H61" s="48"/>
      <c r="I61" s="48"/>
    </row>
    <row r="62" spans="1:11" ht="65.45" customHeight="1">
      <c r="A62" s="46"/>
      <c r="B62" s="2002"/>
      <c r="C62" s="2002"/>
      <c r="D62" s="2002"/>
      <c r="E62" s="2002"/>
      <c r="F62" s="2002"/>
      <c r="G62" s="2002"/>
      <c r="H62" s="2002"/>
      <c r="I62" s="2002"/>
    </row>
    <row r="63" spans="1:11">
      <c r="H63" s="13"/>
      <c r="I63" s="13"/>
    </row>
    <row r="64" spans="1:11">
      <c r="H64" s="13"/>
      <c r="I64" s="93"/>
    </row>
    <row r="65" spans="8:9">
      <c r="H65" s="13"/>
      <c r="I65" s="13"/>
    </row>
    <row r="66" spans="8:9">
      <c r="H66" s="13"/>
      <c r="I66" s="13"/>
    </row>
    <row r="67" spans="8:9">
      <c r="H67" s="13"/>
      <c r="I67" s="13"/>
    </row>
    <row r="68" spans="8:9">
      <c r="H68" s="13"/>
      <c r="I68" s="13"/>
    </row>
    <row r="69" spans="8:9">
      <c r="H69" s="13"/>
      <c r="I69" s="13"/>
    </row>
    <row r="70" spans="8:9">
      <c r="H70" s="13"/>
      <c r="I70" s="13"/>
    </row>
    <row r="71" spans="8:9">
      <c r="H71" s="13"/>
      <c r="I71" s="13"/>
    </row>
    <row r="72" spans="8:9">
      <c r="H72" s="13"/>
      <c r="I72" s="13"/>
    </row>
    <row r="73" spans="8:9">
      <c r="H73" s="13"/>
      <c r="I73" s="13"/>
    </row>
    <row r="74" spans="8:9">
      <c r="H74" s="13"/>
      <c r="I74" s="13"/>
    </row>
    <row r="75" spans="8:9">
      <c r="H75" s="13"/>
      <c r="I75" s="14"/>
    </row>
    <row r="76" spans="8:9">
      <c r="H76" s="13"/>
      <c r="I76" s="14"/>
    </row>
    <row r="77" spans="8:9">
      <c r="H77" s="13"/>
      <c r="I77" s="13"/>
    </row>
    <row r="78" spans="8:9">
      <c r="H78" s="13"/>
      <c r="I78" s="13"/>
    </row>
    <row r="79" spans="8:9">
      <c r="H79" s="13"/>
      <c r="I79" s="13"/>
    </row>
    <row r="80" spans="8:9">
      <c r="H80" s="13"/>
      <c r="I80" s="13"/>
    </row>
    <row r="81" spans="8:9">
      <c r="H81" s="13"/>
      <c r="I81" s="13"/>
    </row>
    <row r="82" spans="8:9">
      <c r="H82" s="13"/>
      <c r="I82" s="13"/>
    </row>
    <row r="83" spans="8:9">
      <c r="H83" s="13"/>
      <c r="I83" s="13"/>
    </row>
    <row r="84" spans="8:9">
      <c r="H84" s="13"/>
      <c r="I84" s="13"/>
    </row>
    <row r="85" spans="8:9">
      <c r="H85" s="13"/>
      <c r="I85" s="13"/>
    </row>
    <row r="86" spans="8:9">
      <c r="H86" s="13"/>
      <c r="I86" s="13"/>
    </row>
    <row r="87" spans="8:9">
      <c r="H87" s="13"/>
      <c r="I87" s="13"/>
    </row>
    <row r="88" spans="8:9">
      <c r="H88" s="13"/>
      <c r="I88" s="13"/>
    </row>
    <row r="89" spans="8:9">
      <c r="H89" s="13"/>
      <c r="I89" s="13"/>
    </row>
    <row r="90" spans="8:9">
      <c r="H90" s="16"/>
      <c r="I90" s="13"/>
    </row>
    <row r="91" spans="8:9">
      <c r="H91" s="7"/>
      <c r="I91" s="7"/>
    </row>
    <row r="92" spans="8:9">
      <c r="H92" s="6"/>
      <c r="I92" s="6"/>
    </row>
    <row r="93" spans="8:9">
      <c r="H93" s="6"/>
      <c r="I93" s="6"/>
    </row>
    <row r="94" spans="8:9">
      <c r="H94" s="6"/>
      <c r="I94" s="6"/>
    </row>
    <row r="95" spans="8:9">
      <c r="H95" s="6"/>
      <c r="I95" s="6"/>
    </row>
    <row r="199" spans="1:1">
      <c r="A199" s="3" t="s">
        <v>232</v>
      </c>
    </row>
  </sheetData>
  <mergeCells count="25">
    <mergeCell ref="A44:G44"/>
    <mergeCell ref="B8:C8"/>
    <mergeCell ref="A57:K57"/>
    <mergeCell ref="A42:J42"/>
    <mergeCell ref="H8:I8"/>
    <mergeCell ref="F8:G8"/>
    <mergeCell ref="D8:E8"/>
    <mergeCell ref="A7:I7"/>
    <mergeCell ref="A5:I5"/>
    <mergeCell ref="A8:A9"/>
    <mergeCell ref="A6:I6"/>
    <mergeCell ref="A1:I1"/>
    <mergeCell ref="A2:I2"/>
    <mergeCell ref="A3:I3"/>
    <mergeCell ref="A4:I4"/>
    <mergeCell ref="B62:I62"/>
    <mergeCell ref="A46:G46"/>
    <mergeCell ref="A48:G48"/>
    <mergeCell ref="A50:G50"/>
    <mergeCell ref="A55:G55"/>
    <mergeCell ref="A51:G51"/>
    <mergeCell ref="A56:G56"/>
    <mergeCell ref="A54:G54"/>
    <mergeCell ref="B58:I58"/>
    <mergeCell ref="B52:G52"/>
  </mergeCells>
  <phoneticPr fontId="0" type="noConversion"/>
  <printOptions horizontalCentered="1"/>
  <pageMargins left="0.5" right="0.4" top="0.5" bottom="0.25" header="0" footer="0"/>
  <pageSetup scale="77" firstPageNumber="8" fitToHeight="0" orientation="landscape" useFirstPageNumber="1" r:id="rId1"/>
  <headerFooter alignWithMargins="0">
    <oddFooter>&amp;C&amp;"Times New Roman,Regular"Exhibit L – Summary of Requirements by Object Class&amp;R&amp;"Times New Roman,Regular"Salaries and Expenses</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J91"/>
  <sheetViews>
    <sheetView view="pageBreakPreview" zoomScale="110" zoomScaleNormal="100" zoomScaleSheetLayoutView="110" workbookViewId="0">
      <selection activeCell="G66" sqref="G66"/>
    </sheetView>
  </sheetViews>
  <sheetFormatPr defaultRowHeight="15"/>
  <cols>
    <col min="7" max="7" width="21.44140625" customWidth="1"/>
    <col min="9" max="9" width="8.88671875" style="488"/>
  </cols>
  <sheetData>
    <row r="1" spans="1:10" ht="15.75">
      <c r="A1" s="244" t="s">
        <v>118</v>
      </c>
      <c r="J1" s="488" t="s">
        <v>0</v>
      </c>
    </row>
    <row r="2" spans="1:10" ht="15.75">
      <c r="A2" s="243"/>
      <c r="J2" s="488" t="s">
        <v>0</v>
      </c>
    </row>
    <row r="3" spans="1:10" ht="20.25">
      <c r="A3" s="504"/>
      <c r="B3" s="505"/>
      <c r="C3" s="505"/>
      <c r="D3" s="505"/>
      <c r="E3" s="505"/>
      <c r="F3" s="505"/>
      <c r="G3" s="505"/>
      <c r="H3" s="505"/>
      <c r="I3" s="505"/>
      <c r="J3" s="488" t="s">
        <v>0</v>
      </c>
    </row>
    <row r="4" spans="1:10" ht="20.25">
      <c r="A4" s="2033" t="str">
        <f>'B. Summ of Reqs - S&amp;E '!A5:X5</f>
        <v>Office of Justice Programs</v>
      </c>
      <c r="B4" s="2034"/>
      <c r="C4" s="2034"/>
      <c r="D4" s="2034"/>
      <c r="E4" s="2034"/>
      <c r="F4" s="2034"/>
      <c r="G4" s="2034"/>
      <c r="H4" s="2034"/>
      <c r="I4" s="2034"/>
      <c r="J4" s="488" t="s">
        <v>0</v>
      </c>
    </row>
    <row r="5" spans="1:10" ht="15.75">
      <c r="A5" s="2035" t="s">
        <v>257</v>
      </c>
      <c r="B5" s="2036"/>
      <c r="C5" s="2036"/>
      <c r="D5" s="2036"/>
      <c r="E5" s="2036"/>
      <c r="F5" s="2036"/>
      <c r="G5" s="2036"/>
      <c r="H5" s="2036"/>
      <c r="I5" s="2036"/>
      <c r="J5" s="488" t="s">
        <v>0</v>
      </c>
    </row>
    <row r="6" spans="1:10">
      <c r="A6" s="506"/>
      <c r="B6" s="506"/>
      <c r="C6" s="506"/>
      <c r="D6" s="506"/>
      <c r="E6" s="506"/>
      <c r="F6" s="506"/>
      <c r="G6" s="506"/>
      <c r="H6" s="506"/>
      <c r="I6" s="506"/>
      <c r="J6" s="488" t="s">
        <v>0</v>
      </c>
    </row>
    <row r="7" spans="1:10" ht="15.75">
      <c r="A7" s="2037" t="s">
        <v>331</v>
      </c>
      <c r="B7" s="2037"/>
      <c r="C7" s="2037"/>
      <c r="D7" s="2037"/>
      <c r="E7" s="2037"/>
      <c r="F7" s="2037"/>
      <c r="G7" s="2037"/>
      <c r="H7" s="2037"/>
      <c r="I7" s="2037"/>
      <c r="J7" s="488" t="s">
        <v>0</v>
      </c>
    </row>
    <row r="8" spans="1:10" ht="15.75">
      <c r="A8" s="507"/>
      <c r="B8" s="507"/>
      <c r="C8" s="507"/>
      <c r="D8" s="507"/>
      <c r="E8" s="507"/>
      <c r="F8" s="507"/>
      <c r="G8" s="507"/>
      <c r="H8" s="507"/>
      <c r="I8" s="507"/>
      <c r="J8" s="488" t="s">
        <v>0</v>
      </c>
    </row>
    <row r="9" spans="1:10" s="627" customFormat="1">
      <c r="A9" s="2038" t="s">
        <v>397</v>
      </c>
      <c r="B9" s="2039"/>
      <c r="C9" s="2039"/>
      <c r="D9" s="2039"/>
      <c r="E9" s="2039"/>
      <c r="F9" s="2039"/>
      <c r="G9" s="2039"/>
      <c r="H9" s="2039"/>
      <c r="I9" s="2039"/>
      <c r="J9" s="488" t="s">
        <v>0</v>
      </c>
    </row>
    <row r="10" spans="1:10" s="627" customFormat="1">
      <c r="A10" s="2039"/>
      <c r="B10" s="2039"/>
      <c r="C10" s="2039"/>
      <c r="D10" s="2039"/>
      <c r="E10" s="2039"/>
      <c r="F10" s="2039"/>
      <c r="G10" s="2039"/>
      <c r="H10" s="2039"/>
      <c r="I10" s="2039"/>
      <c r="J10" s="488" t="s">
        <v>0</v>
      </c>
    </row>
    <row r="11" spans="1:10" s="627" customFormat="1" ht="30.75" customHeight="1">
      <c r="A11" s="2039"/>
      <c r="B11" s="2039"/>
      <c r="C11" s="2039"/>
      <c r="D11" s="2039"/>
      <c r="E11" s="2039"/>
      <c r="F11" s="2039"/>
      <c r="G11" s="2039"/>
      <c r="H11" s="2039"/>
      <c r="I11" s="2039"/>
      <c r="J11" s="488" t="s">
        <v>0</v>
      </c>
    </row>
    <row r="12" spans="1:10" s="627" customFormat="1" ht="15.75">
      <c r="A12" s="628"/>
      <c r="B12" s="628"/>
      <c r="C12" s="628"/>
      <c r="D12" s="628"/>
      <c r="E12" s="628"/>
      <c r="F12" s="628"/>
      <c r="G12" s="628"/>
      <c r="H12" s="628"/>
      <c r="I12" s="628"/>
      <c r="J12" s="488" t="s">
        <v>0</v>
      </c>
    </row>
    <row r="13" spans="1:10" s="627" customFormat="1" ht="15.75">
      <c r="A13" s="2027" t="s">
        <v>691</v>
      </c>
      <c r="B13" s="2027"/>
      <c r="C13" s="2027"/>
      <c r="D13" s="2027"/>
      <c r="E13" s="2027"/>
      <c r="F13" s="2027"/>
      <c r="G13" s="2027"/>
      <c r="H13" s="2027"/>
      <c r="I13" s="2027"/>
      <c r="J13" s="488" t="s">
        <v>0</v>
      </c>
    </row>
    <row r="14" spans="1:10" s="627" customFormat="1" ht="15.75">
      <c r="A14" s="632"/>
      <c r="B14" s="633"/>
      <c r="C14" s="633"/>
      <c r="D14" s="633"/>
      <c r="E14" s="633"/>
      <c r="F14" s="633"/>
      <c r="G14" s="633"/>
      <c r="H14" s="633"/>
      <c r="I14" s="633"/>
      <c r="J14" s="488" t="s">
        <v>0</v>
      </c>
    </row>
    <row r="15" spans="1:10" s="627" customFormat="1" ht="45.75" customHeight="1">
      <c r="A15" s="2029" t="s">
        <v>398</v>
      </c>
      <c r="B15" s="2030"/>
      <c r="C15" s="2030"/>
      <c r="D15" s="2030"/>
      <c r="E15" s="2030"/>
      <c r="F15" s="2030"/>
      <c r="G15" s="2030"/>
      <c r="H15" s="2030"/>
      <c r="I15" s="2030"/>
      <c r="J15" s="488" t="s">
        <v>0</v>
      </c>
    </row>
    <row r="16" spans="1:10" s="627" customFormat="1" ht="15.75">
      <c r="A16" s="632"/>
      <c r="B16" s="633"/>
      <c r="C16" s="633"/>
      <c r="D16" s="633"/>
      <c r="E16" s="633"/>
      <c r="F16" s="633"/>
      <c r="G16" s="633"/>
      <c r="H16" s="633"/>
      <c r="I16" s="633"/>
      <c r="J16" s="488" t="s">
        <v>0</v>
      </c>
    </row>
    <row r="17" spans="1:10" s="627" customFormat="1" ht="15.75">
      <c r="A17" s="2028" t="s">
        <v>395</v>
      </c>
      <c r="B17" s="2028"/>
      <c r="C17" s="2028"/>
      <c r="D17" s="2028"/>
      <c r="E17" s="2028"/>
      <c r="F17" s="2028"/>
      <c r="G17" s="2028"/>
      <c r="H17" s="2028"/>
      <c r="I17" s="2028"/>
      <c r="J17" s="488" t="s">
        <v>0</v>
      </c>
    </row>
    <row r="18" spans="1:10" s="627" customFormat="1" ht="15.75">
      <c r="A18" s="634"/>
      <c r="B18" s="634"/>
      <c r="C18" s="634"/>
      <c r="D18" s="634"/>
      <c r="E18" s="634"/>
      <c r="F18" s="634"/>
      <c r="G18" s="634"/>
      <c r="H18" s="634"/>
      <c r="I18" s="634"/>
      <c r="J18" s="488" t="s">
        <v>0</v>
      </c>
    </row>
    <row r="19" spans="1:10" s="627" customFormat="1" ht="63" customHeight="1">
      <c r="A19" s="2029" t="s">
        <v>399</v>
      </c>
      <c r="B19" s="2030"/>
      <c r="C19" s="2030"/>
      <c r="D19" s="2030"/>
      <c r="E19" s="2030"/>
      <c r="F19" s="2030"/>
      <c r="G19" s="2030"/>
      <c r="H19" s="2030"/>
      <c r="I19" s="2030"/>
      <c r="J19" s="488" t="s">
        <v>0</v>
      </c>
    </row>
    <row r="20" spans="1:10" s="627" customFormat="1" ht="15.75">
      <c r="A20" s="632"/>
      <c r="B20" s="633"/>
      <c r="C20" s="633"/>
      <c r="D20" s="633"/>
      <c r="E20" s="633"/>
      <c r="F20" s="633"/>
      <c r="G20" s="633"/>
      <c r="H20" s="633"/>
      <c r="I20" s="633"/>
      <c r="J20" s="488" t="s">
        <v>0</v>
      </c>
    </row>
    <row r="21" spans="1:10" s="627" customFormat="1" ht="15.75">
      <c r="A21" s="2028" t="s">
        <v>396</v>
      </c>
      <c r="B21" s="2028"/>
      <c r="C21" s="2028"/>
      <c r="D21" s="2028"/>
      <c r="E21" s="2028"/>
      <c r="F21" s="2028"/>
      <c r="G21" s="2028"/>
      <c r="H21" s="2028"/>
      <c r="I21" s="2028"/>
      <c r="J21" s="488" t="s">
        <v>0</v>
      </c>
    </row>
    <row r="22" spans="1:10" s="627" customFormat="1" ht="15.75">
      <c r="A22" s="634"/>
      <c r="B22" s="634"/>
      <c r="C22" s="634"/>
      <c r="D22" s="634"/>
      <c r="E22" s="634"/>
      <c r="F22" s="634"/>
      <c r="G22" s="634"/>
      <c r="H22" s="634"/>
      <c r="I22" s="634"/>
      <c r="J22" s="488" t="s">
        <v>0</v>
      </c>
    </row>
    <row r="23" spans="1:10" s="627" customFormat="1" ht="31.5" customHeight="1">
      <c r="A23" s="2029" t="s">
        <v>400</v>
      </c>
      <c r="B23" s="2030"/>
      <c r="C23" s="2030"/>
      <c r="D23" s="2030"/>
      <c r="E23" s="2030"/>
      <c r="F23" s="2030"/>
      <c r="G23" s="2030"/>
      <c r="H23" s="2030"/>
      <c r="I23" s="2030"/>
      <c r="J23" s="488" t="s">
        <v>0</v>
      </c>
    </row>
    <row r="24" spans="1:10" s="627" customFormat="1" ht="15.75">
      <c r="A24" s="632"/>
      <c r="B24" s="633"/>
      <c r="C24" s="633"/>
      <c r="D24" s="633"/>
      <c r="E24" s="633"/>
      <c r="F24" s="633"/>
      <c r="G24" s="633"/>
      <c r="H24" s="633"/>
      <c r="I24" s="633"/>
      <c r="J24" s="488" t="s">
        <v>0</v>
      </c>
    </row>
    <row r="25" spans="1:10" s="627" customFormat="1" ht="15.75">
      <c r="A25" s="2028" t="s">
        <v>396</v>
      </c>
      <c r="B25" s="2028"/>
      <c r="C25" s="2028"/>
      <c r="D25" s="2028"/>
      <c r="E25" s="2028"/>
      <c r="F25" s="2028"/>
      <c r="G25" s="2028"/>
      <c r="H25" s="2028"/>
      <c r="I25" s="2028"/>
      <c r="J25" s="488" t="s">
        <v>0</v>
      </c>
    </row>
    <row r="26" spans="1:10" s="627" customFormat="1" ht="15.75">
      <c r="A26" s="634"/>
      <c r="B26" s="634"/>
      <c r="C26" s="634"/>
      <c r="D26" s="634"/>
      <c r="E26" s="634"/>
      <c r="F26" s="634"/>
      <c r="G26" s="634"/>
      <c r="H26" s="634"/>
      <c r="I26" s="634"/>
      <c r="J26" s="488" t="s">
        <v>0</v>
      </c>
    </row>
    <row r="27" spans="1:10" s="627" customFormat="1" ht="34.5" customHeight="1">
      <c r="A27" s="2029" t="s">
        <v>401</v>
      </c>
      <c r="B27" s="2030"/>
      <c r="C27" s="2030"/>
      <c r="D27" s="2030"/>
      <c r="E27" s="2030"/>
      <c r="F27" s="2030"/>
      <c r="G27" s="2030"/>
      <c r="H27" s="2030"/>
      <c r="I27" s="2030"/>
      <c r="J27" s="488" t="s">
        <v>0</v>
      </c>
    </row>
    <row r="28" spans="1:10" s="627" customFormat="1" ht="15.75">
      <c r="A28" s="632"/>
      <c r="B28" s="633"/>
      <c r="C28" s="633"/>
      <c r="D28" s="633"/>
      <c r="E28" s="633"/>
      <c r="F28" s="633"/>
      <c r="G28" s="633"/>
      <c r="H28" s="633"/>
      <c r="I28" s="633"/>
      <c r="J28" s="488" t="s">
        <v>0</v>
      </c>
    </row>
    <row r="29" spans="1:10" s="627" customFormat="1" ht="15.75">
      <c r="A29" s="2027" t="s">
        <v>692</v>
      </c>
      <c r="B29" s="2027"/>
      <c r="C29" s="2027"/>
      <c r="D29" s="2027"/>
      <c r="E29" s="2027"/>
      <c r="F29" s="2027"/>
      <c r="G29" s="2027"/>
      <c r="H29" s="2027"/>
      <c r="I29" s="2027"/>
      <c r="J29" s="488" t="s">
        <v>0</v>
      </c>
    </row>
    <row r="30" spans="1:10" s="57" customFormat="1" ht="15.75">
      <c r="A30" s="635"/>
      <c r="B30" s="635"/>
      <c r="C30" s="635"/>
      <c r="D30" s="635"/>
      <c r="E30" s="635"/>
      <c r="F30" s="635"/>
      <c r="G30" s="635"/>
      <c r="H30" s="635"/>
      <c r="I30" s="635"/>
      <c r="J30" s="488" t="s">
        <v>0</v>
      </c>
    </row>
    <row r="31" spans="1:10" s="627" customFormat="1" ht="51" customHeight="1">
      <c r="A31" s="2040" t="s">
        <v>402</v>
      </c>
      <c r="B31" s="2041"/>
      <c r="C31" s="2041"/>
      <c r="D31" s="2041"/>
      <c r="E31" s="2041"/>
      <c r="F31" s="2041"/>
      <c r="G31" s="2041"/>
      <c r="H31" s="2041"/>
      <c r="I31" s="2041"/>
      <c r="J31" s="488" t="s">
        <v>0</v>
      </c>
    </row>
    <row r="32" spans="1:10" s="627" customFormat="1" ht="15.75">
      <c r="A32" s="1516"/>
      <c r="B32" s="1517"/>
      <c r="C32" s="1517"/>
      <c r="D32" s="1517"/>
      <c r="E32" s="1517"/>
      <c r="F32" s="1517"/>
      <c r="G32" s="1517"/>
      <c r="H32" s="1517"/>
      <c r="I32" s="1517"/>
      <c r="J32" s="488" t="s">
        <v>0</v>
      </c>
    </row>
    <row r="33" spans="1:10" s="627" customFormat="1" ht="15.75">
      <c r="A33" s="2026" t="s">
        <v>693</v>
      </c>
      <c r="B33" s="2027"/>
      <c r="C33" s="2027"/>
      <c r="D33" s="2027"/>
      <c r="E33" s="2027"/>
      <c r="F33" s="2027"/>
      <c r="G33" s="2027"/>
      <c r="H33" s="2027"/>
      <c r="I33" s="2027"/>
      <c r="J33" s="488" t="s">
        <v>0</v>
      </c>
    </row>
    <row r="34" spans="1:10" s="57" customFormat="1" ht="15.75">
      <c r="A34" s="635"/>
      <c r="B34" s="635"/>
      <c r="C34" s="635"/>
      <c r="D34" s="635"/>
      <c r="E34" s="635"/>
      <c r="F34" s="635"/>
      <c r="G34" s="635"/>
      <c r="H34" s="635"/>
      <c r="I34" s="635"/>
      <c r="J34" s="488" t="s">
        <v>0</v>
      </c>
    </row>
    <row r="35" spans="1:10" s="627" customFormat="1" ht="77.25" customHeight="1">
      <c r="A35" s="2029" t="s">
        <v>403</v>
      </c>
      <c r="B35" s="2030"/>
      <c r="C35" s="2030"/>
      <c r="D35" s="2030"/>
      <c r="E35" s="2030"/>
      <c r="F35" s="2030"/>
      <c r="G35" s="2030"/>
      <c r="H35" s="2030"/>
      <c r="I35" s="2030"/>
      <c r="J35" s="488" t="s">
        <v>0</v>
      </c>
    </row>
    <row r="36" spans="1:10" s="627" customFormat="1" ht="15.75">
      <c r="A36" s="632"/>
      <c r="B36" s="633"/>
      <c r="C36" s="633"/>
      <c r="D36" s="633"/>
      <c r="E36" s="633"/>
      <c r="F36" s="633"/>
      <c r="G36" s="633"/>
      <c r="H36" s="633"/>
      <c r="I36" s="633"/>
      <c r="J36" s="488" t="s">
        <v>0</v>
      </c>
    </row>
    <row r="37" spans="1:10" s="627" customFormat="1" ht="15.75">
      <c r="A37" s="2028" t="s">
        <v>396</v>
      </c>
      <c r="B37" s="2028"/>
      <c r="C37" s="2028"/>
      <c r="D37" s="2028"/>
      <c r="E37" s="2028"/>
      <c r="F37" s="2028"/>
      <c r="G37" s="2028"/>
      <c r="H37" s="2028"/>
      <c r="I37" s="2028"/>
      <c r="J37" s="488" t="s">
        <v>0</v>
      </c>
    </row>
    <row r="38" spans="1:10" s="627" customFormat="1" ht="15.75">
      <c r="A38" s="634"/>
      <c r="B38" s="634"/>
      <c r="C38" s="634"/>
      <c r="D38" s="634"/>
      <c r="E38" s="634"/>
      <c r="F38" s="634"/>
      <c r="G38" s="634"/>
      <c r="H38" s="634"/>
      <c r="I38" s="634"/>
      <c r="J38" s="488" t="s">
        <v>0</v>
      </c>
    </row>
    <row r="39" spans="1:10" s="627" customFormat="1" ht="33" customHeight="1">
      <c r="A39" s="2029" t="s">
        <v>404</v>
      </c>
      <c r="B39" s="2030"/>
      <c r="C39" s="2030"/>
      <c r="D39" s="2030"/>
      <c r="E39" s="2030"/>
      <c r="F39" s="2030"/>
      <c r="G39" s="2030"/>
      <c r="H39" s="2030"/>
      <c r="I39" s="2030"/>
      <c r="J39" s="488" t="s">
        <v>0</v>
      </c>
    </row>
    <row r="40" spans="1:10" s="627" customFormat="1" ht="15.75">
      <c r="A40" s="632"/>
      <c r="B40" s="633"/>
      <c r="C40" s="633"/>
      <c r="D40" s="633"/>
      <c r="E40" s="633"/>
      <c r="F40" s="633"/>
      <c r="G40" s="633"/>
      <c r="H40" s="633"/>
      <c r="I40" s="633"/>
      <c r="J40" s="488" t="s">
        <v>0</v>
      </c>
    </row>
    <row r="41" spans="1:10" s="627" customFormat="1" ht="15.75">
      <c r="A41" s="2028" t="s">
        <v>396</v>
      </c>
      <c r="B41" s="2028"/>
      <c r="C41" s="2028"/>
      <c r="D41" s="2028"/>
      <c r="E41" s="2028"/>
      <c r="F41" s="2028"/>
      <c r="G41" s="2028"/>
      <c r="H41" s="2028"/>
      <c r="I41" s="2028"/>
      <c r="J41" s="488" t="s">
        <v>0</v>
      </c>
    </row>
    <row r="42" spans="1:10" s="627" customFormat="1" ht="15.75">
      <c r="A42" s="634"/>
      <c r="B42" s="634"/>
      <c r="C42" s="634"/>
      <c r="D42" s="634"/>
      <c r="E42" s="634"/>
      <c r="F42" s="634"/>
      <c r="G42" s="634"/>
      <c r="H42" s="634"/>
      <c r="I42" s="634"/>
      <c r="J42" s="488" t="s">
        <v>0</v>
      </c>
    </row>
    <row r="43" spans="1:10" s="627" customFormat="1" ht="31.5" customHeight="1">
      <c r="A43" s="2029" t="s">
        <v>405</v>
      </c>
      <c r="B43" s="2030"/>
      <c r="C43" s="2030"/>
      <c r="D43" s="2030"/>
      <c r="E43" s="2030"/>
      <c r="F43" s="2030"/>
      <c r="G43" s="2030"/>
      <c r="H43" s="2030"/>
      <c r="I43" s="2030"/>
      <c r="J43" s="488" t="s">
        <v>0</v>
      </c>
    </row>
    <row r="44" spans="1:10" s="627" customFormat="1" ht="15.75">
      <c r="A44" s="632"/>
      <c r="B44" s="633"/>
      <c r="C44" s="633"/>
      <c r="D44" s="633"/>
      <c r="E44" s="633"/>
      <c r="F44" s="633"/>
      <c r="G44" s="633"/>
      <c r="H44" s="633"/>
      <c r="I44" s="633"/>
      <c r="J44" s="488" t="s">
        <v>0</v>
      </c>
    </row>
    <row r="45" spans="1:10" s="627" customFormat="1" ht="15.75">
      <c r="A45" s="2028" t="s">
        <v>396</v>
      </c>
      <c r="B45" s="2028"/>
      <c r="C45" s="2028"/>
      <c r="D45" s="2028"/>
      <c r="E45" s="2028"/>
      <c r="F45" s="2028"/>
      <c r="G45" s="2028"/>
      <c r="H45" s="2028"/>
      <c r="I45" s="2028"/>
      <c r="J45" s="488" t="s">
        <v>0</v>
      </c>
    </row>
    <row r="46" spans="1:10" s="627" customFormat="1" ht="15.75">
      <c r="A46" s="634"/>
      <c r="B46" s="634"/>
      <c r="C46" s="634"/>
      <c r="D46" s="634"/>
      <c r="E46" s="634"/>
      <c r="F46" s="634"/>
      <c r="G46" s="634"/>
      <c r="H46" s="634"/>
      <c r="I46" s="634"/>
      <c r="J46" s="488" t="s">
        <v>0</v>
      </c>
    </row>
    <row r="47" spans="1:10" s="627" customFormat="1" ht="84.75" customHeight="1">
      <c r="A47" s="2029" t="s">
        <v>406</v>
      </c>
      <c r="B47" s="2030"/>
      <c r="C47" s="2030"/>
      <c r="D47" s="2030"/>
      <c r="E47" s="2030"/>
      <c r="F47" s="2030"/>
      <c r="G47" s="2030"/>
      <c r="H47" s="2030"/>
      <c r="I47" s="2030"/>
      <c r="J47" s="488" t="s">
        <v>0</v>
      </c>
    </row>
    <row r="48" spans="1:10" s="627" customFormat="1" ht="15.75">
      <c r="A48" s="632"/>
      <c r="B48" s="633"/>
      <c r="C48" s="633"/>
      <c r="D48" s="633"/>
      <c r="E48" s="633"/>
      <c r="F48" s="633"/>
      <c r="G48" s="633"/>
      <c r="H48" s="633"/>
      <c r="I48" s="633"/>
      <c r="J48" s="488" t="s">
        <v>0</v>
      </c>
    </row>
    <row r="49" spans="1:10" s="627" customFormat="1" ht="15.75">
      <c r="A49" s="2028" t="s">
        <v>396</v>
      </c>
      <c r="B49" s="2028"/>
      <c r="C49" s="2028"/>
      <c r="D49" s="2028"/>
      <c r="E49" s="2028"/>
      <c r="F49" s="2028"/>
      <c r="G49" s="2028"/>
      <c r="H49" s="2028"/>
      <c r="I49" s="2028"/>
      <c r="J49" s="488" t="s">
        <v>0</v>
      </c>
    </row>
    <row r="50" spans="1:10" s="627" customFormat="1" ht="15.75">
      <c r="A50" s="634"/>
      <c r="B50" s="634"/>
      <c r="C50" s="634"/>
      <c r="D50" s="634"/>
      <c r="E50" s="634"/>
      <c r="F50" s="634"/>
      <c r="G50" s="634"/>
      <c r="H50" s="634"/>
      <c r="I50" s="634"/>
      <c r="J50" s="488" t="s">
        <v>0</v>
      </c>
    </row>
    <row r="51" spans="1:10" s="627" customFormat="1" ht="47.25" customHeight="1">
      <c r="A51" s="2029" t="s">
        <v>407</v>
      </c>
      <c r="B51" s="2030"/>
      <c r="C51" s="2030"/>
      <c r="D51" s="2030"/>
      <c r="E51" s="2030"/>
      <c r="F51" s="2030"/>
      <c r="G51" s="2030"/>
      <c r="H51" s="2030"/>
      <c r="I51" s="2030"/>
      <c r="J51" s="488" t="s">
        <v>0</v>
      </c>
    </row>
    <row r="52" spans="1:10" s="627" customFormat="1" ht="15.75">
      <c r="A52" s="632"/>
      <c r="B52" s="633"/>
      <c r="C52" s="633"/>
      <c r="D52" s="633"/>
      <c r="E52" s="633"/>
      <c r="F52" s="633"/>
      <c r="G52" s="633"/>
      <c r="H52" s="633"/>
      <c r="I52" s="633"/>
      <c r="J52" s="488" t="s">
        <v>0</v>
      </c>
    </row>
    <row r="53" spans="1:10" s="627" customFormat="1" ht="15.75">
      <c r="A53" s="2026" t="s">
        <v>693</v>
      </c>
      <c r="B53" s="2027"/>
      <c r="C53" s="2027"/>
      <c r="D53" s="2027"/>
      <c r="E53" s="2027"/>
      <c r="F53" s="2027"/>
      <c r="G53" s="2027"/>
      <c r="H53" s="2027"/>
      <c r="I53" s="2027"/>
      <c r="J53" s="488" t="s">
        <v>0</v>
      </c>
    </row>
    <row r="54" spans="1:10" s="627" customFormat="1" ht="15.75">
      <c r="A54" s="634"/>
      <c r="B54" s="634"/>
      <c r="C54" s="634"/>
      <c r="D54" s="634"/>
      <c r="E54" s="634"/>
      <c r="F54" s="634"/>
      <c r="G54" s="634"/>
      <c r="H54" s="634"/>
      <c r="I54" s="634"/>
      <c r="J54" s="488" t="s">
        <v>0</v>
      </c>
    </row>
    <row r="55" spans="1:10" s="627" customFormat="1" ht="15.75">
      <c r="A55" s="634"/>
      <c r="B55" s="634"/>
      <c r="C55" s="634"/>
      <c r="D55" s="634"/>
      <c r="E55" s="634"/>
      <c r="F55" s="634"/>
      <c r="G55" s="634"/>
      <c r="H55" s="634"/>
      <c r="I55" s="634"/>
      <c r="J55" s="488" t="s">
        <v>0</v>
      </c>
    </row>
    <row r="56" spans="1:10" s="627" customFormat="1" ht="15.75">
      <c r="A56" s="628"/>
      <c r="B56" s="628"/>
      <c r="C56" s="628"/>
      <c r="D56" s="628"/>
      <c r="E56" s="628"/>
      <c r="F56" s="628"/>
      <c r="G56" s="628"/>
      <c r="H56" s="628"/>
      <c r="I56" s="628"/>
      <c r="J56" s="488" t="s">
        <v>24</v>
      </c>
    </row>
    <row r="57" spans="1:10" s="627" customFormat="1" ht="15.75">
      <c r="A57" s="628"/>
      <c r="B57" s="628"/>
      <c r="C57" s="628"/>
      <c r="D57" s="628"/>
      <c r="E57" s="628"/>
      <c r="F57" s="628"/>
      <c r="G57" s="628"/>
      <c r="H57" s="628"/>
      <c r="I57" s="628"/>
      <c r="J57" s="488"/>
    </row>
    <row r="58" spans="1:10" s="627" customFormat="1" ht="15.75">
      <c r="A58" s="628"/>
      <c r="B58" s="628"/>
      <c r="C58" s="628"/>
      <c r="D58" s="628"/>
      <c r="E58" s="628"/>
      <c r="F58" s="628"/>
      <c r="G58" s="628"/>
      <c r="H58" s="628"/>
      <c r="I58" s="628"/>
      <c r="J58" s="488"/>
    </row>
    <row r="59" spans="1:10" s="627" customFormat="1" ht="15.75">
      <c r="A59" s="628"/>
      <c r="B59" s="628"/>
      <c r="C59" s="628"/>
      <c r="D59" s="628"/>
      <c r="E59" s="628"/>
      <c r="F59" s="628"/>
      <c r="G59" s="628"/>
      <c r="H59" s="628"/>
      <c r="I59" s="628"/>
      <c r="J59" s="488"/>
    </row>
    <row r="60" spans="1:10" s="627" customFormat="1" ht="15.75">
      <c r="A60" s="628"/>
      <c r="B60" s="628"/>
      <c r="C60" s="628"/>
      <c r="D60" s="628"/>
      <c r="E60" s="628"/>
      <c r="F60" s="628"/>
      <c r="G60" s="628"/>
      <c r="H60" s="628"/>
      <c r="I60" s="628"/>
      <c r="J60" s="488"/>
    </row>
    <row r="61" spans="1:10" s="627" customFormat="1" ht="15.75">
      <c r="A61" s="628"/>
      <c r="B61" s="628"/>
      <c r="C61" s="628"/>
      <c r="D61" s="628"/>
      <c r="E61" s="628"/>
      <c r="F61" s="628"/>
      <c r="G61" s="628"/>
      <c r="H61" s="628"/>
      <c r="I61" s="628"/>
      <c r="J61" s="488"/>
    </row>
    <row r="62" spans="1:10" s="627" customFormat="1" ht="15.75">
      <c r="A62" s="628"/>
      <c r="B62" s="628"/>
      <c r="C62" s="628"/>
      <c r="D62" s="628"/>
      <c r="E62" s="628"/>
      <c r="F62" s="628"/>
      <c r="G62" s="628"/>
      <c r="H62" s="628"/>
      <c r="I62" s="628"/>
      <c r="J62" s="488"/>
    </row>
    <row r="63" spans="1:10" s="627" customFormat="1" ht="15.75">
      <c r="A63" s="628"/>
      <c r="B63" s="628"/>
      <c r="C63" s="628"/>
      <c r="D63" s="628"/>
      <c r="E63" s="628"/>
      <c r="F63" s="628"/>
      <c r="G63" s="628"/>
      <c r="H63" s="628"/>
      <c r="I63" s="628"/>
      <c r="J63" s="488"/>
    </row>
    <row r="64" spans="1:10" s="627" customFormat="1" ht="15.75">
      <c r="A64" s="628"/>
      <c r="B64" s="628"/>
      <c r="C64" s="628"/>
      <c r="D64" s="628"/>
      <c r="E64" s="628"/>
      <c r="F64" s="628"/>
      <c r="G64" s="628"/>
      <c r="H64" s="628"/>
      <c r="I64" s="628"/>
      <c r="J64" s="488"/>
    </row>
    <row r="65" spans="1:10" s="627" customFormat="1" ht="15.75">
      <c r="A65" s="628"/>
      <c r="B65" s="628"/>
      <c r="C65" s="628"/>
      <c r="D65" s="628"/>
      <c r="E65" s="628"/>
      <c r="F65" s="628"/>
      <c r="G65" s="628"/>
      <c r="H65" s="628"/>
      <c r="I65" s="628"/>
      <c r="J65" s="488"/>
    </row>
    <row r="66" spans="1:10" s="627" customFormat="1" ht="15.75">
      <c r="A66" s="628"/>
      <c r="B66" s="628"/>
      <c r="C66" s="628"/>
      <c r="D66" s="628"/>
      <c r="E66" s="628"/>
      <c r="F66" s="628"/>
      <c r="G66" s="628"/>
      <c r="H66" s="628"/>
      <c r="I66" s="628"/>
      <c r="J66" s="488"/>
    </row>
    <row r="67" spans="1:10" s="627" customFormat="1" ht="15.75">
      <c r="A67" s="628"/>
      <c r="B67" s="628"/>
      <c r="C67" s="628"/>
      <c r="D67" s="628"/>
      <c r="E67" s="628"/>
      <c r="F67" s="628"/>
      <c r="G67" s="628"/>
      <c r="H67" s="628"/>
      <c r="I67" s="628"/>
      <c r="J67" s="488"/>
    </row>
    <row r="68" spans="1:10" s="627" customFormat="1">
      <c r="A68" s="508"/>
      <c r="B68" s="508"/>
      <c r="C68" s="508"/>
      <c r="D68" s="508"/>
      <c r="E68" s="508"/>
      <c r="F68" s="508"/>
      <c r="G68" s="508"/>
      <c r="H68" s="508"/>
      <c r="I68" s="508"/>
      <c r="J68" s="488"/>
    </row>
    <row r="69" spans="1:10" s="627" customFormat="1">
      <c r="A69" s="509"/>
      <c r="B69" s="509"/>
      <c r="C69" s="509"/>
      <c r="D69" s="509"/>
      <c r="E69" s="509"/>
      <c r="F69" s="509"/>
      <c r="G69" s="509"/>
      <c r="H69" s="509"/>
      <c r="I69" s="509"/>
      <c r="J69" s="488"/>
    </row>
    <row r="70" spans="1:10">
      <c r="A70" s="508"/>
      <c r="B70" s="508"/>
      <c r="C70" s="508"/>
      <c r="D70" s="508"/>
      <c r="E70" s="508"/>
      <c r="F70" s="508"/>
      <c r="G70" s="508"/>
      <c r="H70" s="508"/>
      <c r="I70" s="508"/>
      <c r="J70" s="488"/>
    </row>
    <row r="71" spans="1:10">
      <c r="A71" s="509"/>
      <c r="B71" s="509"/>
      <c r="C71" s="509"/>
      <c r="D71" s="509"/>
      <c r="E71" s="509"/>
      <c r="F71" s="509"/>
      <c r="G71" s="509"/>
      <c r="H71" s="509"/>
      <c r="I71" s="509"/>
    </row>
    <row r="72" spans="1:10">
      <c r="A72" s="505"/>
      <c r="B72" s="505"/>
      <c r="C72" s="505"/>
      <c r="D72" s="505"/>
      <c r="E72" s="505"/>
      <c r="F72" s="505"/>
      <c r="G72" s="505"/>
      <c r="H72" s="505"/>
      <c r="I72" s="505"/>
      <c r="J72" s="488"/>
    </row>
    <row r="73" spans="1:10">
      <c r="A73" s="505"/>
      <c r="B73" s="505"/>
      <c r="C73" s="505"/>
      <c r="D73" s="505"/>
      <c r="E73" s="505"/>
      <c r="F73" s="505"/>
      <c r="G73" s="505"/>
      <c r="H73" s="505"/>
      <c r="I73" s="505"/>
      <c r="J73" s="488"/>
    </row>
    <row r="74" spans="1:10" ht="15.75">
      <c r="A74" s="510"/>
      <c r="B74" s="510"/>
      <c r="C74" s="510"/>
      <c r="D74" s="510"/>
      <c r="E74" s="510"/>
      <c r="F74" s="510"/>
      <c r="G74" s="510"/>
      <c r="H74" s="510"/>
      <c r="I74" s="510"/>
      <c r="J74" s="488"/>
    </row>
    <row r="75" spans="1:10" ht="15.75">
      <c r="A75" s="510"/>
      <c r="B75" s="510"/>
      <c r="C75" s="510"/>
      <c r="D75" s="510"/>
      <c r="E75" s="510"/>
      <c r="F75" s="510"/>
      <c r="G75" s="510"/>
      <c r="H75" s="510"/>
      <c r="I75" s="510"/>
      <c r="J75" s="488"/>
    </row>
    <row r="76" spans="1:10" ht="18.75">
      <c r="A76" s="2031"/>
      <c r="B76" s="2032"/>
      <c r="C76" s="2032"/>
      <c r="D76" s="2032"/>
      <c r="E76" s="2032"/>
      <c r="F76" s="2032"/>
      <c r="G76" s="2032"/>
      <c r="H76" s="2032"/>
      <c r="I76" s="2032"/>
      <c r="J76" s="488"/>
    </row>
    <row r="77" spans="1:10">
      <c r="A77" s="511"/>
      <c r="B77" s="511"/>
      <c r="C77" s="511"/>
      <c r="D77" s="511"/>
      <c r="E77" s="511"/>
      <c r="F77" s="511"/>
      <c r="G77" s="511"/>
      <c r="H77" s="511"/>
      <c r="I77" s="511"/>
      <c r="J77" s="488"/>
    </row>
    <row r="78" spans="1:10" ht="39" customHeight="1">
      <c r="A78" s="2031"/>
      <c r="B78" s="2032"/>
      <c r="C78" s="2032"/>
      <c r="D78" s="2032"/>
      <c r="E78" s="2032"/>
      <c r="F78" s="2032"/>
      <c r="G78" s="2032"/>
      <c r="H78" s="2032"/>
      <c r="I78" s="2032"/>
      <c r="J78" s="488"/>
    </row>
    <row r="79" spans="1:10">
      <c r="J79" s="488"/>
    </row>
    <row r="80" spans="1:10">
      <c r="J80" s="488"/>
    </row>
    <row r="81" spans="1:10">
      <c r="J81" s="488"/>
    </row>
    <row r="82" spans="1:10">
      <c r="J82" s="488"/>
    </row>
    <row r="83" spans="1:10">
      <c r="J83" s="488"/>
    </row>
    <row r="91" spans="1:10">
      <c r="A91" s="610" t="s">
        <v>88</v>
      </c>
    </row>
  </sheetData>
  <mergeCells count="27">
    <mergeCell ref="A78:I78"/>
    <mergeCell ref="A4:I4"/>
    <mergeCell ref="A5:I5"/>
    <mergeCell ref="A7:I7"/>
    <mergeCell ref="A9:I11"/>
    <mergeCell ref="A33:I33"/>
    <mergeCell ref="A35:I35"/>
    <mergeCell ref="A37:I37"/>
    <mergeCell ref="A39:I39"/>
    <mergeCell ref="A76:I76"/>
    <mergeCell ref="A23:I23"/>
    <mergeCell ref="A25:I25"/>
    <mergeCell ref="A27:I27"/>
    <mergeCell ref="A29:I29"/>
    <mergeCell ref="A31:I31"/>
    <mergeCell ref="A13:I13"/>
    <mergeCell ref="A15:I15"/>
    <mergeCell ref="A17:I17"/>
    <mergeCell ref="A19:I19"/>
    <mergeCell ref="A21:I21"/>
    <mergeCell ref="A51:I51"/>
    <mergeCell ref="A53:I53"/>
    <mergeCell ref="A41:I41"/>
    <mergeCell ref="A43:I43"/>
    <mergeCell ref="A45:I45"/>
    <mergeCell ref="A47:I47"/>
    <mergeCell ref="A49:I49"/>
  </mergeCells>
  <phoneticPr fontId="48" type="noConversion"/>
  <printOptions horizontalCentered="1"/>
  <pageMargins left="0.5" right="0.4" top="0.5" bottom="0.25" header="0" footer="0"/>
  <pageSetup scale="87" firstPageNumber="8" fitToHeight="0" orientation="portrait" useFirstPageNumber="1" r:id="rId1"/>
  <headerFooter alignWithMargins="0">
    <oddFooter>&amp;C&amp;"Times New Roman,Regular"Exhibit M – Status of Congressionally Requested Studies, Reports, and Evaluations&amp;R&amp;"Times New Roman,Regular"Salaries and Expenses</oddFooter>
  </headerFooter>
  <rowBreaks count="1" manualBreakCount="1">
    <brk id="34" max="8" man="1"/>
  </rowBreaks>
</worksheet>
</file>

<file path=xl/worksheets/sheet13.xml><?xml version="1.0" encoding="utf-8"?>
<worksheet xmlns="http://schemas.openxmlformats.org/spreadsheetml/2006/main" xmlns:r="http://schemas.openxmlformats.org/officeDocument/2006/relationships">
  <dimension ref="A1:G208"/>
  <sheetViews>
    <sheetView view="pageBreakPreview" zoomScale="90" zoomScaleNormal="100" zoomScaleSheetLayoutView="90" workbookViewId="0">
      <pane xSplit="2" ySplit="1" topLeftCell="C2" activePane="bottomRight" state="frozen"/>
      <selection pane="topRight" activeCell="C1" sqref="C1"/>
      <selection pane="bottomLeft" activeCell="A2" sqref="A2"/>
      <selection pane="bottomRight" activeCell="B10" sqref="B10"/>
    </sheetView>
  </sheetViews>
  <sheetFormatPr defaultRowHeight="15"/>
  <cols>
    <col min="2" max="2" width="61.6640625" customWidth="1"/>
    <col min="3" max="6" width="10" customWidth="1"/>
  </cols>
  <sheetData>
    <row r="1" spans="1:7" ht="78.75">
      <c r="A1" s="1524" t="s">
        <v>694</v>
      </c>
      <c r="B1" s="1522"/>
      <c r="C1" s="1523" t="s">
        <v>695</v>
      </c>
      <c r="D1" s="1523" t="s">
        <v>696</v>
      </c>
      <c r="E1" s="1523" t="s">
        <v>799</v>
      </c>
      <c r="F1" s="1525" t="s">
        <v>697</v>
      </c>
      <c r="G1" s="514" t="s">
        <v>0</v>
      </c>
    </row>
    <row r="2" spans="1:7" ht="15.75">
      <c r="A2" s="1526"/>
      <c r="B2" s="1527"/>
      <c r="C2" s="1529"/>
      <c r="D2" s="1528"/>
      <c r="E2" s="1530"/>
      <c r="F2" s="1531"/>
      <c r="G2" s="514" t="s">
        <v>0</v>
      </c>
    </row>
    <row r="3" spans="1:7" ht="13.5" customHeight="1">
      <c r="A3" s="1532"/>
      <c r="B3" s="1533" t="s">
        <v>756</v>
      </c>
      <c r="C3" s="1535">
        <v>160218</v>
      </c>
      <c r="D3" s="1535">
        <v>160218</v>
      </c>
      <c r="E3" s="1536">
        <v>208355</v>
      </c>
      <c r="F3" s="1537">
        <v>48137</v>
      </c>
      <c r="G3" s="514" t="s">
        <v>0</v>
      </c>
    </row>
    <row r="4" spans="1:7" ht="13.5" customHeight="1">
      <c r="A4" s="1543"/>
      <c r="B4" s="1544" t="s">
        <v>700</v>
      </c>
      <c r="C4" s="1535">
        <v>160218</v>
      </c>
      <c r="D4" s="1535">
        <v>160218</v>
      </c>
      <c r="E4" s="1545">
        <v>208355</v>
      </c>
      <c r="F4" s="1546">
        <v>48137</v>
      </c>
      <c r="G4" s="514" t="s">
        <v>0</v>
      </c>
    </row>
    <row r="5" spans="1:7" ht="13.5" customHeight="1">
      <c r="A5" s="1543"/>
      <c r="B5" s="1547"/>
      <c r="C5" s="1548"/>
      <c r="D5" s="1548"/>
      <c r="E5" s="1550"/>
      <c r="F5" s="1551"/>
      <c r="G5" s="514" t="s">
        <v>0</v>
      </c>
    </row>
    <row r="6" spans="1:7" ht="13.5" customHeight="1">
      <c r="A6" s="1526"/>
      <c r="B6" s="1533" t="s">
        <v>411</v>
      </c>
      <c r="C6" s="1552"/>
      <c r="D6" s="1552"/>
      <c r="E6" s="1536"/>
      <c r="F6" s="1531"/>
      <c r="G6" s="514" t="s">
        <v>0</v>
      </c>
    </row>
    <row r="7" spans="1:7" ht="13.5" customHeight="1">
      <c r="A7" s="1532" t="s">
        <v>701</v>
      </c>
      <c r="B7" s="1540" t="s">
        <v>430</v>
      </c>
      <c r="C7" s="1553">
        <v>60000</v>
      </c>
      <c r="D7" s="1553">
        <v>60000</v>
      </c>
      <c r="E7" s="1536">
        <v>57500</v>
      </c>
      <c r="F7" s="1554">
        <v>-2500</v>
      </c>
      <c r="G7" s="514" t="s">
        <v>0</v>
      </c>
    </row>
    <row r="8" spans="1:7" ht="13.5" customHeight="1">
      <c r="A8" s="1532" t="s">
        <v>701</v>
      </c>
      <c r="B8" s="1558" t="s">
        <v>436</v>
      </c>
      <c r="C8" s="1559">
        <v>41000</v>
      </c>
      <c r="D8" s="1559">
        <v>41000</v>
      </c>
      <c r="E8" s="1556">
        <v>26000</v>
      </c>
      <c r="F8" s="1560">
        <v>-15000</v>
      </c>
      <c r="G8" s="514" t="s">
        <v>0</v>
      </c>
    </row>
    <row r="9" spans="1:7" ht="15.75" customHeight="1">
      <c r="A9" s="1532" t="s">
        <v>701</v>
      </c>
      <c r="B9" s="1558" t="s">
        <v>757</v>
      </c>
      <c r="C9" s="1539" t="s">
        <v>698</v>
      </c>
      <c r="D9" s="1539" t="s">
        <v>698</v>
      </c>
      <c r="E9" s="1556">
        <v>500</v>
      </c>
      <c r="F9" s="1560">
        <v>500</v>
      </c>
      <c r="G9" s="514" t="s">
        <v>0</v>
      </c>
    </row>
    <row r="10" spans="1:7" ht="13.5" customHeight="1">
      <c r="A10" s="1532" t="s">
        <v>701</v>
      </c>
      <c r="B10" s="1558" t="s">
        <v>702</v>
      </c>
      <c r="C10" s="1559"/>
      <c r="D10" s="1559"/>
      <c r="E10" s="1556">
        <v>15000</v>
      </c>
      <c r="F10" s="1560">
        <v>15000</v>
      </c>
      <c r="G10" s="514" t="s">
        <v>0</v>
      </c>
    </row>
    <row r="11" spans="1:7" ht="13.5" customHeight="1">
      <c r="A11" s="1532" t="s">
        <v>703</v>
      </c>
      <c r="B11" s="1562" t="s">
        <v>415</v>
      </c>
      <c r="C11" s="1553">
        <v>70000</v>
      </c>
      <c r="D11" s="1553">
        <v>70000</v>
      </c>
      <c r="E11" s="1536">
        <v>60000</v>
      </c>
      <c r="F11" s="1554">
        <v>-10000</v>
      </c>
      <c r="G11" s="514" t="s">
        <v>0</v>
      </c>
    </row>
    <row r="12" spans="1:7" ht="13.5" customHeight="1">
      <c r="A12" s="1532" t="s">
        <v>703</v>
      </c>
      <c r="B12" s="1558" t="s">
        <v>442</v>
      </c>
      <c r="C12" s="1539" t="s">
        <v>698</v>
      </c>
      <c r="D12" s="1539" t="s">
        <v>698</v>
      </c>
      <c r="E12" s="1556">
        <v>2500</v>
      </c>
      <c r="F12" s="1560">
        <v>2500</v>
      </c>
      <c r="G12" s="514" t="s">
        <v>0</v>
      </c>
    </row>
    <row r="13" spans="1:7" ht="13.5" customHeight="1">
      <c r="A13" s="1532" t="s">
        <v>699</v>
      </c>
      <c r="B13" s="1562" t="s">
        <v>431</v>
      </c>
      <c r="C13" s="1553">
        <v>45000</v>
      </c>
      <c r="D13" s="1553">
        <v>45000</v>
      </c>
      <c r="E13" s="1536">
        <v>0</v>
      </c>
      <c r="F13" s="1554">
        <v>-45000</v>
      </c>
      <c r="G13" s="514" t="s">
        <v>0</v>
      </c>
    </row>
    <row r="14" spans="1:7" ht="13.5" customHeight="1">
      <c r="A14" s="1532" t="s">
        <v>704</v>
      </c>
      <c r="B14" s="1562" t="s">
        <v>418</v>
      </c>
      <c r="C14" s="1553">
        <v>48000</v>
      </c>
      <c r="D14" s="1553">
        <v>48000</v>
      </c>
      <c r="E14" s="1536">
        <v>55000</v>
      </c>
      <c r="F14" s="1554">
        <v>7000</v>
      </c>
      <c r="G14" s="514" t="s">
        <v>0</v>
      </c>
    </row>
    <row r="15" spans="1:7" ht="13.5" customHeight="1">
      <c r="A15" s="1532" t="s">
        <v>704</v>
      </c>
      <c r="B15" s="1558" t="s">
        <v>443</v>
      </c>
      <c r="C15" s="1539" t="s">
        <v>698</v>
      </c>
      <c r="D15" s="1539" t="s">
        <v>698</v>
      </c>
      <c r="E15" s="1556">
        <v>10000</v>
      </c>
      <c r="F15" s="1560">
        <v>10000</v>
      </c>
      <c r="G15" s="514" t="s">
        <v>0</v>
      </c>
    </row>
    <row r="16" spans="1:7" ht="13.5" customHeight="1">
      <c r="A16" s="1532" t="s">
        <v>704</v>
      </c>
      <c r="B16" s="1558" t="s">
        <v>705</v>
      </c>
      <c r="C16" s="1559">
        <v>3000</v>
      </c>
      <c r="D16" s="1559">
        <v>3000</v>
      </c>
      <c r="E16" s="1556">
        <v>0</v>
      </c>
      <c r="F16" s="1560">
        <v>-3000</v>
      </c>
      <c r="G16" s="514" t="s">
        <v>0</v>
      </c>
    </row>
    <row r="17" spans="1:7" ht="15" customHeight="1">
      <c r="A17" s="1532" t="s">
        <v>704</v>
      </c>
      <c r="B17" s="1555" t="s">
        <v>758</v>
      </c>
      <c r="C17" s="1539" t="s">
        <v>698</v>
      </c>
      <c r="D17" s="1539" t="s">
        <v>698</v>
      </c>
      <c r="E17" s="1556">
        <v>3000</v>
      </c>
      <c r="F17" s="1560">
        <v>3000</v>
      </c>
      <c r="G17" s="514" t="s">
        <v>0</v>
      </c>
    </row>
    <row r="18" spans="1:7" ht="13.5" customHeight="1">
      <c r="A18" s="1532" t="s">
        <v>704</v>
      </c>
      <c r="B18" s="1558" t="s">
        <v>444</v>
      </c>
      <c r="C18" s="1539" t="s">
        <v>698</v>
      </c>
      <c r="D18" s="1539" t="s">
        <v>698</v>
      </c>
      <c r="E18" s="1556">
        <v>500</v>
      </c>
      <c r="F18" s="1560">
        <v>500</v>
      </c>
      <c r="G18" s="514" t="s">
        <v>0</v>
      </c>
    </row>
    <row r="19" spans="1:7" ht="13.5" customHeight="1">
      <c r="A19" s="1532" t="s">
        <v>704</v>
      </c>
      <c r="B19" s="1558" t="s">
        <v>470</v>
      </c>
      <c r="C19" s="1539" t="s">
        <v>698</v>
      </c>
      <c r="D19" s="1539" t="s">
        <v>698</v>
      </c>
      <c r="E19" s="1556">
        <v>1000</v>
      </c>
      <c r="F19" s="1560">
        <v>1000</v>
      </c>
      <c r="G19" s="514" t="s">
        <v>0</v>
      </c>
    </row>
    <row r="20" spans="1:7" ht="13.5" customHeight="1">
      <c r="A20" s="1532" t="s">
        <v>704</v>
      </c>
      <c r="B20" s="1558" t="s">
        <v>759</v>
      </c>
      <c r="C20" s="1539" t="s">
        <v>698</v>
      </c>
      <c r="D20" s="1539" t="s">
        <v>698</v>
      </c>
      <c r="E20" s="1556">
        <v>2600</v>
      </c>
      <c r="F20" s="1560">
        <v>2600</v>
      </c>
      <c r="G20" s="514" t="s">
        <v>0</v>
      </c>
    </row>
    <row r="21" spans="1:7" ht="16.5" customHeight="1">
      <c r="A21" s="1532" t="s">
        <v>704</v>
      </c>
      <c r="B21" s="1555" t="s">
        <v>760</v>
      </c>
      <c r="C21" s="1539" t="s">
        <v>698</v>
      </c>
      <c r="D21" s="1539" t="s">
        <v>698</v>
      </c>
      <c r="E21" s="1556">
        <v>10000</v>
      </c>
      <c r="F21" s="1560">
        <v>10000</v>
      </c>
      <c r="G21" s="514" t="s">
        <v>0</v>
      </c>
    </row>
    <row r="22" spans="1:7" ht="16.5" customHeight="1">
      <c r="A22" s="1532" t="s">
        <v>704</v>
      </c>
      <c r="B22" s="1555" t="s">
        <v>761</v>
      </c>
      <c r="C22" s="1539" t="s">
        <v>698</v>
      </c>
      <c r="D22" s="1539" t="s">
        <v>698</v>
      </c>
      <c r="E22" s="1556">
        <v>2000</v>
      </c>
      <c r="F22" s="1560">
        <v>2000</v>
      </c>
      <c r="G22" s="514" t="s">
        <v>0</v>
      </c>
    </row>
    <row r="23" spans="1:7" ht="13.5" customHeight="1">
      <c r="A23" s="1532" t="s">
        <v>704</v>
      </c>
      <c r="B23" s="1558" t="s">
        <v>447</v>
      </c>
      <c r="C23" s="1539" t="s">
        <v>698</v>
      </c>
      <c r="D23" s="1539" t="s">
        <v>698</v>
      </c>
      <c r="E23" s="1556">
        <v>10000</v>
      </c>
      <c r="F23" s="1560">
        <v>10000</v>
      </c>
      <c r="G23" s="514" t="s">
        <v>0</v>
      </c>
    </row>
    <row r="24" spans="1:7" ht="13.5" customHeight="1">
      <c r="A24" s="1532" t="s">
        <v>704</v>
      </c>
      <c r="B24" s="1558" t="s">
        <v>706</v>
      </c>
      <c r="C24" s="1559">
        <v>1000</v>
      </c>
      <c r="D24" s="1559">
        <v>1000</v>
      </c>
      <c r="E24" s="1556">
        <v>0</v>
      </c>
      <c r="F24" s="1560">
        <v>-1000</v>
      </c>
      <c r="G24" s="514" t="s">
        <v>0</v>
      </c>
    </row>
    <row r="25" spans="1:7" ht="14.25" customHeight="1">
      <c r="A25" s="1532" t="s">
        <v>704</v>
      </c>
      <c r="B25" s="1555" t="s">
        <v>762</v>
      </c>
      <c r="C25" s="1539" t="s">
        <v>698</v>
      </c>
      <c r="D25" s="1539" t="s">
        <v>698</v>
      </c>
      <c r="E25" s="1556">
        <v>3500</v>
      </c>
      <c r="F25" s="1560">
        <v>3500</v>
      </c>
      <c r="G25" s="514" t="s">
        <v>0</v>
      </c>
    </row>
    <row r="26" spans="1:7" ht="14.25" customHeight="1">
      <c r="A26" s="1532" t="s">
        <v>704</v>
      </c>
      <c r="B26" s="1555" t="s">
        <v>763</v>
      </c>
      <c r="C26" s="1539" t="s">
        <v>698</v>
      </c>
      <c r="D26" s="1539" t="s">
        <v>698</v>
      </c>
      <c r="E26" s="1556">
        <v>10000</v>
      </c>
      <c r="F26" s="1560">
        <v>10000</v>
      </c>
      <c r="G26" s="514" t="s">
        <v>0</v>
      </c>
    </row>
    <row r="27" spans="1:7" ht="14.25" customHeight="1">
      <c r="A27" s="1532" t="s">
        <v>704</v>
      </c>
      <c r="B27" s="1555" t="s">
        <v>764</v>
      </c>
      <c r="C27" s="1539" t="s">
        <v>698</v>
      </c>
      <c r="D27" s="1539" t="s">
        <v>698</v>
      </c>
      <c r="E27" s="1556">
        <v>3000</v>
      </c>
      <c r="F27" s="1560">
        <v>3000</v>
      </c>
      <c r="G27" s="514" t="s">
        <v>0</v>
      </c>
    </row>
    <row r="28" spans="1:7" ht="14.25" customHeight="1">
      <c r="A28" s="1532" t="s">
        <v>704</v>
      </c>
      <c r="B28" s="1555" t="s">
        <v>765</v>
      </c>
      <c r="C28" s="1539" t="s">
        <v>698</v>
      </c>
      <c r="D28" s="1539" t="s">
        <v>698</v>
      </c>
      <c r="E28" s="1556">
        <v>5000</v>
      </c>
      <c r="F28" s="1560">
        <v>5000</v>
      </c>
      <c r="G28" s="514" t="s">
        <v>0</v>
      </c>
    </row>
    <row r="29" spans="1:7" ht="14.25" customHeight="1">
      <c r="A29" s="1532" t="s">
        <v>704</v>
      </c>
      <c r="B29" s="1555" t="s">
        <v>766</v>
      </c>
      <c r="C29" s="1539" t="s">
        <v>698</v>
      </c>
      <c r="D29" s="1539" t="s">
        <v>698</v>
      </c>
      <c r="E29" s="1556">
        <v>2000</v>
      </c>
      <c r="F29" s="1560">
        <v>2000</v>
      </c>
      <c r="G29" s="514" t="s">
        <v>0</v>
      </c>
    </row>
    <row r="30" spans="1:7" ht="13.5" customHeight="1">
      <c r="A30" s="1532" t="s">
        <v>704</v>
      </c>
      <c r="B30" s="1555" t="s">
        <v>446</v>
      </c>
      <c r="C30" s="1539" t="s">
        <v>698</v>
      </c>
      <c r="D30" s="1539" t="s">
        <v>698</v>
      </c>
      <c r="E30" s="1556">
        <v>3800</v>
      </c>
      <c r="F30" s="1560">
        <v>3800</v>
      </c>
      <c r="G30" s="514" t="s">
        <v>0</v>
      </c>
    </row>
    <row r="31" spans="1:7" ht="13.5" customHeight="1">
      <c r="A31" s="1561" t="s">
        <v>699</v>
      </c>
      <c r="B31" s="1562" t="s">
        <v>707</v>
      </c>
      <c r="C31" s="1539" t="s">
        <v>698</v>
      </c>
      <c r="D31" s="1539" t="s">
        <v>698</v>
      </c>
      <c r="E31" s="1536">
        <v>6000</v>
      </c>
      <c r="F31" s="1554">
        <v>6000</v>
      </c>
      <c r="G31" s="514" t="s">
        <v>0</v>
      </c>
    </row>
    <row r="32" spans="1:7" ht="13.5" customHeight="1">
      <c r="A32" s="1532" t="s">
        <v>699</v>
      </c>
      <c r="B32" s="1562" t="s">
        <v>432</v>
      </c>
      <c r="C32" s="1553">
        <v>12000</v>
      </c>
      <c r="D32" s="1553">
        <v>12000</v>
      </c>
      <c r="E32" s="1536">
        <v>0</v>
      </c>
      <c r="F32" s="1554">
        <v>-12000</v>
      </c>
      <c r="G32" s="514" t="s">
        <v>0</v>
      </c>
    </row>
    <row r="33" spans="1:7" ht="13.5" customHeight="1">
      <c r="A33" s="1532"/>
      <c r="B33" s="1544" t="s">
        <v>708</v>
      </c>
      <c r="C33" s="1535">
        <f>SUM(C7+C11+C13+C14+C32)</f>
        <v>235000</v>
      </c>
      <c r="D33" s="1535">
        <f>SUM(D7+D11+D13+D14+D32)</f>
        <v>235000</v>
      </c>
      <c r="E33" s="1535">
        <f>SUM(E7+E11+E13+E14+E31+E32)</f>
        <v>178500</v>
      </c>
      <c r="F33" s="1563">
        <v>-56500</v>
      </c>
      <c r="G33" s="514" t="s">
        <v>0</v>
      </c>
    </row>
    <row r="34" spans="1:7" ht="13.5" customHeight="1">
      <c r="A34" s="1532"/>
      <c r="B34" s="1564"/>
      <c r="C34" s="1552"/>
      <c r="D34" s="1552"/>
      <c r="E34" s="1530"/>
      <c r="F34" s="1531"/>
      <c r="G34" s="514" t="s">
        <v>0</v>
      </c>
    </row>
    <row r="35" spans="1:7" ht="13.5" customHeight="1">
      <c r="A35" s="1532"/>
      <c r="B35" s="1533" t="s">
        <v>482</v>
      </c>
      <c r="C35" s="1552"/>
      <c r="D35" s="1552"/>
      <c r="E35" s="1530"/>
      <c r="F35" s="1531"/>
      <c r="G35" s="514" t="s">
        <v>0</v>
      </c>
    </row>
    <row r="36" spans="1:7" ht="13.5" customHeight="1">
      <c r="A36" s="1532" t="s">
        <v>699</v>
      </c>
      <c r="B36" s="1562" t="s">
        <v>522</v>
      </c>
      <c r="C36" s="1542" t="s">
        <v>709</v>
      </c>
      <c r="D36" s="1542" t="s">
        <v>709</v>
      </c>
      <c r="E36" s="1536">
        <v>0</v>
      </c>
      <c r="F36" s="1554">
        <v>0</v>
      </c>
      <c r="G36" s="514" t="s">
        <v>0</v>
      </c>
    </row>
    <row r="37" spans="1:7" ht="13.5" customHeight="1">
      <c r="A37" s="1566" t="s">
        <v>699</v>
      </c>
      <c r="B37" s="1562" t="s">
        <v>498</v>
      </c>
      <c r="C37" s="1553">
        <v>40000</v>
      </c>
      <c r="D37" s="1553">
        <v>40000</v>
      </c>
      <c r="E37" s="1536">
        <v>25000</v>
      </c>
      <c r="F37" s="1554">
        <v>-15000</v>
      </c>
      <c r="G37" s="514" t="s">
        <v>0</v>
      </c>
    </row>
    <row r="38" spans="1:7" ht="13.5" customHeight="1">
      <c r="A38" s="1532" t="s">
        <v>710</v>
      </c>
      <c r="B38" s="1562" t="s">
        <v>487</v>
      </c>
      <c r="C38" s="1539" t="s">
        <v>698</v>
      </c>
      <c r="D38" s="1539" t="s">
        <v>698</v>
      </c>
      <c r="E38" s="1536">
        <v>30000</v>
      </c>
      <c r="F38" s="1554">
        <v>30000</v>
      </c>
      <c r="G38" s="514" t="s">
        <v>0</v>
      </c>
    </row>
    <row r="39" spans="1:7" ht="13.5" customHeight="1">
      <c r="A39" s="1532" t="s">
        <v>699</v>
      </c>
      <c r="B39" s="1562" t="s">
        <v>499</v>
      </c>
      <c r="C39" s="1553">
        <v>185268</v>
      </c>
      <c r="D39" s="1553">
        <v>185268</v>
      </c>
      <c r="E39" s="1536">
        <v>0</v>
      </c>
      <c r="F39" s="1554">
        <v>-185268</v>
      </c>
      <c r="G39" s="514" t="s">
        <v>0</v>
      </c>
    </row>
    <row r="40" spans="1:7" ht="13.5" customHeight="1">
      <c r="A40" s="1566" t="s">
        <v>699</v>
      </c>
      <c r="B40" s="1562" t="s">
        <v>524</v>
      </c>
      <c r="C40" s="1553">
        <v>5500</v>
      </c>
      <c r="D40" s="1553">
        <v>5500</v>
      </c>
      <c r="E40" s="1536">
        <v>5500</v>
      </c>
      <c r="F40" s="1554">
        <v>0</v>
      </c>
      <c r="G40" s="514" t="s">
        <v>0</v>
      </c>
    </row>
    <row r="41" spans="1:7" ht="13.5" customHeight="1">
      <c r="A41" s="1566" t="s">
        <v>699</v>
      </c>
      <c r="B41" s="1558" t="s">
        <v>525</v>
      </c>
      <c r="C41" s="1559">
        <v>3000</v>
      </c>
      <c r="D41" s="1559">
        <v>3000</v>
      </c>
      <c r="E41" s="1556">
        <v>0</v>
      </c>
      <c r="F41" s="1560">
        <v>-3000</v>
      </c>
      <c r="G41" s="514" t="s">
        <v>0</v>
      </c>
    </row>
    <row r="42" spans="1:7" ht="15.75" customHeight="1">
      <c r="A42" s="1532" t="s">
        <v>703</v>
      </c>
      <c r="B42" s="1562" t="s">
        <v>767</v>
      </c>
      <c r="C42" s="1565">
        <v>2500</v>
      </c>
      <c r="D42" s="1565">
        <v>2500</v>
      </c>
      <c r="E42" s="1536">
        <v>0</v>
      </c>
      <c r="F42" s="1554">
        <v>-2500</v>
      </c>
      <c r="G42" s="514" t="s">
        <v>0</v>
      </c>
    </row>
    <row r="43" spans="1:7" ht="13.5" customHeight="1">
      <c r="A43" s="1532" t="s">
        <v>711</v>
      </c>
      <c r="B43" s="1567" t="s">
        <v>527</v>
      </c>
      <c r="C43" s="1565"/>
      <c r="D43" s="1565"/>
      <c r="E43" s="1536"/>
      <c r="F43" s="1554"/>
      <c r="G43" s="514" t="s">
        <v>0</v>
      </c>
    </row>
    <row r="44" spans="1:7" ht="13.5" customHeight="1">
      <c r="A44" s="1561" t="s">
        <v>712</v>
      </c>
      <c r="B44" s="1558" t="s">
        <v>528</v>
      </c>
      <c r="C44" s="1542" t="s">
        <v>709</v>
      </c>
      <c r="D44" s="1542" t="s">
        <v>709</v>
      </c>
      <c r="E44" s="1536">
        <v>1000</v>
      </c>
      <c r="F44" s="1554">
        <f>E44</f>
        <v>1000</v>
      </c>
      <c r="G44" s="514" t="s">
        <v>0</v>
      </c>
    </row>
    <row r="45" spans="1:7" ht="13.5" customHeight="1">
      <c r="A45" s="1561" t="s">
        <v>712</v>
      </c>
      <c r="B45" s="1558" t="s">
        <v>529</v>
      </c>
      <c r="C45" s="1542" t="s">
        <v>709</v>
      </c>
      <c r="D45" s="1542" t="s">
        <v>709</v>
      </c>
      <c r="E45" s="1536">
        <v>0</v>
      </c>
      <c r="F45" s="1554">
        <v>0</v>
      </c>
      <c r="G45" s="514" t="s">
        <v>0</v>
      </c>
    </row>
    <row r="46" spans="1:7" ht="13.5" customHeight="1">
      <c r="A46" s="1532" t="s">
        <v>703</v>
      </c>
      <c r="B46" s="1562" t="s">
        <v>768</v>
      </c>
      <c r="C46" s="1539" t="s">
        <v>698</v>
      </c>
      <c r="D46" s="1539" t="s">
        <v>698</v>
      </c>
      <c r="E46" s="1536">
        <v>25000</v>
      </c>
      <c r="F46" s="1554">
        <v>25000</v>
      </c>
      <c r="G46" s="514" t="s">
        <v>0</v>
      </c>
    </row>
    <row r="47" spans="1:7" ht="13.5" customHeight="1">
      <c r="A47" s="1561" t="s">
        <v>699</v>
      </c>
      <c r="B47" s="1567" t="s">
        <v>489</v>
      </c>
      <c r="C47" s="1539" t="s">
        <v>698</v>
      </c>
      <c r="D47" s="1539" t="s">
        <v>698</v>
      </c>
      <c r="E47" s="1536">
        <v>2500</v>
      </c>
      <c r="F47" s="1554">
        <v>2500</v>
      </c>
      <c r="G47" s="514" t="s">
        <v>0</v>
      </c>
    </row>
    <row r="48" spans="1:7" ht="15" customHeight="1">
      <c r="A48" s="1532" t="s">
        <v>703</v>
      </c>
      <c r="B48" s="1562" t="s">
        <v>769</v>
      </c>
      <c r="C48" s="1565">
        <v>15000</v>
      </c>
      <c r="D48" s="1565">
        <v>15000</v>
      </c>
      <c r="E48" s="1536">
        <v>0</v>
      </c>
      <c r="F48" s="1554">
        <v>-15000</v>
      </c>
      <c r="G48" s="514" t="s">
        <v>0</v>
      </c>
    </row>
    <row r="49" spans="1:7" ht="13.5" customHeight="1">
      <c r="A49" s="1532" t="s">
        <v>704</v>
      </c>
      <c r="B49" s="1562" t="s">
        <v>490</v>
      </c>
      <c r="C49" s="1542" t="s">
        <v>709</v>
      </c>
      <c r="D49" s="1542" t="s">
        <v>709</v>
      </c>
      <c r="E49" s="1536">
        <v>110000</v>
      </c>
      <c r="F49" s="1554">
        <v>110000</v>
      </c>
      <c r="G49" s="514" t="s">
        <v>0</v>
      </c>
    </row>
    <row r="50" spans="1:7" ht="13.5" customHeight="1">
      <c r="A50" s="1532" t="s">
        <v>704</v>
      </c>
      <c r="B50" s="1558" t="s">
        <v>531</v>
      </c>
      <c r="C50" s="1568"/>
      <c r="D50" s="1568"/>
      <c r="E50" s="1556"/>
      <c r="F50" s="1560">
        <v>0</v>
      </c>
      <c r="G50" s="514" t="s">
        <v>0</v>
      </c>
    </row>
    <row r="51" spans="1:7" ht="13.5" customHeight="1">
      <c r="A51" s="1532"/>
      <c r="B51" s="1558" t="s">
        <v>532</v>
      </c>
      <c r="C51" s="1539" t="s">
        <v>698</v>
      </c>
      <c r="D51" s="1539" t="s">
        <v>698</v>
      </c>
      <c r="E51" s="1556">
        <v>7500</v>
      </c>
      <c r="F51" s="1560">
        <v>7500</v>
      </c>
      <c r="G51" s="514" t="s">
        <v>0</v>
      </c>
    </row>
    <row r="52" spans="1:7" ht="13.5" customHeight="1">
      <c r="A52" s="1532" t="s">
        <v>704</v>
      </c>
      <c r="B52" s="1558" t="s">
        <v>535</v>
      </c>
      <c r="C52" s="1539" t="s">
        <v>698</v>
      </c>
      <c r="D52" s="1539" t="s">
        <v>698</v>
      </c>
      <c r="E52" s="1556">
        <v>7500</v>
      </c>
      <c r="F52" s="1560">
        <v>7500</v>
      </c>
      <c r="G52" s="514" t="s">
        <v>0</v>
      </c>
    </row>
    <row r="53" spans="1:7" ht="13.5" customHeight="1">
      <c r="A53" s="1532" t="s">
        <v>699</v>
      </c>
      <c r="B53" s="1562" t="s">
        <v>713</v>
      </c>
      <c r="C53" s="1553">
        <v>45000</v>
      </c>
      <c r="D53" s="1553">
        <v>45000</v>
      </c>
      <c r="E53" s="1536">
        <v>0</v>
      </c>
      <c r="F53" s="1554">
        <v>-45000</v>
      </c>
      <c r="G53" s="514" t="s">
        <v>0</v>
      </c>
    </row>
    <row r="54" spans="1:7" ht="13.5" customHeight="1">
      <c r="A54" s="1566" t="s">
        <v>714</v>
      </c>
      <c r="B54" s="1540" t="s">
        <v>537</v>
      </c>
      <c r="C54" s="1553">
        <v>20000</v>
      </c>
      <c r="D54" s="1553">
        <v>20000</v>
      </c>
      <c r="E54" s="1536">
        <v>0</v>
      </c>
      <c r="F54" s="1554">
        <v>-20000</v>
      </c>
      <c r="G54" s="514" t="s">
        <v>0</v>
      </c>
    </row>
    <row r="55" spans="1:7" ht="13.5" customHeight="1">
      <c r="A55" s="1532" t="s">
        <v>699</v>
      </c>
      <c r="B55" s="1562" t="s">
        <v>491</v>
      </c>
      <c r="C55" s="1539" t="s">
        <v>698</v>
      </c>
      <c r="D55" s="1539" t="s">
        <v>698</v>
      </c>
      <c r="E55" s="1536">
        <v>8000</v>
      </c>
      <c r="F55" s="1554">
        <v>8000</v>
      </c>
      <c r="G55" s="514" t="s">
        <v>0</v>
      </c>
    </row>
    <row r="56" spans="1:7" ht="13.5" customHeight="1">
      <c r="A56" s="1532" t="s">
        <v>699</v>
      </c>
      <c r="B56" s="1562" t="s">
        <v>770</v>
      </c>
      <c r="C56" s="1565">
        <v>1000</v>
      </c>
      <c r="D56" s="1565">
        <v>1000</v>
      </c>
      <c r="E56" s="1536">
        <v>0</v>
      </c>
      <c r="F56" s="1554">
        <v>-1000</v>
      </c>
      <c r="G56" s="514" t="s">
        <v>0</v>
      </c>
    </row>
    <row r="57" spans="1:7" ht="13.5" customHeight="1">
      <c r="A57" s="1532" t="s">
        <v>712</v>
      </c>
      <c r="B57" s="1562" t="s">
        <v>539</v>
      </c>
      <c r="C57" s="1539" t="s">
        <v>698</v>
      </c>
      <c r="D57" s="1539" t="s">
        <v>698</v>
      </c>
      <c r="E57" s="1536">
        <v>30000</v>
      </c>
      <c r="F57" s="1554">
        <v>30000</v>
      </c>
      <c r="G57" s="514" t="s">
        <v>0</v>
      </c>
    </row>
    <row r="58" spans="1:7" ht="13.5" customHeight="1">
      <c r="A58" s="1532" t="s">
        <v>699</v>
      </c>
      <c r="B58" s="1562" t="s">
        <v>771</v>
      </c>
      <c r="C58" s="1553">
        <v>50000</v>
      </c>
      <c r="D58" s="1553">
        <v>50000</v>
      </c>
      <c r="E58" s="1536">
        <v>0</v>
      </c>
      <c r="F58" s="1554">
        <v>-50000</v>
      </c>
      <c r="G58" s="514" t="s">
        <v>0</v>
      </c>
    </row>
    <row r="59" spans="1:7" ht="13.5" customHeight="1">
      <c r="A59" s="1532" t="s">
        <v>699</v>
      </c>
      <c r="B59" s="1558" t="s">
        <v>541</v>
      </c>
      <c r="C59" s="1559">
        <v>12000</v>
      </c>
      <c r="D59" s="1559">
        <v>12000</v>
      </c>
      <c r="E59" s="1556">
        <v>0</v>
      </c>
      <c r="F59" s="1560">
        <v>-12000</v>
      </c>
      <c r="G59" s="514" t="s">
        <v>0</v>
      </c>
    </row>
    <row r="60" spans="1:7" ht="13.5" customHeight="1">
      <c r="A60" s="1532" t="s">
        <v>699</v>
      </c>
      <c r="B60" s="1558" t="s">
        <v>543</v>
      </c>
      <c r="C60" s="1559">
        <v>10000</v>
      </c>
      <c r="D60" s="1559">
        <v>10000</v>
      </c>
      <c r="E60" s="1556">
        <v>0</v>
      </c>
      <c r="F60" s="1560">
        <v>-10000</v>
      </c>
      <c r="G60" s="514" t="s">
        <v>0</v>
      </c>
    </row>
    <row r="61" spans="1:7" ht="13.5" customHeight="1">
      <c r="A61" s="1532" t="s">
        <v>699</v>
      </c>
      <c r="B61" s="1558" t="s">
        <v>545</v>
      </c>
      <c r="C61" s="1559">
        <v>3000</v>
      </c>
      <c r="D61" s="1559">
        <v>3000</v>
      </c>
      <c r="E61" s="1556">
        <v>0</v>
      </c>
      <c r="F61" s="1560">
        <v>-3000</v>
      </c>
      <c r="G61" s="514" t="s">
        <v>0</v>
      </c>
    </row>
    <row r="62" spans="1:7" ht="13.5" customHeight="1">
      <c r="A62" s="1532" t="s">
        <v>699</v>
      </c>
      <c r="B62" s="1558" t="s">
        <v>548</v>
      </c>
      <c r="C62" s="1559">
        <v>25000</v>
      </c>
      <c r="D62" s="1559">
        <v>25000</v>
      </c>
      <c r="E62" s="1556">
        <v>0</v>
      </c>
      <c r="F62" s="1560">
        <v>-25000</v>
      </c>
      <c r="G62" s="514" t="s">
        <v>0</v>
      </c>
    </row>
    <row r="63" spans="1:7" ht="13.5" customHeight="1">
      <c r="A63" s="1532" t="s">
        <v>699</v>
      </c>
      <c r="B63" s="1540" t="s">
        <v>506</v>
      </c>
      <c r="C63" s="1553">
        <v>10000</v>
      </c>
      <c r="D63" s="1553">
        <v>10000</v>
      </c>
      <c r="E63" s="1536">
        <v>0</v>
      </c>
      <c r="F63" s="1554">
        <v>-10000</v>
      </c>
      <c r="G63" s="514" t="s">
        <v>0</v>
      </c>
    </row>
    <row r="64" spans="1:7" ht="13.5" customHeight="1">
      <c r="A64" s="1532" t="s">
        <v>699</v>
      </c>
      <c r="B64" s="1562" t="s">
        <v>551</v>
      </c>
      <c r="C64" s="1553">
        <v>519000</v>
      </c>
      <c r="D64" s="1553">
        <v>519000</v>
      </c>
      <c r="E64" s="1536">
        <v>519000</v>
      </c>
      <c r="F64" s="1554">
        <v>0</v>
      </c>
      <c r="G64" s="514" t="s">
        <v>0</v>
      </c>
    </row>
    <row r="65" spans="1:7" ht="13.5" customHeight="1">
      <c r="A65" s="1538"/>
      <c r="B65" s="1558" t="s">
        <v>522</v>
      </c>
      <c r="C65" s="1569"/>
      <c r="D65" s="1569"/>
      <c r="E65" s="1570">
        <v>30000</v>
      </c>
      <c r="F65" s="1560">
        <v>30000</v>
      </c>
      <c r="G65" s="514" t="s">
        <v>0</v>
      </c>
    </row>
    <row r="66" spans="1:7" ht="13.5" customHeight="1">
      <c r="A66" s="1532" t="s">
        <v>704</v>
      </c>
      <c r="B66" s="1558" t="s">
        <v>553</v>
      </c>
      <c r="C66" s="1559">
        <v>5000</v>
      </c>
      <c r="D66" s="1559">
        <v>5000</v>
      </c>
      <c r="E66" s="1556">
        <v>0</v>
      </c>
      <c r="F66" s="1560">
        <v>-5000</v>
      </c>
      <c r="G66" s="514" t="s">
        <v>0</v>
      </c>
    </row>
    <row r="67" spans="1:7" ht="13.5" customHeight="1">
      <c r="A67" s="1532" t="s">
        <v>699</v>
      </c>
      <c r="B67" s="1558" t="s">
        <v>556</v>
      </c>
      <c r="C67" s="1559">
        <v>3000</v>
      </c>
      <c r="D67" s="1559">
        <v>3000</v>
      </c>
      <c r="E67" s="1556">
        <v>2000</v>
      </c>
      <c r="F67" s="1560">
        <v>-1000</v>
      </c>
      <c r="G67" s="514" t="s">
        <v>0</v>
      </c>
    </row>
    <row r="68" spans="1:7" ht="13.5" customHeight="1">
      <c r="A68" s="1532" t="s">
        <v>699</v>
      </c>
      <c r="B68" s="1562" t="s">
        <v>559</v>
      </c>
      <c r="C68" s="1539" t="s">
        <v>698</v>
      </c>
      <c r="D68" s="1539" t="s">
        <v>698</v>
      </c>
      <c r="E68" s="1536">
        <v>12000</v>
      </c>
      <c r="F68" s="1554">
        <v>12000</v>
      </c>
      <c r="G68" s="514" t="s">
        <v>0</v>
      </c>
    </row>
    <row r="69" spans="1:7" ht="13.5" customHeight="1">
      <c r="A69" s="1532" t="s">
        <v>699</v>
      </c>
      <c r="B69" s="1562" t="s">
        <v>715</v>
      </c>
      <c r="C69" s="1553">
        <v>12000</v>
      </c>
      <c r="D69" s="1553">
        <v>12000</v>
      </c>
      <c r="E69" s="1536">
        <v>0</v>
      </c>
      <c r="F69" s="1554">
        <v>-12000</v>
      </c>
      <c r="G69" s="514" t="s">
        <v>0</v>
      </c>
    </row>
    <row r="70" spans="1:7" ht="13.5" customHeight="1">
      <c r="A70" s="1532" t="s">
        <v>699</v>
      </c>
      <c r="B70" s="1562" t="s">
        <v>561</v>
      </c>
      <c r="C70" s="1553">
        <v>2000</v>
      </c>
      <c r="D70" s="1553">
        <v>2000</v>
      </c>
      <c r="E70" s="1536">
        <v>0</v>
      </c>
      <c r="F70" s="1554">
        <v>-2000</v>
      </c>
      <c r="G70" s="514" t="s">
        <v>0</v>
      </c>
    </row>
    <row r="71" spans="1:7" ht="13.5" customHeight="1">
      <c r="A71" s="1532" t="s">
        <v>701</v>
      </c>
      <c r="B71" s="1562" t="s">
        <v>772</v>
      </c>
      <c r="C71" s="1565">
        <v>11500</v>
      </c>
      <c r="D71" s="1565">
        <v>11500</v>
      </c>
      <c r="E71" s="1536">
        <v>12000</v>
      </c>
      <c r="F71" s="1554">
        <v>500</v>
      </c>
      <c r="G71" s="514" t="s">
        <v>0</v>
      </c>
    </row>
    <row r="72" spans="1:7" ht="13.5" customHeight="1">
      <c r="A72" s="1561" t="s">
        <v>701</v>
      </c>
      <c r="B72" s="1571" t="s">
        <v>773</v>
      </c>
      <c r="C72" s="1572">
        <v>20000</v>
      </c>
      <c r="D72" s="1572">
        <v>20000</v>
      </c>
      <c r="E72" s="1536">
        <v>12000</v>
      </c>
      <c r="F72" s="1554">
        <v>-8000</v>
      </c>
      <c r="G72" s="514" t="s">
        <v>0</v>
      </c>
    </row>
    <row r="73" spans="1:7" ht="13.5" customHeight="1">
      <c r="A73" s="1566" t="s">
        <v>699</v>
      </c>
      <c r="B73" s="1562" t="s">
        <v>564</v>
      </c>
      <c r="C73" s="1553">
        <v>3000</v>
      </c>
      <c r="D73" s="1553">
        <v>3000</v>
      </c>
      <c r="E73" s="1536">
        <v>0</v>
      </c>
      <c r="F73" s="1554">
        <v>-3000</v>
      </c>
      <c r="G73" s="514" t="s">
        <v>0</v>
      </c>
    </row>
    <row r="74" spans="1:7" ht="13.5" customHeight="1">
      <c r="A74" s="1532" t="s">
        <v>704</v>
      </c>
      <c r="B74" s="1562" t="s">
        <v>565</v>
      </c>
      <c r="C74" s="1565">
        <v>35000</v>
      </c>
      <c r="D74" s="1565">
        <v>35000</v>
      </c>
      <c r="E74" s="1536">
        <v>0</v>
      </c>
      <c r="F74" s="1554">
        <v>-35000</v>
      </c>
      <c r="G74" s="514" t="s">
        <v>0</v>
      </c>
    </row>
    <row r="75" spans="1:7" ht="13.5" customHeight="1">
      <c r="A75" s="1532" t="s">
        <v>699</v>
      </c>
      <c r="B75" s="1562" t="s">
        <v>512</v>
      </c>
      <c r="C75" s="1553">
        <v>7000</v>
      </c>
      <c r="D75" s="1553">
        <v>7000</v>
      </c>
      <c r="E75" s="1536">
        <v>0</v>
      </c>
      <c r="F75" s="1554">
        <v>-7000</v>
      </c>
      <c r="G75" s="514" t="s">
        <v>0</v>
      </c>
    </row>
    <row r="76" spans="1:7" ht="13.5" customHeight="1">
      <c r="A76" s="1561" t="s">
        <v>699</v>
      </c>
      <c r="B76" s="1567" t="s">
        <v>566</v>
      </c>
      <c r="C76" s="1539" t="s">
        <v>698</v>
      </c>
      <c r="D76" s="1539" t="s">
        <v>698</v>
      </c>
      <c r="E76" s="1536">
        <v>3500</v>
      </c>
      <c r="F76" s="1554">
        <v>3500</v>
      </c>
      <c r="G76" s="514" t="s">
        <v>0</v>
      </c>
    </row>
    <row r="77" spans="1:7" ht="13.5" customHeight="1">
      <c r="A77" s="1566" t="s">
        <v>699</v>
      </c>
      <c r="B77" s="1562" t="s">
        <v>513</v>
      </c>
      <c r="C77" s="1553">
        <v>15000</v>
      </c>
      <c r="D77" s="1553">
        <v>15000</v>
      </c>
      <c r="E77" s="1536">
        <v>5000</v>
      </c>
      <c r="F77" s="1554">
        <v>-10000</v>
      </c>
      <c r="G77" s="514" t="s">
        <v>0</v>
      </c>
    </row>
    <row r="78" spans="1:7" ht="13.5" customHeight="1">
      <c r="A78" s="1566" t="s">
        <v>699</v>
      </c>
      <c r="B78" s="1540" t="s">
        <v>567</v>
      </c>
      <c r="C78" s="1539" t="s">
        <v>698</v>
      </c>
      <c r="D78" s="1539" t="s">
        <v>698</v>
      </c>
      <c r="E78" s="1536">
        <v>57000</v>
      </c>
      <c r="F78" s="1554">
        <v>57000</v>
      </c>
      <c r="G78" s="514" t="s">
        <v>0</v>
      </c>
    </row>
    <row r="79" spans="1:7" ht="13.5" customHeight="1">
      <c r="A79" s="1532" t="s">
        <v>704</v>
      </c>
      <c r="B79" s="1562" t="s">
        <v>774</v>
      </c>
      <c r="C79" s="1565">
        <v>1000</v>
      </c>
      <c r="D79" s="1565">
        <v>1000</v>
      </c>
      <c r="E79" s="1536">
        <v>0</v>
      </c>
      <c r="F79" s="1554">
        <f>E79-D79</f>
        <v>-1000</v>
      </c>
      <c r="G79" s="514" t="s">
        <v>0</v>
      </c>
    </row>
    <row r="80" spans="1:7" ht="13.5" customHeight="1">
      <c r="A80" s="1532" t="s">
        <v>699</v>
      </c>
      <c r="B80" s="1562" t="s">
        <v>568</v>
      </c>
      <c r="C80" s="1553">
        <v>30000</v>
      </c>
      <c r="D80" s="1553">
        <v>30000</v>
      </c>
      <c r="E80" s="1536">
        <v>30000</v>
      </c>
      <c r="F80" s="1554">
        <v>0</v>
      </c>
      <c r="G80" s="514" t="s">
        <v>0</v>
      </c>
    </row>
    <row r="81" spans="1:7" ht="13.5" customHeight="1">
      <c r="A81" s="1561" t="s">
        <v>716</v>
      </c>
      <c r="B81" s="1540" t="s">
        <v>775</v>
      </c>
      <c r="C81" s="1565">
        <v>100000</v>
      </c>
      <c r="D81" s="1565">
        <v>100000</v>
      </c>
      <c r="E81" s="1536">
        <v>100000</v>
      </c>
      <c r="F81" s="1554">
        <v>0</v>
      </c>
      <c r="G81" s="514" t="s">
        <v>0</v>
      </c>
    </row>
    <row r="82" spans="1:7" ht="13.5" customHeight="1">
      <c r="A82" s="1561"/>
      <c r="B82" s="1558" t="s">
        <v>571</v>
      </c>
      <c r="C82" s="1539">
        <v>37000</v>
      </c>
      <c r="D82" s="1539">
        <v>37000</v>
      </c>
      <c r="E82" s="1556">
        <v>0</v>
      </c>
      <c r="F82" s="1560">
        <v>-37000</v>
      </c>
      <c r="G82" s="514" t="s">
        <v>0</v>
      </c>
    </row>
    <row r="83" spans="1:7" ht="13.5" customHeight="1">
      <c r="A83" s="1561"/>
      <c r="B83" s="1558" t="s">
        <v>574</v>
      </c>
      <c r="C83" s="1539">
        <v>2500</v>
      </c>
      <c r="D83" s="1539">
        <v>2500</v>
      </c>
      <c r="E83" s="1556">
        <v>0</v>
      </c>
      <c r="F83" s="1560">
        <v>-2500</v>
      </c>
      <c r="G83" s="514" t="s">
        <v>0</v>
      </c>
    </row>
    <row r="84" spans="1:7" ht="13.5" customHeight="1">
      <c r="A84" s="1561"/>
      <c r="B84" s="1558" t="s">
        <v>576</v>
      </c>
      <c r="C84" s="1539">
        <v>7500</v>
      </c>
      <c r="D84" s="1539">
        <v>7500</v>
      </c>
      <c r="E84" s="1556">
        <v>0</v>
      </c>
      <c r="F84" s="1560">
        <v>-7500</v>
      </c>
      <c r="G84" s="514" t="s">
        <v>0</v>
      </c>
    </row>
    <row r="85" spans="1:7" ht="13.5" customHeight="1">
      <c r="A85" s="1561"/>
      <c r="B85" s="1558" t="s">
        <v>578</v>
      </c>
      <c r="C85" s="1539">
        <v>15000</v>
      </c>
      <c r="D85" s="1539">
        <v>15000</v>
      </c>
      <c r="E85" s="1556">
        <v>0</v>
      </c>
      <c r="F85" s="1560">
        <v>-15000</v>
      </c>
      <c r="G85" s="514" t="s">
        <v>0</v>
      </c>
    </row>
    <row r="86" spans="1:7" ht="13.5" customHeight="1">
      <c r="A86" s="1561"/>
      <c r="B86" s="1558" t="s">
        <v>580</v>
      </c>
      <c r="C86" s="1568">
        <v>13000</v>
      </c>
      <c r="D86" s="1568">
        <v>13000</v>
      </c>
      <c r="E86" s="1556">
        <v>0</v>
      </c>
      <c r="F86" s="1560">
        <v>-13000</v>
      </c>
      <c r="G86" s="514" t="s">
        <v>0</v>
      </c>
    </row>
    <row r="87" spans="1:7" ht="13.5" customHeight="1">
      <c r="A87" s="1561"/>
      <c r="B87" s="1558" t="s">
        <v>583</v>
      </c>
      <c r="C87" s="1568">
        <v>10000</v>
      </c>
      <c r="D87" s="1568">
        <v>10000</v>
      </c>
      <c r="E87" s="1556">
        <v>0</v>
      </c>
      <c r="F87" s="1560">
        <v>-10000</v>
      </c>
      <c r="G87" s="514" t="s">
        <v>0</v>
      </c>
    </row>
    <row r="88" spans="1:7" ht="13.5" customHeight="1">
      <c r="A88" s="1561"/>
      <c r="B88" s="1558" t="s">
        <v>584</v>
      </c>
      <c r="C88" s="1539" t="s">
        <v>698</v>
      </c>
      <c r="D88" s="1539" t="s">
        <v>698</v>
      </c>
      <c r="E88" s="1556">
        <v>10000</v>
      </c>
      <c r="F88" s="1560">
        <v>10000</v>
      </c>
      <c r="G88" s="514" t="s">
        <v>0</v>
      </c>
    </row>
    <row r="89" spans="1:7" ht="13.5" customHeight="1">
      <c r="A89" s="1561"/>
      <c r="B89" s="1558" t="s">
        <v>585</v>
      </c>
      <c r="C89" s="1539" t="s">
        <v>698</v>
      </c>
      <c r="D89" s="1539" t="s">
        <v>698</v>
      </c>
      <c r="E89" s="1556">
        <v>1700</v>
      </c>
      <c r="F89" s="1560">
        <v>1700</v>
      </c>
      <c r="G89" s="514" t="s">
        <v>0</v>
      </c>
    </row>
    <row r="90" spans="1:7" ht="13.5" customHeight="1">
      <c r="A90" s="1561"/>
      <c r="B90" s="1558" t="s">
        <v>587</v>
      </c>
      <c r="C90" s="1539" t="s">
        <v>698</v>
      </c>
      <c r="D90" s="1539" t="s">
        <v>698</v>
      </c>
      <c r="E90" s="1556">
        <v>9000</v>
      </c>
      <c r="F90" s="1560">
        <v>9000</v>
      </c>
      <c r="G90" s="514" t="s">
        <v>0</v>
      </c>
    </row>
    <row r="91" spans="1:7" ht="13.5" customHeight="1">
      <c r="A91" s="1561"/>
      <c r="B91" s="1558" t="s">
        <v>589</v>
      </c>
      <c r="C91" s="1539">
        <v>10000</v>
      </c>
      <c r="D91" s="1539">
        <v>10000</v>
      </c>
      <c r="E91" s="1556"/>
      <c r="F91" s="1560">
        <v>-10000</v>
      </c>
      <c r="G91" s="514" t="s">
        <v>0</v>
      </c>
    </row>
    <row r="92" spans="1:7" ht="13.5" customHeight="1">
      <c r="A92" s="1561"/>
      <c r="B92" s="1558" t="s">
        <v>590</v>
      </c>
      <c r="C92" s="1539"/>
      <c r="D92" s="1539"/>
      <c r="E92" s="1556">
        <v>7000</v>
      </c>
      <c r="F92" s="1560">
        <v>7000</v>
      </c>
      <c r="G92" s="514" t="s">
        <v>0</v>
      </c>
    </row>
    <row r="93" spans="1:7" ht="13.5" customHeight="1">
      <c r="A93" s="1561"/>
      <c r="B93" s="1558" t="s">
        <v>592</v>
      </c>
      <c r="C93" s="1539">
        <v>5000</v>
      </c>
      <c r="D93" s="1539">
        <v>5000</v>
      </c>
      <c r="E93" s="1556">
        <v>0</v>
      </c>
      <c r="F93" s="1560">
        <v>-5000</v>
      </c>
      <c r="G93" s="514" t="s">
        <v>0</v>
      </c>
    </row>
    <row r="94" spans="1:7" ht="13.5" customHeight="1">
      <c r="A94" s="1561" t="s">
        <v>699</v>
      </c>
      <c r="B94" s="1540" t="s">
        <v>431</v>
      </c>
      <c r="C94" s="1565">
        <v>0</v>
      </c>
      <c r="D94" s="1565">
        <v>0</v>
      </c>
      <c r="E94" s="1536">
        <v>17500</v>
      </c>
      <c r="F94" s="1554">
        <v>17500</v>
      </c>
      <c r="G94" s="514" t="s">
        <v>0</v>
      </c>
    </row>
    <row r="95" spans="1:7" ht="13.5" customHeight="1">
      <c r="A95" s="1532" t="s">
        <v>699</v>
      </c>
      <c r="B95" s="1562" t="s">
        <v>497</v>
      </c>
      <c r="C95" s="1539" t="s">
        <v>698</v>
      </c>
      <c r="D95" s="1539" t="s">
        <v>698</v>
      </c>
      <c r="E95" s="1536">
        <v>10000</v>
      </c>
      <c r="F95" s="1554">
        <v>10000</v>
      </c>
      <c r="G95" s="514" t="s">
        <v>0</v>
      </c>
    </row>
    <row r="96" spans="1:7" ht="13.5" customHeight="1">
      <c r="A96" s="1532" t="s">
        <v>699</v>
      </c>
      <c r="B96" s="1562" t="s">
        <v>593</v>
      </c>
      <c r="C96" s="1553">
        <v>31000</v>
      </c>
      <c r="D96" s="1553">
        <v>31000</v>
      </c>
      <c r="E96" s="1536">
        <v>0</v>
      </c>
      <c r="F96" s="1554">
        <v>-31000</v>
      </c>
      <c r="G96" s="514" t="s">
        <v>0</v>
      </c>
    </row>
    <row r="97" spans="1:7" ht="13.5" customHeight="1">
      <c r="A97" s="1532" t="s">
        <v>699</v>
      </c>
      <c r="B97" s="1540" t="s">
        <v>776</v>
      </c>
      <c r="C97" s="1565">
        <v>15000</v>
      </c>
      <c r="D97" s="1565">
        <v>15000</v>
      </c>
      <c r="E97" s="1536">
        <v>12500</v>
      </c>
      <c r="F97" s="1554">
        <v>-2500</v>
      </c>
      <c r="G97" s="514" t="s">
        <v>0</v>
      </c>
    </row>
    <row r="98" spans="1:7" ht="13.5" customHeight="1">
      <c r="A98" s="1532" t="s">
        <v>699</v>
      </c>
      <c r="B98" s="1558" t="s">
        <v>595</v>
      </c>
      <c r="C98" s="1539" t="s">
        <v>698</v>
      </c>
      <c r="D98" s="1539" t="s">
        <v>698</v>
      </c>
      <c r="E98" s="1556">
        <v>5000</v>
      </c>
      <c r="F98" s="1560">
        <v>5000</v>
      </c>
      <c r="G98" s="514" t="s">
        <v>0</v>
      </c>
    </row>
    <row r="99" spans="1:7" ht="13.5" customHeight="1">
      <c r="A99" s="1532" t="s">
        <v>699</v>
      </c>
      <c r="B99" s="1562" t="s">
        <v>517</v>
      </c>
      <c r="C99" s="1553">
        <v>330000</v>
      </c>
      <c r="D99" s="1553">
        <v>330000</v>
      </c>
      <c r="E99" s="1536">
        <v>136000</v>
      </c>
      <c r="F99" s="1554">
        <v>-194000</v>
      </c>
      <c r="G99" s="514" t="s">
        <v>0</v>
      </c>
    </row>
    <row r="100" spans="1:7" ht="13.5" customHeight="1">
      <c r="A100" s="1532" t="s">
        <v>699</v>
      </c>
      <c r="B100" s="1540" t="s">
        <v>518</v>
      </c>
      <c r="C100" s="1553">
        <v>10000</v>
      </c>
      <c r="D100" s="1553">
        <v>10000</v>
      </c>
      <c r="E100" s="1536">
        <v>0</v>
      </c>
      <c r="F100" s="1554">
        <v>-10000</v>
      </c>
      <c r="G100" s="514" t="s">
        <v>0</v>
      </c>
    </row>
    <row r="101" spans="1:7" ht="13.5" customHeight="1">
      <c r="A101" s="1532" t="s">
        <v>712</v>
      </c>
      <c r="B101" s="1562" t="s">
        <v>777</v>
      </c>
      <c r="C101" s="1565">
        <v>3500</v>
      </c>
      <c r="D101" s="1565">
        <v>3500</v>
      </c>
      <c r="E101" s="1536">
        <v>0</v>
      </c>
      <c r="F101" s="1554">
        <v>-3500</v>
      </c>
      <c r="G101" s="514" t="s">
        <v>0</v>
      </c>
    </row>
    <row r="102" spans="1:7" ht="13.5" customHeight="1">
      <c r="A102" s="1532" t="s">
        <v>701</v>
      </c>
      <c r="B102" s="1562" t="s">
        <v>778</v>
      </c>
      <c r="C102" s="1565">
        <v>3000</v>
      </c>
      <c r="D102" s="1565">
        <v>3000</v>
      </c>
      <c r="E102" s="1536">
        <v>0</v>
      </c>
      <c r="F102" s="1554">
        <v>-3000</v>
      </c>
      <c r="G102" s="514" t="s">
        <v>0</v>
      </c>
    </row>
    <row r="103" spans="1:7" ht="13.5" customHeight="1">
      <c r="A103" s="1566" t="s">
        <v>717</v>
      </c>
      <c r="B103" s="1562" t="s">
        <v>521</v>
      </c>
      <c r="C103" s="1553">
        <v>12500</v>
      </c>
      <c r="D103" s="1553">
        <v>12500</v>
      </c>
      <c r="E103" s="1536">
        <v>10000</v>
      </c>
      <c r="F103" s="1554">
        <v>-2500</v>
      </c>
      <c r="G103" s="514" t="s">
        <v>0</v>
      </c>
    </row>
    <row r="104" spans="1:7" ht="13.5" customHeight="1">
      <c r="A104" s="1526"/>
      <c r="B104" s="1573" t="s">
        <v>718</v>
      </c>
      <c r="C104" s="1534">
        <f>SUM(C37+C39+C40+C42+C48+C53+C54+C56+C58+C63+C64+C69+C70+C71+C72+C73+C74+C75+C77+C79+C80+C81+C96+C97+C99+C100+C101+C102+C103)</f>
        <v>1534768</v>
      </c>
      <c r="D104" s="1534">
        <f>SUM(D37+D39+D40+D42+D48+D53+D54+D56+D58+D63+D64+D69+D70+D71+D72+D73+D74+D75+D77+D79+D80+D81+D96+D97+D99+D100+D101+D102+D103)</f>
        <v>1534768</v>
      </c>
      <c r="E104" s="1534">
        <f>SUM(E37+E38+E39+E40+E42+E44+E46+E47+E48+E49+E53+E54+E56+E55+E57+E58+E63+E64+E68+E69+E70+E71+E72+E73+E74+E75+E76+E77+E78+E79+E80+E81+E94+E95+E96+E97+E99+E100+E101+E102+E103)</f>
        <v>1173500</v>
      </c>
      <c r="F104" s="1534">
        <f>SUM(F37+F38+F39+F40+F42+F44+F46+F47+F48+F49+F53+F54+F56+F55+F57+F58+F63+F64+F68+F69+F70+F71+F72+F73+F74+F75+F76+F77+F78+F79+F80+F81+F94+F95+F96+F97+F99+F100+F101+F102+F103)</f>
        <v>-361268</v>
      </c>
      <c r="G104" s="514" t="s">
        <v>0</v>
      </c>
    </row>
    <row r="105" spans="1:7" ht="13.5" customHeight="1">
      <c r="A105" s="1532"/>
      <c r="B105" s="1544"/>
      <c r="C105" s="1617"/>
      <c r="D105" s="1575"/>
      <c r="E105" s="1583"/>
      <c r="F105" s="1563"/>
      <c r="G105" s="514" t="s">
        <v>0</v>
      </c>
    </row>
    <row r="106" spans="1:7" ht="13.5" customHeight="1">
      <c r="A106" s="1543" t="s">
        <v>710</v>
      </c>
      <c r="B106" s="1547" t="s">
        <v>630</v>
      </c>
      <c r="C106" s="1577">
        <v>20000</v>
      </c>
      <c r="D106" s="1577">
        <v>20000</v>
      </c>
      <c r="E106" s="1576">
        <v>0</v>
      </c>
      <c r="F106" s="1563">
        <v>-20000</v>
      </c>
      <c r="G106" s="514" t="s">
        <v>0</v>
      </c>
    </row>
    <row r="107" spans="1:7" ht="13.5" customHeight="1">
      <c r="A107" s="1532"/>
      <c r="B107" s="1540"/>
      <c r="C107" s="1572"/>
      <c r="D107" s="1572"/>
      <c r="E107" s="1530"/>
      <c r="F107" s="1531"/>
      <c r="G107" s="514" t="s">
        <v>0</v>
      </c>
    </row>
    <row r="108" spans="1:7" ht="13.5" customHeight="1">
      <c r="A108" s="1526"/>
      <c r="B108" s="1533" t="s">
        <v>719</v>
      </c>
      <c r="C108" s="1529"/>
      <c r="D108" s="1529"/>
      <c r="E108" s="1530"/>
      <c r="F108" s="1531"/>
      <c r="G108" s="514" t="s">
        <v>0</v>
      </c>
    </row>
    <row r="109" spans="1:7" ht="13.5" customHeight="1">
      <c r="A109" s="1532" t="s">
        <v>703</v>
      </c>
      <c r="B109" s="1567" t="s">
        <v>637</v>
      </c>
      <c r="C109" s="1565" t="s">
        <v>698</v>
      </c>
      <c r="D109" s="1565" t="s">
        <v>698</v>
      </c>
      <c r="E109" s="1536">
        <v>120000</v>
      </c>
      <c r="F109" s="1554">
        <v>120000</v>
      </c>
      <c r="G109" s="514" t="s">
        <v>0</v>
      </c>
    </row>
    <row r="110" spans="1:7" ht="13.5" customHeight="1">
      <c r="A110" s="1532" t="s">
        <v>703</v>
      </c>
      <c r="B110" s="1562" t="s">
        <v>638</v>
      </c>
      <c r="C110" s="1572">
        <v>10000</v>
      </c>
      <c r="D110" s="1572">
        <v>10000</v>
      </c>
      <c r="E110" s="1536">
        <v>15000</v>
      </c>
      <c r="F110" s="1554">
        <v>5000</v>
      </c>
      <c r="G110" s="514" t="s">
        <v>0</v>
      </c>
    </row>
    <row r="111" spans="1:7" ht="15.75" customHeight="1">
      <c r="A111" s="1532" t="s">
        <v>703</v>
      </c>
      <c r="B111" s="1562" t="s">
        <v>779</v>
      </c>
      <c r="C111" s="1565" t="s">
        <v>698</v>
      </c>
      <c r="D111" s="1565" t="s">
        <v>698</v>
      </c>
      <c r="E111" s="1536">
        <v>0</v>
      </c>
      <c r="F111" s="1554">
        <v>0</v>
      </c>
      <c r="G111" s="514" t="s">
        <v>0</v>
      </c>
    </row>
    <row r="112" spans="1:7" ht="13.5" customHeight="1">
      <c r="A112" s="1532" t="s">
        <v>703</v>
      </c>
      <c r="B112" s="1562" t="s">
        <v>639</v>
      </c>
      <c r="C112" s="1565" t="s">
        <v>698</v>
      </c>
      <c r="D112" s="1565" t="s">
        <v>698</v>
      </c>
      <c r="E112" s="1536">
        <v>12000</v>
      </c>
      <c r="F112" s="1554">
        <v>12000</v>
      </c>
      <c r="G112" s="514" t="s">
        <v>0</v>
      </c>
    </row>
    <row r="113" spans="1:7" ht="13.5" customHeight="1">
      <c r="A113" s="1532" t="s">
        <v>703</v>
      </c>
      <c r="B113" s="1562" t="s">
        <v>780</v>
      </c>
      <c r="C113" s="1572">
        <v>55000</v>
      </c>
      <c r="D113" s="1572">
        <v>55000</v>
      </c>
      <c r="E113" s="1536">
        <v>0</v>
      </c>
      <c r="F113" s="1554">
        <v>-55000</v>
      </c>
      <c r="G113" s="514" t="s">
        <v>0</v>
      </c>
    </row>
    <row r="114" spans="1:7" ht="13.5" customHeight="1">
      <c r="A114" s="1532" t="s">
        <v>703</v>
      </c>
      <c r="B114" s="1567" t="s">
        <v>640</v>
      </c>
      <c r="C114" s="1565" t="s">
        <v>698</v>
      </c>
      <c r="D114" s="1565" t="s">
        <v>698</v>
      </c>
      <c r="E114" s="1536">
        <v>6000</v>
      </c>
      <c r="F114" s="1554">
        <v>6000</v>
      </c>
      <c r="G114" s="514" t="s">
        <v>0</v>
      </c>
    </row>
    <row r="115" spans="1:7" ht="15" customHeight="1">
      <c r="A115" s="1532" t="s">
        <v>703</v>
      </c>
      <c r="B115" s="1562" t="s">
        <v>781</v>
      </c>
      <c r="C115" s="1565" t="s">
        <v>698</v>
      </c>
      <c r="D115" s="1565" t="s">
        <v>698</v>
      </c>
      <c r="E115" s="1536">
        <v>0</v>
      </c>
      <c r="F115" s="1554">
        <v>0</v>
      </c>
      <c r="G115" s="514" t="s">
        <v>0</v>
      </c>
    </row>
    <row r="116" spans="1:7" ht="13.5" customHeight="1">
      <c r="A116" s="1532" t="s">
        <v>703</v>
      </c>
      <c r="B116" s="1562" t="s">
        <v>782</v>
      </c>
      <c r="C116" s="1572">
        <v>75000</v>
      </c>
      <c r="D116" s="1572">
        <v>75000</v>
      </c>
      <c r="E116" s="1536">
        <v>0</v>
      </c>
      <c r="F116" s="1554">
        <v>-75000</v>
      </c>
      <c r="G116" s="514" t="s">
        <v>0</v>
      </c>
    </row>
    <row r="117" spans="1:7" ht="13.5" customHeight="1">
      <c r="A117" s="1532" t="s">
        <v>703</v>
      </c>
      <c r="B117" s="1562" t="s">
        <v>660</v>
      </c>
      <c r="C117" s="1572">
        <v>91095</v>
      </c>
      <c r="D117" s="1572">
        <v>91095</v>
      </c>
      <c r="E117" s="1536">
        <v>0</v>
      </c>
      <c r="F117" s="1554">
        <v>-91095</v>
      </c>
      <c r="G117" s="514" t="s">
        <v>0</v>
      </c>
    </row>
    <row r="118" spans="1:7" ht="13.5" customHeight="1">
      <c r="A118" s="1532" t="s">
        <v>703</v>
      </c>
      <c r="B118" s="1562" t="s">
        <v>720</v>
      </c>
      <c r="C118" s="1528">
        <v>5000</v>
      </c>
      <c r="D118" s="1528">
        <v>5000</v>
      </c>
      <c r="E118" s="1536">
        <v>0</v>
      </c>
      <c r="F118" s="1554">
        <v>-5000</v>
      </c>
      <c r="G118" s="514" t="s">
        <v>0</v>
      </c>
    </row>
    <row r="119" spans="1:7" ht="13.5" customHeight="1">
      <c r="A119" s="1532" t="s">
        <v>703</v>
      </c>
      <c r="B119" s="1562" t="s">
        <v>644</v>
      </c>
      <c r="C119" s="1572">
        <v>65000</v>
      </c>
      <c r="D119" s="1572">
        <v>65000</v>
      </c>
      <c r="E119" s="1536">
        <v>62000</v>
      </c>
      <c r="F119" s="1554">
        <v>-3000</v>
      </c>
      <c r="G119" s="514" t="s">
        <v>0</v>
      </c>
    </row>
    <row r="120" spans="1:7" ht="13.5" customHeight="1">
      <c r="A120" s="1532" t="s">
        <v>703</v>
      </c>
      <c r="B120" s="1558" t="s">
        <v>652</v>
      </c>
      <c r="C120" s="1568">
        <v>25000</v>
      </c>
      <c r="D120" s="1568">
        <v>25000</v>
      </c>
      <c r="E120" s="1556">
        <v>0</v>
      </c>
      <c r="F120" s="1560">
        <v>-25000</v>
      </c>
      <c r="G120" s="514" t="s">
        <v>0</v>
      </c>
    </row>
    <row r="121" spans="1:7" ht="13.5" customHeight="1">
      <c r="A121" s="1532" t="s">
        <v>721</v>
      </c>
      <c r="B121" s="1558" t="s">
        <v>653</v>
      </c>
      <c r="C121" s="1568">
        <v>10000</v>
      </c>
      <c r="D121" s="1568">
        <v>10000</v>
      </c>
      <c r="E121" s="1556">
        <v>0</v>
      </c>
      <c r="F121" s="1560">
        <v>-10000</v>
      </c>
      <c r="G121" s="514" t="s">
        <v>0</v>
      </c>
    </row>
    <row r="122" spans="1:7" ht="13.5" customHeight="1">
      <c r="A122" s="1532" t="s">
        <v>703</v>
      </c>
      <c r="B122" s="1558" t="s">
        <v>654</v>
      </c>
      <c r="C122" s="1568">
        <v>5000</v>
      </c>
      <c r="D122" s="1568">
        <v>5000</v>
      </c>
      <c r="E122" s="1556">
        <v>0</v>
      </c>
      <c r="F122" s="1560">
        <v>-5000</v>
      </c>
      <c r="G122" s="514" t="s">
        <v>0</v>
      </c>
    </row>
    <row r="123" spans="1:7" ht="13.5" customHeight="1">
      <c r="A123" s="1532" t="s">
        <v>703</v>
      </c>
      <c r="B123" s="1558" t="s">
        <v>722</v>
      </c>
      <c r="C123" s="1568">
        <v>25000</v>
      </c>
      <c r="D123" s="1568">
        <v>25000</v>
      </c>
      <c r="E123" s="1556">
        <v>0</v>
      </c>
      <c r="F123" s="1560">
        <v>-25000</v>
      </c>
      <c r="G123" s="514" t="s">
        <v>0</v>
      </c>
    </row>
    <row r="124" spans="1:7" ht="13.5" customHeight="1">
      <c r="A124" s="1532" t="s">
        <v>703</v>
      </c>
      <c r="B124" s="1562" t="s">
        <v>645</v>
      </c>
      <c r="C124" s="1572">
        <v>22500</v>
      </c>
      <c r="D124" s="1572">
        <v>22500</v>
      </c>
      <c r="E124" s="1536">
        <v>20000</v>
      </c>
      <c r="F124" s="1554">
        <v>-2500</v>
      </c>
      <c r="G124" s="514" t="s">
        <v>0</v>
      </c>
    </row>
    <row r="125" spans="1:7" ht="13.5" customHeight="1">
      <c r="A125" s="1532" t="s">
        <v>703</v>
      </c>
      <c r="B125" s="1558" t="s">
        <v>656</v>
      </c>
      <c r="C125" s="1568">
        <v>5000</v>
      </c>
      <c r="D125" s="1568">
        <v>5000</v>
      </c>
      <c r="E125" s="1556">
        <v>0</v>
      </c>
      <c r="F125" s="1560">
        <v>-5000</v>
      </c>
      <c r="G125" s="514" t="s">
        <v>0</v>
      </c>
    </row>
    <row r="126" spans="1:7" ht="13.5" customHeight="1">
      <c r="A126" s="1532" t="s">
        <v>703</v>
      </c>
      <c r="B126" s="1562" t="s">
        <v>672</v>
      </c>
      <c r="C126" s="1572">
        <v>100000</v>
      </c>
      <c r="D126" s="1572">
        <v>100000</v>
      </c>
      <c r="E126" s="1536">
        <v>45000</v>
      </c>
      <c r="F126" s="1554">
        <v>-55000</v>
      </c>
      <c r="G126" s="514" t="s">
        <v>0</v>
      </c>
    </row>
    <row r="127" spans="1:7" ht="13.5" customHeight="1">
      <c r="A127" s="1532"/>
      <c r="B127" s="1555" t="s">
        <v>657</v>
      </c>
      <c r="C127" s="1572"/>
      <c r="D127" s="1572"/>
      <c r="E127" s="1556">
        <v>5000</v>
      </c>
      <c r="F127" s="1560">
        <v>5000</v>
      </c>
      <c r="G127" s="514" t="s">
        <v>0</v>
      </c>
    </row>
    <row r="128" spans="1:7" ht="13.5" customHeight="1">
      <c r="A128" s="1532"/>
      <c r="B128" s="1544" t="s">
        <v>723</v>
      </c>
      <c r="C128" s="1577">
        <f>SUM(C110+C113+C116+C117+C118+C119+C124+C126)</f>
        <v>423595</v>
      </c>
      <c r="D128" s="1577">
        <f>SUM(D110+D113+D116+D117+D118+D119+D124+D126)</f>
        <v>423595</v>
      </c>
      <c r="E128" s="1577">
        <f>SUM(E109+E110+E112+E113+E114+E116+E117+E118+E119+E124+E126)</f>
        <v>280000</v>
      </c>
      <c r="F128" s="1563">
        <v>-143595</v>
      </c>
      <c r="G128" s="514" t="s">
        <v>0</v>
      </c>
    </row>
    <row r="129" spans="1:7" ht="13.5" customHeight="1">
      <c r="A129" s="1578"/>
      <c r="B129" s="1579"/>
      <c r="C129" s="1575"/>
      <c r="D129" s="1575"/>
      <c r="E129" s="1530"/>
      <c r="F129" s="1537"/>
      <c r="G129" s="514" t="s">
        <v>0</v>
      </c>
    </row>
    <row r="130" spans="1:7" ht="13.5" customHeight="1">
      <c r="A130" s="1532"/>
      <c r="B130" s="1533" t="s">
        <v>682</v>
      </c>
      <c r="C130" s="1529"/>
      <c r="D130" s="1529"/>
      <c r="E130" s="1530"/>
      <c r="F130" s="1531"/>
      <c r="G130" s="514" t="s">
        <v>0</v>
      </c>
    </row>
    <row r="131" spans="1:7" ht="13.5" customHeight="1">
      <c r="A131" s="1532" t="s">
        <v>699</v>
      </c>
      <c r="B131" s="1562" t="s">
        <v>724</v>
      </c>
      <c r="C131" s="1553" t="s">
        <v>725</v>
      </c>
      <c r="D131" s="1553">
        <v>5000</v>
      </c>
      <c r="E131" s="1536">
        <v>12200</v>
      </c>
      <c r="F131" s="1537">
        <v>7200</v>
      </c>
      <c r="G131" s="514" t="s">
        <v>0</v>
      </c>
    </row>
    <row r="132" spans="1:7" ht="13.5" customHeight="1">
      <c r="A132" s="1532" t="s">
        <v>699</v>
      </c>
      <c r="B132" s="1562" t="s">
        <v>726</v>
      </c>
      <c r="C132" s="1553" t="s">
        <v>725</v>
      </c>
      <c r="D132" s="1553">
        <v>4100</v>
      </c>
      <c r="E132" s="1536">
        <v>4100</v>
      </c>
      <c r="F132" s="1537">
        <v>0</v>
      </c>
      <c r="G132" s="514" t="s">
        <v>0</v>
      </c>
    </row>
    <row r="133" spans="1:7" ht="13.5" customHeight="1">
      <c r="A133" s="1532"/>
      <c r="B133" s="1544" t="s">
        <v>727</v>
      </c>
      <c r="C133" s="1577">
        <v>9100</v>
      </c>
      <c r="D133" s="1577">
        <v>9100</v>
      </c>
      <c r="E133" s="1574">
        <f>SUM(E131:E132)</f>
        <v>16300</v>
      </c>
      <c r="F133" s="1546">
        <v>7200</v>
      </c>
      <c r="G133" s="514" t="s">
        <v>0</v>
      </c>
    </row>
    <row r="134" spans="1:7" ht="13.5" customHeight="1">
      <c r="A134" s="1580"/>
      <c r="B134" s="1581"/>
      <c r="C134" s="1582"/>
      <c r="D134" s="1582"/>
      <c r="E134" s="1530"/>
      <c r="F134" s="1531"/>
      <c r="G134" s="514" t="s">
        <v>0</v>
      </c>
    </row>
    <row r="135" spans="1:7" ht="13.5" customHeight="1">
      <c r="A135" s="1532"/>
      <c r="B135" s="1562"/>
      <c r="C135" s="1529"/>
      <c r="D135" s="1529"/>
      <c r="E135" s="1530"/>
      <c r="F135" s="1531"/>
      <c r="G135" s="514" t="s">
        <v>0</v>
      </c>
    </row>
    <row r="136" spans="1:7" ht="13.5" customHeight="1">
      <c r="A136" s="1532"/>
      <c r="B136" s="1544" t="s">
        <v>783</v>
      </c>
      <c r="C136" s="1549">
        <f>SUM(C4+C33+C104+C106+C128+C133)</f>
        <v>2382681</v>
      </c>
      <c r="D136" s="1549">
        <f>SUM(D4+D33+D104+D106+D128+D133)</f>
        <v>2382681</v>
      </c>
      <c r="E136" s="1549">
        <f>SUM(E4+E33+E104+E106+E128+E133)</f>
        <v>1856655</v>
      </c>
      <c r="F136" s="1549">
        <f>SUM(F4+F33+F104+F106+F128+F133)</f>
        <v>-526026</v>
      </c>
      <c r="G136" s="514" t="s">
        <v>0</v>
      </c>
    </row>
    <row r="137" spans="1:7" ht="15.75" customHeight="1">
      <c r="A137" s="1532" t="s">
        <v>728</v>
      </c>
      <c r="B137" s="1567" t="s">
        <v>784</v>
      </c>
      <c r="C137" s="1539" t="s">
        <v>698</v>
      </c>
      <c r="D137" s="1539" t="s">
        <v>698</v>
      </c>
      <c r="E137" s="1541">
        <v>113890</v>
      </c>
      <c r="F137" s="1531"/>
      <c r="G137" s="514" t="s">
        <v>0</v>
      </c>
    </row>
    <row r="138" spans="1:7" ht="16.5" customHeight="1">
      <c r="A138" s="1532" t="s">
        <v>728</v>
      </c>
      <c r="B138" s="1567" t="s">
        <v>785</v>
      </c>
      <c r="C138" s="1539" t="s">
        <v>698</v>
      </c>
      <c r="D138" s="1539" t="s">
        <v>698</v>
      </c>
      <c r="E138" s="1541">
        <v>45585</v>
      </c>
      <c r="F138" s="1531"/>
      <c r="G138" s="514" t="s">
        <v>0</v>
      </c>
    </row>
    <row r="139" spans="1:7" ht="13.5" customHeight="1">
      <c r="A139" s="1532"/>
      <c r="B139" s="1567"/>
      <c r="C139" s="1539"/>
      <c r="D139" s="1539"/>
      <c r="E139" s="1584"/>
      <c r="F139" s="1531"/>
      <c r="G139" s="514" t="s">
        <v>0</v>
      </c>
    </row>
    <row r="140" spans="1:7" ht="13.5" customHeight="1">
      <c r="A140" s="1580"/>
      <c r="B140" s="1585"/>
      <c r="C140" s="1586"/>
      <c r="D140" s="1586"/>
      <c r="E140" s="1536"/>
      <c r="F140" s="1531"/>
      <c r="G140" s="514" t="s">
        <v>0</v>
      </c>
    </row>
    <row r="141" spans="1:7" ht="13.5" customHeight="1">
      <c r="A141" s="1532" t="s">
        <v>699</v>
      </c>
      <c r="B141" s="1533" t="s">
        <v>786</v>
      </c>
      <c r="C141" s="1577">
        <v>61000</v>
      </c>
      <c r="D141" s="1577">
        <v>61000</v>
      </c>
      <c r="E141" s="1550">
        <v>67000</v>
      </c>
      <c r="F141" s="1537">
        <v>6000</v>
      </c>
      <c r="G141" s="514" t="s">
        <v>0</v>
      </c>
    </row>
    <row r="142" spans="1:7" ht="13.5" customHeight="1">
      <c r="A142" s="1532" t="s">
        <v>699</v>
      </c>
      <c r="B142" s="1533" t="s">
        <v>729</v>
      </c>
      <c r="C142" s="1577">
        <v>0</v>
      </c>
      <c r="D142" s="1577">
        <v>0</v>
      </c>
      <c r="E142" s="1550">
        <v>0</v>
      </c>
      <c r="F142" s="1537">
        <v>0</v>
      </c>
      <c r="G142" s="514" t="s">
        <v>0</v>
      </c>
    </row>
    <row r="143" spans="1:7" ht="13.5" customHeight="1">
      <c r="A143" s="1532"/>
      <c r="B143" s="1544" t="s">
        <v>730</v>
      </c>
      <c r="C143" s="1549">
        <v>61000</v>
      </c>
      <c r="D143" s="1549">
        <v>61000</v>
      </c>
      <c r="E143" s="1583">
        <v>67000</v>
      </c>
      <c r="F143" s="1546">
        <v>6000</v>
      </c>
      <c r="G143" s="514" t="s">
        <v>0</v>
      </c>
    </row>
    <row r="144" spans="1:7" ht="13.5" customHeight="1">
      <c r="A144" s="1580"/>
      <c r="B144" s="1587"/>
      <c r="C144" s="1588"/>
      <c r="D144" s="1588"/>
      <c r="E144" s="1530"/>
      <c r="F144" s="1531"/>
      <c r="G144" s="514" t="s">
        <v>0</v>
      </c>
    </row>
    <row r="145" spans="1:7" ht="13.5" customHeight="1">
      <c r="A145" s="1532" t="s">
        <v>731</v>
      </c>
      <c r="B145" s="1533" t="s">
        <v>732</v>
      </c>
      <c r="C145" s="1577">
        <v>705000</v>
      </c>
      <c r="D145" s="1577">
        <v>705000</v>
      </c>
      <c r="E145" s="1550">
        <v>850000</v>
      </c>
      <c r="F145" s="1546">
        <f>E145-D145</f>
        <v>145000</v>
      </c>
      <c r="G145" s="514" t="s">
        <v>0</v>
      </c>
    </row>
    <row r="146" spans="1:7" ht="13.5" customHeight="1">
      <c r="A146" s="1532" t="s">
        <v>731</v>
      </c>
      <c r="B146" s="1555" t="s">
        <v>733</v>
      </c>
      <c r="C146" s="1577"/>
      <c r="D146" s="1577"/>
      <c r="E146" s="1589"/>
      <c r="F146" s="1590"/>
      <c r="G146" s="514" t="s">
        <v>0</v>
      </c>
    </row>
    <row r="147" spans="1:7" ht="13.5" customHeight="1">
      <c r="A147" s="1532" t="s">
        <v>731</v>
      </c>
      <c r="B147" s="1555" t="s">
        <v>734</v>
      </c>
      <c r="C147" s="1577"/>
      <c r="D147" s="1577"/>
      <c r="E147" s="1589"/>
      <c r="F147" s="1590"/>
      <c r="G147" s="514" t="s">
        <v>0</v>
      </c>
    </row>
    <row r="148" spans="1:7" ht="13.5" customHeight="1">
      <c r="A148" s="1532"/>
      <c r="B148" s="1555" t="s">
        <v>735</v>
      </c>
      <c r="C148" s="1577"/>
      <c r="D148" s="1577"/>
      <c r="E148" s="1556">
        <v>100000</v>
      </c>
      <c r="F148" s="1557">
        <v>100000</v>
      </c>
      <c r="G148" s="514" t="s">
        <v>0</v>
      </c>
    </row>
    <row r="149" spans="1:7" ht="13.5" customHeight="1">
      <c r="A149" s="1532"/>
      <c r="B149" s="1555" t="s">
        <v>736</v>
      </c>
      <c r="C149" s="1577"/>
      <c r="D149" s="1577"/>
      <c r="E149" s="1556">
        <v>15000</v>
      </c>
      <c r="F149" s="1557">
        <v>15000</v>
      </c>
      <c r="G149" s="514" t="s">
        <v>0</v>
      </c>
    </row>
    <row r="150" spans="1:7" ht="13.5" customHeight="1">
      <c r="A150" s="1532"/>
      <c r="B150" s="1555" t="s">
        <v>737</v>
      </c>
      <c r="C150" s="1577"/>
      <c r="D150" s="1577"/>
      <c r="E150" s="1556">
        <v>35000</v>
      </c>
      <c r="F150" s="1557">
        <v>35000</v>
      </c>
      <c r="G150" s="514" t="s">
        <v>0</v>
      </c>
    </row>
    <row r="151" spans="1:7" ht="13.5" customHeight="1">
      <c r="A151" s="1532" t="s">
        <v>731</v>
      </c>
      <c r="B151" s="1567" t="s">
        <v>738</v>
      </c>
      <c r="C151" s="1541">
        <v>50000</v>
      </c>
      <c r="D151" s="1541">
        <v>50000</v>
      </c>
      <c r="E151" s="1541">
        <v>50000</v>
      </c>
      <c r="F151" s="1557">
        <v>0</v>
      </c>
      <c r="G151" s="514" t="s">
        <v>0</v>
      </c>
    </row>
    <row r="152" spans="1:7" ht="13.5" customHeight="1">
      <c r="A152" s="1591"/>
      <c r="B152" s="1592" t="s">
        <v>739</v>
      </c>
      <c r="C152" s="1568">
        <v>755000</v>
      </c>
      <c r="D152" s="1568">
        <v>755000</v>
      </c>
      <c r="E152" s="1593">
        <v>900000</v>
      </c>
      <c r="F152" s="1557"/>
      <c r="G152" s="514" t="s">
        <v>0</v>
      </c>
    </row>
    <row r="153" spans="1:7" ht="13.5" customHeight="1">
      <c r="A153" s="1591"/>
      <c r="B153" s="1592"/>
      <c r="C153" s="1568"/>
      <c r="D153" s="1568"/>
      <c r="E153" s="1593"/>
      <c r="F153" s="1557"/>
      <c r="G153" s="514" t="s">
        <v>0</v>
      </c>
    </row>
    <row r="154" spans="1:7" ht="13.5" customHeight="1">
      <c r="A154" s="1532" t="s">
        <v>699</v>
      </c>
      <c r="B154" s="1547" t="s">
        <v>740</v>
      </c>
      <c r="C154" s="1572"/>
      <c r="D154" s="1572"/>
      <c r="E154" s="1574">
        <v>250000</v>
      </c>
      <c r="F154" s="1546">
        <f>E154-D154</f>
        <v>250000</v>
      </c>
      <c r="G154" s="514" t="s">
        <v>0</v>
      </c>
    </row>
    <row r="155" spans="1:7" ht="13.5" customHeight="1">
      <c r="A155" s="1532"/>
      <c r="B155" s="1544" t="s">
        <v>741</v>
      </c>
      <c r="C155" s="1572"/>
      <c r="D155" s="1572"/>
      <c r="E155" s="1574">
        <v>250000</v>
      </c>
      <c r="F155" s="1546">
        <f>E155-D155</f>
        <v>250000</v>
      </c>
      <c r="G155" s="514" t="s">
        <v>0</v>
      </c>
    </row>
    <row r="156" spans="1:7" ht="13.5" customHeight="1">
      <c r="A156" s="1591"/>
      <c r="B156" s="1592"/>
      <c r="C156" s="1568"/>
      <c r="D156" s="1568"/>
      <c r="E156" s="1576"/>
      <c r="F156" s="1551"/>
      <c r="G156" s="514" t="s">
        <v>0</v>
      </c>
    </row>
    <row r="157" spans="1:7" ht="13.5" customHeight="1">
      <c r="A157" s="1543"/>
      <c r="B157" s="1544" t="s">
        <v>742</v>
      </c>
      <c r="C157" s="1549">
        <f>SUM(C143+C145)</f>
        <v>766000</v>
      </c>
      <c r="D157" s="1549">
        <f t="shared" ref="D157:E157" si="0">SUM(D143+D145)</f>
        <v>766000</v>
      </c>
      <c r="E157" s="1549">
        <f t="shared" si="0"/>
        <v>917000</v>
      </c>
      <c r="F157" s="1594">
        <f>E157-D157</f>
        <v>151000</v>
      </c>
      <c r="G157" s="514" t="s">
        <v>0</v>
      </c>
    </row>
    <row r="158" spans="1:7" ht="13.5" customHeight="1">
      <c r="A158" s="1532"/>
      <c r="B158" s="1544"/>
      <c r="C158" s="1529"/>
      <c r="D158" s="1529"/>
      <c r="E158" s="1576"/>
      <c r="F158" s="1551"/>
      <c r="G158" s="514" t="s">
        <v>0</v>
      </c>
    </row>
    <row r="159" spans="1:7" ht="13.5" customHeight="1">
      <c r="A159" s="1595"/>
      <c r="B159" s="1544" t="s">
        <v>743</v>
      </c>
      <c r="C159" s="1549">
        <f>C136+C157</f>
        <v>3148681</v>
      </c>
      <c r="D159" s="1549">
        <f t="shared" ref="D159" si="1">D136+D157</f>
        <v>3148681</v>
      </c>
      <c r="E159" s="1549">
        <f>E136+E155+E157</f>
        <v>3023655</v>
      </c>
      <c r="F159" s="1594">
        <f>E159-D159</f>
        <v>-125026</v>
      </c>
      <c r="G159" s="514" t="s">
        <v>0</v>
      </c>
    </row>
    <row r="160" spans="1:7" ht="13.5" customHeight="1">
      <c r="A160" s="1580"/>
      <c r="B160" s="1596"/>
      <c r="C160" s="1588"/>
      <c r="D160" s="1588"/>
      <c r="E160" s="1530"/>
      <c r="F160" s="1531"/>
      <c r="G160" s="514" t="s">
        <v>0</v>
      </c>
    </row>
    <row r="161" spans="1:7" ht="13.5" customHeight="1">
      <c r="A161" s="1532"/>
      <c r="B161" s="1562" t="s">
        <v>744</v>
      </c>
      <c r="C161" s="1553">
        <v>3000</v>
      </c>
      <c r="D161" s="1553">
        <v>3000</v>
      </c>
      <c r="E161" s="1584">
        <v>3000</v>
      </c>
      <c r="F161" s="1537">
        <v>3000</v>
      </c>
      <c r="G161" s="514" t="s">
        <v>0</v>
      </c>
    </row>
    <row r="162" spans="1:7" ht="13.5" customHeight="1">
      <c r="A162" s="1532"/>
      <c r="B162" s="1562" t="s">
        <v>745</v>
      </c>
      <c r="C162" s="1553">
        <v>203000</v>
      </c>
      <c r="D162" s="1553">
        <v>203000</v>
      </c>
      <c r="E162" s="1576">
        <v>0</v>
      </c>
      <c r="F162" s="1546">
        <v>0</v>
      </c>
      <c r="G162" s="514" t="s">
        <v>0</v>
      </c>
    </row>
    <row r="163" spans="1:7" ht="13.5" customHeight="1">
      <c r="A163" s="1543"/>
      <c r="B163" s="1544" t="s">
        <v>746</v>
      </c>
      <c r="C163" s="1577">
        <f>SUM(C161:C162)</f>
        <v>206000</v>
      </c>
      <c r="D163" s="1577">
        <f t="shared" ref="D163:E163" si="2">SUM(D161:D162)</f>
        <v>206000</v>
      </c>
      <c r="E163" s="1577">
        <f t="shared" si="2"/>
        <v>3000</v>
      </c>
      <c r="F163" s="1594">
        <f>E163-D163</f>
        <v>-203000</v>
      </c>
      <c r="G163" s="514" t="s">
        <v>0</v>
      </c>
    </row>
    <row r="164" spans="1:7" ht="13.5" customHeight="1">
      <c r="A164" s="1532"/>
      <c r="B164" s="1562"/>
      <c r="C164" s="1572"/>
      <c r="D164" s="1572"/>
      <c r="E164" s="1576"/>
      <c r="F164" s="1551"/>
      <c r="G164" s="514" t="s">
        <v>0</v>
      </c>
    </row>
    <row r="165" spans="1:7" ht="13.5" customHeight="1">
      <c r="A165" s="1543"/>
      <c r="B165" s="1544" t="s">
        <v>747</v>
      </c>
      <c r="C165" s="1549">
        <f>SUM(C159+C163)</f>
        <v>3354681</v>
      </c>
      <c r="D165" s="1549">
        <f t="shared" ref="D165:E165" si="3">SUM(D159+D163)</f>
        <v>3354681</v>
      </c>
      <c r="E165" s="1549">
        <f t="shared" si="3"/>
        <v>3026655</v>
      </c>
      <c r="F165" s="1594">
        <f>E165-D165</f>
        <v>-328026</v>
      </c>
      <c r="G165" s="514" t="s">
        <v>0</v>
      </c>
    </row>
    <row r="166" spans="1:7" ht="13.5" customHeight="1">
      <c r="A166" s="1597"/>
      <c r="B166" s="1544"/>
      <c r="C166" s="1577"/>
      <c r="D166" s="1598"/>
      <c r="E166" s="1530"/>
      <c r="F166" s="1531"/>
      <c r="G166" s="514" t="s">
        <v>0</v>
      </c>
    </row>
    <row r="167" spans="1:7" ht="13.5" customHeight="1">
      <c r="A167" s="1532"/>
      <c r="B167" s="1562" t="s">
        <v>787</v>
      </c>
      <c r="C167" s="1528">
        <v>-54000</v>
      </c>
      <c r="D167" s="1542">
        <v>-54000</v>
      </c>
      <c r="E167" s="1584">
        <v>-42600</v>
      </c>
      <c r="F167" s="1554">
        <v>11400</v>
      </c>
      <c r="G167" s="514" t="s">
        <v>0</v>
      </c>
    </row>
    <row r="168" spans="1:7" ht="13.5" customHeight="1">
      <c r="A168" s="2043" t="s">
        <v>748</v>
      </c>
      <c r="B168" s="2044"/>
      <c r="C168" s="2044"/>
      <c r="D168" s="2044"/>
      <c r="E168" s="2044"/>
      <c r="F168" s="2045"/>
      <c r="G168" s="514" t="s">
        <v>0</v>
      </c>
    </row>
    <row r="169" spans="1:7" ht="13.5" customHeight="1">
      <c r="A169" s="1543"/>
      <c r="B169" s="1544"/>
      <c r="C169" s="1599"/>
      <c r="D169" s="1534"/>
      <c r="E169" s="1530"/>
      <c r="F169" s="1531"/>
      <c r="G169" s="514" t="s">
        <v>0</v>
      </c>
    </row>
    <row r="170" spans="1:7" ht="13.5" customHeight="1">
      <c r="A170" s="1532"/>
      <c r="B170" s="1533" t="s">
        <v>749</v>
      </c>
      <c r="C170" s="1529"/>
      <c r="D170" s="1534"/>
      <c r="E170" s="1530"/>
      <c r="F170" s="1531"/>
      <c r="G170" s="514" t="s">
        <v>0</v>
      </c>
    </row>
    <row r="171" spans="1:7" ht="15.75" customHeight="1">
      <c r="A171" s="1532" t="s">
        <v>703</v>
      </c>
      <c r="B171" s="1562" t="s">
        <v>767</v>
      </c>
      <c r="C171" s="1572" t="s">
        <v>750</v>
      </c>
      <c r="D171" s="1572" t="s">
        <v>750</v>
      </c>
      <c r="E171" s="1530"/>
      <c r="F171" s="1531">
        <v>0</v>
      </c>
      <c r="G171" s="514" t="s">
        <v>0</v>
      </c>
    </row>
    <row r="172" spans="1:7" ht="15.75" customHeight="1">
      <c r="A172" s="1532" t="s">
        <v>703</v>
      </c>
      <c r="B172" s="1562" t="s">
        <v>769</v>
      </c>
      <c r="C172" s="1572" t="s">
        <v>750</v>
      </c>
      <c r="D172" s="1572" t="s">
        <v>750</v>
      </c>
      <c r="E172" s="1530"/>
      <c r="F172" s="1531">
        <v>0</v>
      </c>
      <c r="G172" s="514" t="s">
        <v>0</v>
      </c>
    </row>
    <row r="173" spans="1:7" ht="15.75" customHeight="1">
      <c r="A173" s="1532" t="s">
        <v>699</v>
      </c>
      <c r="B173" s="1562" t="s">
        <v>770</v>
      </c>
      <c r="C173" s="1572" t="s">
        <v>750</v>
      </c>
      <c r="D173" s="1572" t="s">
        <v>750</v>
      </c>
      <c r="E173" s="1530"/>
      <c r="F173" s="1531">
        <v>0</v>
      </c>
      <c r="G173" s="514" t="s">
        <v>0</v>
      </c>
    </row>
    <row r="174" spans="1:7" ht="15.75" customHeight="1">
      <c r="A174" s="1532" t="s">
        <v>704</v>
      </c>
      <c r="B174" s="1562" t="s">
        <v>751</v>
      </c>
      <c r="C174" s="1572">
        <v>3000</v>
      </c>
      <c r="D174" s="1572">
        <v>3000</v>
      </c>
      <c r="E174" s="1536">
        <v>3000</v>
      </c>
      <c r="F174" s="1537">
        <v>3000</v>
      </c>
      <c r="G174" s="514" t="s">
        <v>0</v>
      </c>
    </row>
    <row r="175" spans="1:7" ht="15.75" customHeight="1">
      <c r="A175" s="1532" t="s">
        <v>704</v>
      </c>
      <c r="B175" s="1562" t="s">
        <v>774</v>
      </c>
      <c r="C175" s="1572" t="s">
        <v>750</v>
      </c>
      <c r="D175" s="1572" t="s">
        <v>750</v>
      </c>
      <c r="E175" s="1536"/>
      <c r="F175" s="1537">
        <v>0</v>
      </c>
      <c r="G175" s="514" t="s">
        <v>0</v>
      </c>
    </row>
    <row r="176" spans="1:7" ht="15.75" customHeight="1">
      <c r="A176" s="1532" t="s">
        <v>712</v>
      </c>
      <c r="B176" s="1562" t="s">
        <v>788</v>
      </c>
      <c r="C176" s="1572" t="s">
        <v>750</v>
      </c>
      <c r="D176" s="1572" t="s">
        <v>750</v>
      </c>
      <c r="E176" s="1530"/>
      <c r="F176" s="1531">
        <v>0</v>
      </c>
      <c r="G176" s="514" t="s">
        <v>0</v>
      </c>
    </row>
    <row r="177" spans="1:7" ht="15.75" customHeight="1">
      <c r="A177" s="1532" t="s">
        <v>701</v>
      </c>
      <c r="B177" s="1562" t="s">
        <v>778</v>
      </c>
      <c r="C177" s="1572" t="s">
        <v>750</v>
      </c>
      <c r="D177" s="1572" t="s">
        <v>750</v>
      </c>
      <c r="E177" s="1600"/>
      <c r="F177" s="1601">
        <v>0</v>
      </c>
      <c r="G177" s="514" t="s">
        <v>0</v>
      </c>
    </row>
    <row r="178" spans="1:7" ht="13.5" customHeight="1">
      <c r="A178" s="1532"/>
      <c r="B178" s="1544" t="s">
        <v>752</v>
      </c>
      <c r="C178" s="1577">
        <v>3000</v>
      </c>
      <c r="D178" s="1577">
        <v>3000</v>
      </c>
      <c r="E178" s="1574">
        <v>3000</v>
      </c>
      <c r="F178" s="1594">
        <v>3000</v>
      </c>
      <c r="G178" s="514" t="s">
        <v>0</v>
      </c>
    </row>
    <row r="179" spans="1:7" ht="13.5" customHeight="1">
      <c r="A179" s="1580"/>
      <c r="B179" s="1581"/>
      <c r="C179" s="1582"/>
      <c r="D179" s="1582"/>
      <c r="E179" s="1530"/>
      <c r="F179" s="1531"/>
      <c r="G179" s="514" t="s">
        <v>0</v>
      </c>
    </row>
    <row r="180" spans="1:7" ht="13.5" customHeight="1">
      <c r="A180" s="1532"/>
      <c r="B180" s="1533" t="s">
        <v>753</v>
      </c>
      <c r="C180" s="1529"/>
      <c r="D180" s="1529"/>
      <c r="E180" s="1530"/>
      <c r="F180" s="1531"/>
      <c r="G180" s="514" t="s">
        <v>0</v>
      </c>
    </row>
    <row r="181" spans="1:7" ht="13.5" customHeight="1">
      <c r="A181" s="1532" t="s">
        <v>699</v>
      </c>
      <c r="B181" s="1562" t="s">
        <v>522</v>
      </c>
      <c r="C181" s="1572">
        <v>30000</v>
      </c>
      <c r="D181" s="1572">
        <v>30000</v>
      </c>
      <c r="E181" s="1530"/>
      <c r="F181" s="1531"/>
      <c r="G181" s="514" t="s">
        <v>0</v>
      </c>
    </row>
    <row r="182" spans="1:7" ht="13.5" customHeight="1">
      <c r="A182" s="1532" t="s">
        <v>704</v>
      </c>
      <c r="B182" s="1602" t="s">
        <v>754</v>
      </c>
      <c r="C182" s="1568">
        <v>1500</v>
      </c>
      <c r="D182" s="1568">
        <v>1500</v>
      </c>
      <c r="E182" s="1530"/>
      <c r="F182" s="1531"/>
      <c r="G182" s="514" t="s">
        <v>0</v>
      </c>
    </row>
    <row r="183" spans="1:7" ht="13.5" customHeight="1">
      <c r="A183" s="1532" t="s">
        <v>711</v>
      </c>
      <c r="B183" s="1567" t="s">
        <v>527</v>
      </c>
      <c r="C183" s="1568">
        <v>24000</v>
      </c>
      <c r="D183" s="1568">
        <v>24000</v>
      </c>
      <c r="E183" s="1603"/>
      <c r="F183" s="1560"/>
      <c r="G183" s="514" t="s">
        <v>0</v>
      </c>
    </row>
    <row r="184" spans="1:7" ht="13.5" customHeight="1">
      <c r="A184" s="1561" t="s">
        <v>712</v>
      </c>
      <c r="B184" s="1602" t="s">
        <v>528</v>
      </c>
      <c r="C184" s="1572">
        <v>1000</v>
      </c>
      <c r="D184" s="1572">
        <v>1000</v>
      </c>
      <c r="E184" s="1603"/>
      <c r="F184" s="1560"/>
      <c r="G184" s="514" t="s">
        <v>0</v>
      </c>
    </row>
    <row r="185" spans="1:7" ht="13.5" customHeight="1">
      <c r="A185" s="1561" t="s">
        <v>712</v>
      </c>
      <c r="B185" s="1602" t="s">
        <v>529</v>
      </c>
      <c r="C185" s="1572">
        <v>11000</v>
      </c>
      <c r="D185" s="1572">
        <v>11000</v>
      </c>
      <c r="E185" s="1603"/>
      <c r="F185" s="1560"/>
      <c r="G185" s="514" t="s">
        <v>0</v>
      </c>
    </row>
    <row r="186" spans="1:7" ht="13.5" customHeight="1">
      <c r="A186" s="1532" t="s">
        <v>704</v>
      </c>
      <c r="B186" s="1562" t="s">
        <v>490</v>
      </c>
      <c r="C186" s="1572">
        <v>161000</v>
      </c>
      <c r="D186" s="1572">
        <v>161000</v>
      </c>
      <c r="E186" s="1530"/>
      <c r="F186" s="1531"/>
      <c r="G186" s="514" t="s">
        <v>0</v>
      </c>
    </row>
    <row r="187" spans="1:7" ht="13.5" customHeight="1">
      <c r="A187" s="1532" t="s">
        <v>704</v>
      </c>
      <c r="B187" s="1602" t="s">
        <v>531</v>
      </c>
      <c r="C187" s="1568">
        <v>151000</v>
      </c>
      <c r="D187" s="1568">
        <v>151000</v>
      </c>
      <c r="E187" s="1530"/>
      <c r="F187" s="1531"/>
      <c r="G187" s="514" t="s">
        <v>0</v>
      </c>
    </row>
    <row r="188" spans="1:7" ht="13.5" customHeight="1">
      <c r="A188" s="1532" t="s">
        <v>704</v>
      </c>
      <c r="B188" s="1602" t="s">
        <v>534</v>
      </c>
      <c r="C188" s="1568">
        <v>5000</v>
      </c>
      <c r="D188" s="1568">
        <v>5000</v>
      </c>
      <c r="E188" s="1530"/>
      <c r="F188" s="1531"/>
      <c r="G188" s="514" t="s">
        <v>0</v>
      </c>
    </row>
    <row r="189" spans="1:7" ht="13.5" customHeight="1">
      <c r="A189" s="1532" t="s">
        <v>704</v>
      </c>
      <c r="B189" s="1602" t="s">
        <v>535</v>
      </c>
      <c r="C189" s="1568">
        <v>5000</v>
      </c>
      <c r="D189" s="1568">
        <v>5000</v>
      </c>
      <c r="E189" s="1530"/>
      <c r="F189" s="1531"/>
      <c r="G189" s="514" t="s">
        <v>0</v>
      </c>
    </row>
    <row r="190" spans="1:7" ht="13.5" customHeight="1">
      <c r="A190" s="1532" t="s">
        <v>701</v>
      </c>
      <c r="B190" s="1562" t="s">
        <v>789</v>
      </c>
      <c r="C190" s="1572" t="s">
        <v>750</v>
      </c>
      <c r="D190" s="1572" t="s">
        <v>750</v>
      </c>
      <c r="E190" s="1530"/>
      <c r="F190" s="1531"/>
      <c r="G190" s="514" t="s">
        <v>0</v>
      </c>
    </row>
    <row r="191" spans="1:7" ht="13.5" customHeight="1">
      <c r="A191" s="1561" t="s">
        <v>701</v>
      </c>
      <c r="B191" s="1571" t="s">
        <v>773</v>
      </c>
      <c r="C191" s="1572"/>
      <c r="D191" s="1572"/>
      <c r="E191" s="1530"/>
      <c r="F191" s="1531"/>
      <c r="G191" s="514" t="s">
        <v>0</v>
      </c>
    </row>
    <row r="192" spans="1:7" ht="13.5" customHeight="1">
      <c r="A192" s="1532" t="s">
        <v>704</v>
      </c>
      <c r="B192" s="1562" t="s">
        <v>790</v>
      </c>
      <c r="C192" s="1572" t="s">
        <v>750</v>
      </c>
      <c r="D192" s="1572" t="s">
        <v>750</v>
      </c>
      <c r="E192" s="1589"/>
      <c r="F192" s="1590"/>
      <c r="G192" s="514" t="s">
        <v>0</v>
      </c>
    </row>
    <row r="193" spans="1:7" ht="13.5" customHeight="1">
      <c r="A193" s="1532" t="s">
        <v>699</v>
      </c>
      <c r="B193" s="1540" t="s">
        <v>776</v>
      </c>
      <c r="C193" s="1572" t="s">
        <v>750</v>
      </c>
      <c r="D193" s="1572" t="s">
        <v>750</v>
      </c>
      <c r="E193" s="1530"/>
      <c r="F193" s="1531"/>
      <c r="G193" s="514" t="s">
        <v>0</v>
      </c>
    </row>
    <row r="194" spans="1:7" ht="13.5" customHeight="1">
      <c r="A194" s="1561" t="s">
        <v>699</v>
      </c>
      <c r="B194" s="1540" t="s">
        <v>775</v>
      </c>
      <c r="C194" s="1572"/>
      <c r="D194" s="1572"/>
      <c r="E194" s="1603"/>
      <c r="F194" s="1560"/>
      <c r="G194" s="514" t="s">
        <v>0</v>
      </c>
    </row>
    <row r="195" spans="1:7" ht="13.5" customHeight="1">
      <c r="A195" s="1561" t="s">
        <v>699</v>
      </c>
      <c r="B195" s="1602" t="s">
        <v>571</v>
      </c>
      <c r="C195" s="1572" t="s">
        <v>750</v>
      </c>
      <c r="D195" s="1572" t="s">
        <v>750</v>
      </c>
      <c r="E195" s="1603"/>
      <c r="F195" s="1560"/>
      <c r="G195" s="514" t="s">
        <v>0</v>
      </c>
    </row>
    <row r="196" spans="1:7" ht="13.5" customHeight="1">
      <c r="A196" s="1561" t="s">
        <v>699</v>
      </c>
      <c r="B196" s="1602" t="s">
        <v>578</v>
      </c>
      <c r="C196" s="1572" t="s">
        <v>750</v>
      </c>
      <c r="D196" s="1572" t="s">
        <v>750</v>
      </c>
      <c r="E196" s="1603"/>
      <c r="F196" s="1560"/>
      <c r="G196" s="514" t="s">
        <v>0</v>
      </c>
    </row>
    <row r="197" spans="1:7" ht="13.5" customHeight="1">
      <c r="A197" s="1526"/>
      <c r="B197" s="1544" t="s">
        <v>755</v>
      </c>
      <c r="C197" s="1577">
        <v>203000</v>
      </c>
      <c r="D197" s="1577">
        <v>203000</v>
      </c>
      <c r="E197" s="1550">
        <v>0</v>
      </c>
      <c r="F197" s="1604"/>
      <c r="G197" s="514" t="s">
        <v>0</v>
      </c>
    </row>
    <row r="198" spans="1:7" ht="16.5" thickBot="1">
      <c r="A198" s="1605"/>
      <c r="B198" s="1606"/>
      <c r="C198" s="1608"/>
      <c r="D198" s="1607"/>
      <c r="E198" s="1609"/>
      <c r="F198" s="1610"/>
      <c r="G198" s="514" t="s">
        <v>0</v>
      </c>
    </row>
    <row r="199" spans="1:7" ht="15.75">
      <c r="A199" s="1611"/>
      <c r="B199" s="1612"/>
      <c r="C199" s="1613"/>
      <c r="D199" s="1613"/>
      <c r="E199" s="1614"/>
      <c r="F199" s="1615"/>
      <c r="G199" s="514" t="s">
        <v>0</v>
      </c>
    </row>
    <row r="200" spans="1:7" ht="27" customHeight="1">
      <c r="A200" s="2042" t="s">
        <v>791</v>
      </c>
      <c r="B200" s="2042"/>
      <c r="C200" s="2042"/>
      <c r="D200" s="2042"/>
      <c r="E200" s="2042"/>
      <c r="F200" s="1615"/>
      <c r="G200" s="514" t="s">
        <v>0</v>
      </c>
    </row>
    <row r="201" spans="1:7" ht="16.5" customHeight="1">
      <c r="A201" s="2042" t="s">
        <v>792</v>
      </c>
      <c r="B201" s="2042"/>
      <c r="C201" s="2042"/>
      <c r="D201" s="2042"/>
      <c r="E201" s="2042"/>
      <c r="F201" s="1615"/>
      <c r="G201" s="514" t="s">
        <v>0</v>
      </c>
    </row>
    <row r="202" spans="1:7" ht="41.25" customHeight="1">
      <c r="A202" s="2042" t="s">
        <v>796</v>
      </c>
      <c r="B202" s="2042"/>
      <c r="C202" s="2042"/>
      <c r="D202" s="2042"/>
      <c r="E202" s="2042"/>
      <c r="F202" s="1615"/>
      <c r="G202" s="514" t="s">
        <v>0</v>
      </c>
    </row>
    <row r="203" spans="1:7" ht="41.25" customHeight="1">
      <c r="A203" s="2042" t="s">
        <v>797</v>
      </c>
      <c r="B203" s="2042"/>
      <c r="C203" s="2042"/>
      <c r="D203" s="2042"/>
      <c r="E203" s="2042"/>
      <c r="F203" s="1615"/>
      <c r="G203" s="514" t="s">
        <v>0</v>
      </c>
    </row>
    <row r="204" spans="1:7" ht="21" customHeight="1">
      <c r="A204" s="2042" t="s">
        <v>798</v>
      </c>
      <c r="B204" s="2042"/>
      <c r="C204" s="2042"/>
      <c r="D204" s="2042"/>
      <c r="E204" s="2042"/>
      <c r="F204" s="1615"/>
      <c r="G204" s="514" t="s">
        <v>0</v>
      </c>
    </row>
    <row r="205" spans="1:7" ht="16.5" customHeight="1">
      <c r="A205" s="2042" t="s">
        <v>793</v>
      </c>
      <c r="B205" s="2042"/>
      <c r="C205" s="2042"/>
      <c r="D205" s="2042"/>
      <c r="E205" s="2042"/>
      <c r="F205" s="1615"/>
      <c r="G205" s="514" t="s">
        <v>0</v>
      </c>
    </row>
    <row r="206" spans="1:7" ht="16.5" customHeight="1">
      <c r="A206" s="2042" t="s">
        <v>800</v>
      </c>
      <c r="B206" s="2042"/>
      <c r="C206" s="2042"/>
      <c r="D206" s="2042"/>
      <c r="E206" s="2042"/>
      <c r="F206" s="1615"/>
      <c r="G206" s="514" t="s">
        <v>0</v>
      </c>
    </row>
    <row r="207" spans="1:7" ht="15.75" customHeight="1">
      <c r="A207" s="2046" t="s">
        <v>794</v>
      </c>
      <c r="B207" s="2046"/>
      <c r="C207" s="2046"/>
      <c r="D207" s="2046"/>
      <c r="E207" s="2046"/>
      <c r="F207" s="1615"/>
      <c r="G207" s="514" t="s">
        <v>0</v>
      </c>
    </row>
    <row r="208" spans="1:7" ht="21" customHeight="1">
      <c r="A208" s="2046" t="s">
        <v>795</v>
      </c>
      <c r="B208" s="2046"/>
      <c r="C208" s="2046"/>
      <c r="D208" s="2046"/>
      <c r="E208" s="2046"/>
      <c r="F208" s="1616"/>
      <c r="G208" s="514" t="s">
        <v>24</v>
      </c>
    </row>
  </sheetData>
  <mergeCells count="10">
    <mergeCell ref="A207:E207"/>
    <mergeCell ref="A206:E206"/>
    <mergeCell ref="A208:E208"/>
    <mergeCell ref="A202:E202"/>
    <mergeCell ref="A201:E201"/>
    <mergeCell ref="A200:E200"/>
    <mergeCell ref="A203:E203"/>
    <mergeCell ref="A204:E204"/>
    <mergeCell ref="A205:E205"/>
    <mergeCell ref="A168:F168"/>
  </mergeCells>
  <printOptions horizontalCentered="1"/>
  <pageMargins left="0.7" right="0.7" top="0.75" bottom="0.75" header="0.3" footer="0.3"/>
  <pageSetup scale="61" orientation="portrait" r:id="rId1"/>
  <headerFooter>
    <oddHeader>&amp;L&amp;"Times New Roman,Bold"N. Summary of Program Changes&amp;C&amp;"Times New Roman,Regular"Office of Justice Programs
Summary of Program Changes
FYs 2010-2012</oddHeader>
  </headerFooter>
  <rowBreaks count="1" manualBreakCount="1">
    <brk id="139" max="16383" man="1"/>
  </rowBreaks>
  <legacyDrawing r:id="rId2"/>
</worksheet>
</file>

<file path=xl/worksheets/sheet14.xml><?xml version="1.0" encoding="utf-8"?>
<worksheet xmlns="http://schemas.openxmlformats.org/spreadsheetml/2006/main" xmlns:r="http://schemas.openxmlformats.org/officeDocument/2006/relationships">
  <sheetPr>
    <pageSetUpPr fitToPage="1"/>
  </sheetPr>
  <dimension ref="A1:G205"/>
  <sheetViews>
    <sheetView view="pageBreakPreview" zoomScale="80" zoomScaleNormal="100" zoomScaleSheetLayoutView="80" workbookViewId="0"/>
  </sheetViews>
  <sheetFormatPr defaultRowHeight="12.75"/>
  <cols>
    <col min="1" max="1" width="31.77734375" style="513" customWidth="1"/>
    <col min="2" max="2" width="6.77734375" style="513" customWidth="1"/>
    <col min="3" max="3" width="10.6640625" style="513" bestFit="1" customWidth="1"/>
    <col min="4" max="4" width="6.77734375" style="513" customWidth="1"/>
    <col min="5" max="5" width="9" style="513" bestFit="1" customWidth="1"/>
    <col min="6" max="6" width="10.6640625" style="513" bestFit="1" customWidth="1"/>
    <col min="7" max="16384" width="8.88671875" style="513"/>
  </cols>
  <sheetData>
    <row r="1" spans="1:7" ht="15.75">
      <c r="A1" s="542" t="s">
        <v>348</v>
      </c>
      <c r="B1" s="541"/>
      <c r="C1" s="2051"/>
      <c r="D1" s="2051"/>
      <c r="E1" s="2051"/>
      <c r="F1" s="2051"/>
      <c r="G1" s="514" t="s">
        <v>0</v>
      </c>
    </row>
    <row r="2" spans="1:7" ht="20.25">
      <c r="A2" s="2052"/>
      <c r="B2" s="2052"/>
      <c r="C2" s="2052"/>
      <c r="D2" s="2052"/>
      <c r="E2" s="2052"/>
      <c r="F2" s="2052"/>
      <c r="G2" s="514" t="s">
        <v>0</v>
      </c>
    </row>
    <row r="3" spans="1:7">
      <c r="A3" s="2051"/>
      <c r="B3" s="2051"/>
      <c r="C3" s="2051"/>
      <c r="D3" s="2051"/>
      <c r="E3" s="2051"/>
      <c r="F3" s="2051"/>
      <c r="G3" s="514" t="s">
        <v>0</v>
      </c>
    </row>
    <row r="4" spans="1:7" ht="15.75">
      <c r="A4" s="540" t="s">
        <v>349</v>
      </c>
      <c r="B4" s="539"/>
      <c r="C4" s="539"/>
      <c r="D4" s="539"/>
      <c r="E4" s="539"/>
      <c r="F4" s="539"/>
      <c r="G4" s="514" t="s">
        <v>0</v>
      </c>
    </row>
    <row r="5" spans="1:7" ht="15.75">
      <c r="A5" s="2057" t="str">
        <f>'B. Summ of Reqs - S&amp;E '!A5:X5</f>
        <v>Office of Justice Programs</v>
      </c>
      <c r="B5" s="2058"/>
      <c r="C5" s="2058"/>
      <c r="D5" s="2058"/>
      <c r="E5" s="2058"/>
      <c r="F5" s="2058"/>
      <c r="G5" s="514" t="s">
        <v>0</v>
      </c>
    </row>
    <row r="6" spans="1:7" ht="15.75">
      <c r="A6" s="2057" t="str">
        <f>'B. Summ of Reqs - S&amp;E '!A6:X6</f>
        <v>Salaries and Expenses</v>
      </c>
      <c r="B6" s="2058"/>
      <c r="C6" s="2058"/>
      <c r="D6" s="2058"/>
      <c r="E6" s="2058"/>
      <c r="F6" s="2058"/>
      <c r="G6" s="514" t="s">
        <v>0</v>
      </c>
    </row>
    <row r="7" spans="1:7">
      <c r="A7" s="539" t="s">
        <v>257</v>
      </c>
      <c r="B7" s="539"/>
      <c r="C7" s="539"/>
      <c r="D7" s="539"/>
      <c r="E7" s="539"/>
      <c r="F7" s="539"/>
      <c r="G7" s="514" t="s">
        <v>0</v>
      </c>
    </row>
    <row r="8" spans="1:7">
      <c r="A8" s="2051"/>
      <c r="B8" s="2051"/>
      <c r="C8" s="2051"/>
      <c r="D8" s="2051"/>
      <c r="E8" s="2051"/>
      <c r="F8" s="2051"/>
      <c r="G8" s="514" t="s">
        <v>0</v>
      </c>
    </row>
    <row r="9" spans="1:7">
      <c r="A9" s="2056"/>
      <c r="B9" s="2056"/>
      <c r="C9" s="2056"/>
      <c r="D9" s="2056"/>
      <c r="E9" s="2056"/>
      <c r="F9" s="2056"/>
      <c r="G9" s="514" t="s">
        <v>0</v>
      </c>
    </row>
    <row r="10" spans="1:7" ht="50.25" customHeight="1">
      <c r="A10" s="538" t="s">
        <v>12</v>
      </c>
      <c r="B10" s="2053" t="s">
        <v>258</v>
      </c>
      <c r="C10" s="2054"/>
      <c r="D10" s="2054"/>
      <c r="E10" s="2055"/>
      <c r="F10" s="537" t="s">
        <v>50</v>
      </c>
      <c r="G10" s="514" t="s">
        <v>0</v>
      </c>
    </row>
    <row r="11" spans="1:7" ht="14.25">
      <c r="A11" s="536"/>
      <c r="B11" s="535" t="s">
        <v>277</v>
      </c>
      <c r="C11" s="535" t="s">
        <v>10</v>
      </c>
      <c r="D11" s="535" t="s">
        <v>49</v>
      </c>
      <c r="E11" s="534" t="s">
        <v>279</v>
      </c>
      <c r="F11" s="534" t="s">
        <v>280</v>
      </c>
      <c r="G11" s="514" t="s">
        <v>0</v>
      </c>
    </row>
    <row r="12" spans="1:7" ht="15">
      <c r="A12" s="533"/>
      <c r="B12" s="532"/>
      <c r="C12" s="532"/>
      <c r="D12" s="532"/>
      <c r="E12" s="531"/>
      <c r="F12" s="531"/>
      <c r="G12" s="514" t="s">
        <v>0</v>
      </c>
    </row>
    <row r="13" spans="1:7" ht="15">
      <c r="A13" s="529" t="s">
        <v>347</v>
      </c>
      <c r="B13" s="530"/>
      <c r="C13" s="528"/>
      <c r="D13" s="625"/>
      <c r="E13" s="1625">
        <f>-20-14</f>
        <v>-34</v>
      </c>
      <c r="F13" s="1625">
        <f>+E13</f>
        <v>-34</v>
      </c>
      <c r="G13" s="514" t="s">
        <v>0</v>
      </c>
    </row>
    <row r="14" spans="1:7" ht="15" customHeight="1">
      <c r="A14" s="529" t="s">
        <v>384</v>
      </c>
      <c r="B14" s="530"/>
      <c r="C14" s="528"/>
      <c r="D14" s="625"/>
      <c r="E14" s="1625">
        <v>357</v>
      </c>
      <c r="F14" s="1625">
        <f t="shared" ref="F14:F27" si="0">+E14</f>
        <v>357</v>
      </c>
      <c r="G14" s="514" t="s">
        <v>0</v>
      </c>
    </row>
    <row r="15" spans="1:7" ht="15">
      <c r="A15" s="529" t="s">
        <v>346</v>
      </c>
      <c r="B15" s="526"/>
      <c r="C15" s="528"/>
      <c r="D15" s="625"/>
      <c r="E15" s="1625">
        <v>0</v>
      </c>
      <c r="F15" s="1625">
        <f t="shared" si="0"/>
        <v>0</v>
      </c>
      <c r="G15" s="514" t="s">
        <v>0</v>
      </c>
    </row>
    <row r="16" spans="1:7" ht="15">
      <c r="A16" s="529" t="s">
        <v>345</v>
      </c>
      <c r="B16" s="526"/>
      <c r="C16" s="528"/>
      <c r="D16" s="625"/>
      <c r="E16" s="1625">
        <v>0</v>
      </c>
      <c r="F16" s="1625">
        <f t="shared" si="0"/>
        <v>0</v>
      </c>
      <c r="G16" s="514" t="s">
        <v>0</v>
      </c>
    </row>
    <row r="17" spans="1:7" ht="15">
      <c r="A17" s="529" t="s">
        <v>344</v>
      </c>
      <c r="B17" s="526"/>
      <c r="C17" s="528"/>
      <c r="D17" s="625"/>
      <c r="E17" s="1625">
        <v>-55</v>
      </c>
      <c r="F17" s="1625">
        <f t="shared" si="0"/>
        <v>-55</v>
      </c>
      <c r="G17" s="514" t="s">
        <v>0</v>
      </c>
    </row>
    <row r="18" spans="1:7" ht="15">
      <c r="A18" s="529" t="s">
        <v>343</v>
      </c>
      <c r="B18" s="526"/>
      <c r="C18" s="528"/>
      <c r="D18" s="625"/>
      <c r="E18" s="1625">
        <v>87</v>
      </c>
      <c r="F18" s="1625">
        <f t="shared" si="0"/>
        <v>87</v>
      </c>
      <c r="G18" s="514" t="s">
        <v>0</v>
      </c>
    </row>
    <row r="19" spans="1:7" ht="15">
      <c r="A19" s="529" t="s">
        <v>342</v>
      </c>
      <c r="B19" s="526"/>
      <c r="C19" s="528"/>
      <c r="D19" s="625"/>
      <c r="E19" s="1625">
        <v>370</v>
      </c>
      <c r="F19" s="1625">
        <f t="shared" si="0"/>
        <v>370</v>
      </c>
      <c r="G19" s="514" t="s">
        <v>0</v>
      </c>
    </row>
    <row r="20" spans="1:7" ht="15">
      <c r="A20" s="527" t="s">
        <v>341</v>
      </c>
      <c r="B20" s="526"/>
      <c r="C20" s="528"/>
      <c r="D20" s="625"/>
      <c r="E20" s="1625">
        <v>-381</v>
      </c>
      <c r="F20" s="1625">
        <f t="shared" si="0"/>
        <v>-381</v>
      </c>
      <c r="G20" s="514" t="s">
        <v>0</v>
      </c>
    </row>
    <row r="21" spans="1:7" ht="15">
      <c r="A21" s="527" t="s">
        <v>340</v>
      </c>
      <c r="B21" s="526"/>
      <c r="C21" s="528"/>
      <c r="D21" s="625"/>
      <c r="E21" s="1625">
        <v>11447</v>
      </c>
      <c r="F21" s="1625">
        <f t="shared" si="0"/>
        <v>11447</v>
      </c>
      <c r="G21" s="514" t="s">
        <v>0</v>
      </c>
    </row>
    <row r="22" spans="1:7" ht="15">
      <c r="A22" s="527" t="s">
        <v>339</v>
      </c>
      <c r="B22" s="526"/>
      <c r="C22" s="525"/>
      <c r="D22" s="626"/>
      <c r="E22" s="1626">
        <v>-3256</v>
      </c>
      <c r="F22" s="1626">
        <f t="shared" si="0"/>
        <v>-3256</v>
      </c>
      <c r="G22" s="514" t="s">
        <v>0</v>
      </c>
    </row>
    <row r="23" spans="1:7" ht="15">
      <c r="A23" s="527" t="s">
        <v>338</v>
      </c>
      <c r="B23" s="526"/>
      <c r="C23" s="525"/>
      <c r="D23" s="626"/>
      <c r="E23" s="1626">
        <v>0</v>
      </c>
      <c r="F23" s="1626">
        <f t="shared" si="0"/>
        <v>0</v>
      </c>
      <c r="G23" s="514" t="s">
        <v>0</v>
      </c>
    </row>
    <row r="24" spans="1:7" ht="15">
      <c r="A24" s="527" t="s">
        <v>337</v>
      </c>
      <c r="B24" s="526"/>
      <c r="C24" s="525"/>
      <c r="D24" s="626"/>
      <c r="E24" s="1626">
        <v>0</v>
      </c>
      <c r="F24" s="1626">
        <f t="shared" si="0"/>
        <v>0</v>
      </c>
      <c r="G24" s="514" t="s">
        <v>0</v>
      </c>
    </row>
    <row r="25" spans="1:7" ht="15">
      <c r="A25" s="527" t="s">
        <v>336</v>
      </c>
      <c r="B25" s="526"/>
      <c r="C25" s="525"/>
      <c r="D25" s="525"/>
      <c r="E25" s="524">
        <v>0</v>
      </c>
      <c r="F25" s="1627">
        <f t="shared" si="0"/>
        <v>0</v>
      </c>
      <c r="G25" s="514" t="s">
        <v>0</v>
      </c>
    </row>
    <row r="26" spans="1:7" ht="15">
      <c r="A26" s="527" t="s">
        <v>335</v>
      </c>
      <c r="B26" s="526"/>
      <c r="C26" s="525"/>
      <c r="D26" s="525"/>
      <c r="E26" s="524">
        <v>0</v>
      </c>
      <c r="F26" s="1627">
        <f t="shared" si="0"/>
        <v>0</v>
      </c>
      <c r="G26" s="514" t="s">
        <v>0</v>
      </c>
    </row>
    <row r="27" spans="1:7" ht="15">
      <c r="A27" s="523" t="s">
        <v>334</v>
      </c>
      <c r="B27" s="522"/>
      <c r="C27" s="521"/>
      <c r="D27" s="521"/>
      <c r="E27" s="520">
        <v>0</v>
      </c>
      <c r="F27" s="1628">
        <f t="shared" si="0"/>
        <v>0</v>
      </c>
      <c r="G27" s="514" t="s">
        <v>0</v>
      </c>
    </row>
    <row r="28" spans="1:7" ht="14.25">
      <c r="A28" s="519" t="s">
        <v>333</v>
      </c>
      <c r="B28" s="518">
        <f t="shared" ref="B28:F28" si="1">SUM(B13:B27)</f>
        <v>0</v>
      </c>
      <c r="C28" s="517">
        <f t="shared" si="1"/>
        <v>0</v>
      </c>
      <c r="D28" s="517">
        <f t="shared" si="1"/>
        <v>0</v>
      </c>
      <c r="E28" s="517">
        <f t="shared" si="1"/>
        <v>8535</v>
      </c>
      <c r="F28" s="516">
        <f t="shared" si="1"/>
        <v>8535</v>
      </c>
      <c r="G28" s="514" t="s">
        <v>0</v>
      </c>
    </row>
    <row r="29" spans="1:7">
      <c r="A29" s="515"/>
      <c r="B29" s="515"/>
      <c r="C29" s="515"/>
      <c r="D29" s="515"/>
      <c r="E29" s="515"/>
      <c r="F29" s="515"/>
      <c r="G29" s="514" t="s">
        <v>24</v>
      </c>
    </row>
    <row r="31" spans="1:7" ht="15.75">
      <c r="A31" s="2047"/>
      <c r="B31" s="2048"/>
      <c r="C31" s="2048"/>
      <c r="D31" s="2048"/>
      <c r="E31" s="2048"/>
      <c r="F31" s="2048"/>
    </row>
    <row r="32" spans="1:7">
      <c r="A32" s="2049"/>
      <c r="B32" s="2050"/>
      <c r="C32" s="2050"/>
      <c r="D32" s="2050"/>
      <c r="E32" s="2050"/>
      <c r="F32" s="2050"/>
    </row>
    <row r="33" spans="1:6">
      <c r="A33" s="2050"/>
      <c r="B33" s="2050"/>
      <c r="C33" s="2050"/>
      <c r="D33" s="2050"/>
      <c r="E33" s="2050"/>
      <c r="F33" s="2050"/>
    </row>
    <row r="34" spans="1:6">
      <c r="A34" s="2050"/>
      <c r="B34" s="2050"/>
      <c r="C34" s="2050"/>
      <c r="D34" s="2050"/>
      <c r="E34" s="2050"/>
      <c r="F34" s="2050"/>
    </row>
    <row r="35" spans="1:6">
      <c r="A35" s="2050"/>
      <c r="B35" s="2050"/>
      <c r="C35" s="2050"/>
      <c r="D35" s="2050"/>
      <c r="E35" s="2050"/>
      <c r="F35" s="2050"/>
    </row>
    <row r="36" spans="1:6">
      <c r="A36" s="2050"/>
      <c r="B36" s="2050"/>
      <c r="C36" s="2050"/>
      <c r="D36" s="2050"/>
      <c r="E36" s="2050"/>
      <c r="F36" s="2050"/>
    </row>
    <row r="37" spans="1:6">
      <c r="A37" s="2050"/>
      <c r="B37" s="2050"/>
      <c r="C37" s="2050"/>
      <c r="D37" s="2050"/>
      <c r="E37" s="2050"/>
      <c r="F37" s="2050"/>
    </row>
    <row r="38" spans="1:6">
      <c r="A38" s="2050"/>
      <c r="B38" s="2050"/>
      <c r="C38" s="2050"/>
      <c r="D38" s="2050"/>
      <c r="E38" s="2050"/>
      <c r="F38" s="2050"/>
    </row>
    <row r="205" spans="1:1">
      <c r="A205" s="513" t="s">
        <v>332</v>
      </c>
    </row>
  </sheetData>
  <mergeCells count="10">
    <mergeCell ref="A31:F31"/>
    <mergeCell ref="A32:F38"/>
    <mergeCell ref="C1:F1"/>
    <mergeCell ref="A3:F3"/>
    <mergeCell ref="A2:F2"/>
    <mergeCell ref="A8:F8"/>
    <mergeCell ref="B10:E10"/>
    <mergeCell ref="A9:F9"/>
    <mergeCell ref="A5:F5"/>
    <mergeCell ref="A6:F6"/>
  </mergeCells>
  <printOptions horizontalCentered="1"/>
  <pageMargins left="0.5" right="0.4" top="0.5" bottom="0.25" header="0" footer="0"/>
  <pageSetup firstPageNumber="8" fitToHeight="0" orientation="landscape" useFirstPageNumber="1" r:id="rId1"/>
  <headerFooter alignWithMargins="0">
    <oddFooter>&amp;C&amp;"Times New Roman,Regular"Exhibit P – Adjustments to Base by Decision Unit&amp;R&amp;"Times New Roman,Regular"Salaries and Expenses</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Y114"/>
  <sheetViews>
    <sheetView showGridLines="0" showOutlineSymbols="0" view="pageBreakPreview" zoomScale="59" zoomScaleNormal="100" zoomScaleSheetLayoutView="59" workbookViewId="0">
      <selection activeCell="A58" sqref="A58:X58"/>
    </sheetView>
  </sheetViews>
  <sheetFormatPr defaultColWidth="9.6640625" defaultRowHeight="15.75"/>
  <cols>
    <col min="1" max="2" width="2.5546875" style="663" customWidth="1"/>
    <col min="3" max="3" width="57.77734375" style="663" customWidth="1"/>
    <col min="4" max="4" width="6.88671875" style="684" customWidth="1"/>
    <col min="5" max="5" width="6.21875" style="684" customWidth="1"/>
    <col min="6" max="6" width="10.21875" style="684" customWidth="1"/>
    <col min="7" max="7" width="8.44140625" style="684" bestFit="1" customWidth="1"/>
    <col min="8" max="8" width="6.21875" style="684" customWidth="1"/>
    <col min="9" max="9" width="9.77734375" style="684" customWidth="1"/>
    <col min="10" max="10" width="6.21875" style="684" bestFit="1" customWidth="1"/>
    <col min="11" max="11" width="5.6640625" style="684" customWidth="1"/>
    <col min="12" max="12" width="10.6640625" style="684" bestFit="1" customWidth="1"/>
    <col min="13" max="13" width="7" style="684" bestFit="1" customWidth="1"/>
    <col min="14" max="14" width="6.109375" style="684" customWidth="1"/>
    <col min="15" max="15" width="9.77734375" style="684" customWidth="1"/>
    <col min="16" max="17" width="5.6640625" style="684" customWidth="1"/>
    <col min="18" max="18" width="10.5546875" style="684" customWidth="1"/>
    <col min="19" max="19" width="6.109375" style="684" customWidth="1"/>
    <col min="20" max="20" width="5.6640625" style="684" customWidth="1"/>
    <col min="21" max="21" width="10.33203125" style="684" customWidth="1"/>
    <col min="22" max="22" width="9.5546875" style="684" customWidth="1"/>
    <col min="23" max="23" width="9.77734375" style="684" bestFit="1" customWidth="1"/>
    <col min="24" max="24" width="13.21875" style="684" bestFit="1" customWidth="1"/>
    <col min="25" max="25" width="6.5546875" style="745" customWidth="1"/>
    <col min="26" max="26" width="6.5546875" style="663" customWidth="1"/>
    <col min="27" max="27" width="7.6640625" style="663" customWidth="1"/>
    <col min="28" max="16384" width="9.6640625" style="663"/>
  </cols>
  <sheetData>
    <row r="1" spans="1:25" ht="20.25">
      <c r="A1" s="2061" t="s">
        <v>34</v>
      </c>
      <c r="B1" s="2062"/>
      <c r="C1" s="2062"/>
      <c r="D1" s="2062"/>
      <c r="E1" s="2062"/>
      <c r="F1" s="2062"/>
      <c r="G1" s="2062"/>
      <c r="H1" s="2062"/>
      <c r="I1" s="2062"/>
      <c r="J1" s="2062"/>
      <c r="K1" s="2062"/>
      <c r="L1" s="2062"/>
      <c r="M1" s="2062"/>
      <c r="N1" s="2062"/>
      <c r="O1" s="2062"/>
      <c r="P1" s="2062"/>
      <c r="Q1" s="2062"/>
      <c r="R1" s="2062"/>
      <c r="S1" s="2062"/>
      <c r="T1" s="2062"/>
      <c r="U1" s="2062"/>
      <c r="V1" s="2062"/>
      <c r="W1" s="2062"/>
      <c r="X1" s="2062"/>
      <c r="Y1" s="662" t="s">
        <v>0</v>
      </c>
    </row>
    <row r="2" spans="1:25">
      <c r="A2" s="2063"/>
      <c r="B2" s="2063"/>
      <c r="C2" s="2063"/>
      <c r="D2" s="2063"/>
      <c r="E2" s="2063"/>
      <c r="F2" s="2063"/>
      <c r="G2" s="2063"/>
      <c r="H2" s="2063"/>
      <c r="I2" s="2063"/>
      <c r="J2" s="2063"/>
      <c r="K2" s="2063"/>
      <c r="L2" s="2063"/>
      <c r="M2" s="2063"/>
      <c r="N2" s="2063"/>
      <c r="O2" s="2063"/>
      <c r="P2" s="2063"/>
      <c r="Q2" s="2063"/>
      <c r="R2" s="2063"/>
      <c r="S2" s="2063"/>
      <c r="T2" s="2063"/>
      <c r="U2" s="2063"/>
      <c r="V2" s="2063"/>
      <c r="W2" s="2063"/>
      <c r="X2" s="2063"/>
      <c r="Y2" s="662" t="s">
        <v>0</v>
      </c>
    </row>
    <row r="3" spans="1:25">
      <c r="A3" s="2064"/>
      <c r="B3" s="2064"/>
      <c r="C3" s="2064"/>
      <c r="D3" s="2064"/>
      <c r="E3" s="2064"/>
      <c r="F3" s="2064"/>
      <c r="G3" s="2064"/>
      <c r="H3" s="2064"/>
      <c r="I3" s="2064"/>
      <c r="J3" s="2064"/>
      <c r="K3" s="2064"/>
      <c r="L3" s="2064"/>
      <c r="M3" s="2064"/>
      <c r="N3" s="2064"/>
      <c r="O3" s="2064"/>
      <c r="P3" s="2064"/>
      <c r="Q3" s="2064"/>
      <c r="R3" s="2064"/>
      <c r="S3" s="2064"/>
      <c r="T3" s="2064"/>
      <c r="U3" s="2064"/>
      <c r="V3" s="2064"/>
      <c r="W3" s="2064"/>
      <c r="X3" s="2064"/>
      <c r="Y3" s="662" t="s">
        <v>0</v>
      </c>
    </row>
    <row r="4" spans="1:25" ht="22.5">
      <c r="A4" s="2065" t="s">
        <v>267</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662" t="s">
        <v>0</v>
      </c>
    </row>
    <row r="5" spans="1:25" ht="23.25">
      <c r="A5" s="2059" t="s">
        <v>362</v>
      </c>
      <c r="B5" s="2066"/>
      <c r="C5" s="2066"/>
      <c r="D5" s="2066"/>
      <c r="E5" s="2066"/>
      <c r="F5" s="2066"/>
      <c r="G5" s="2066"/>
      <c r="H5" s="2066"/>
      <c r="I5" s="2066"/>
      <c r="J5" s="2066"/>
      <c r="K5" s="2066"/>
      <c r="L5" s="2066"/>
      <c r="M5" s="2066"/>
      <c r="N5" s="2066"/>
      <c r="O5" s="2066"/>
      <c r="P5" s="2066"/>
      <c r="Q5" s="2066"/>
      <c r="R5" s="2066"/>
      <c r="S5" s="2066"/>
      <c r="T5" s="2066"/>
      <c r="U5" s="2066"/>
      <c r="V5" s="2066"/>
      <c r="W5" s="2066"/>
      <c r="X5" s="2066"/>
      <c r="Y5" s="662" t="s">
        <v>0</v>
      </c>
    </row>
    <row r="6" spans="1:25" ht="23.25">
      <c r="A6" s="2059" t="s">
        <v>411</v>
      </c>
      <c r="B6" s="2060"/>
      <c r="C6" s="2060"/>
      <c r="D6" s="2060"/>
      <c r="E6" s="2060"/>
      <c r="F6" s="2060"/>
      <c r="G6" s="2060"/>
      <c r="H6" s="2060"/>
      <c r="I6" s="2060"/>
      <c r="J6" s="2060"/>
      <c r="K6" s="2060"/>
      <c r="L6" s="2060"/>
      <c r="M6" s="2060"/>
      <c r="N6" s="2060"/>
      <c r="O6" s="2060"/>
      <c r="P6" s="2060"/>
      <c r="Q6" s="2060"/>
      <c r="R6" s="2060"/>
      <c r="S6" s="2060"/>
      <c r="T6" s="2060"/>
      <c r="U6" s="2060"/>
      <c r="V6" s="2060"/>
      <c r="W6" s="2060"/>
      <c r="X6" s="2060"/>
      <c r="Y6" s="662" t="s">
        <v>0</v>
      </c>
    </row>
    <row r="7" spans="1:25" ht="23.25">
      <c r="A7" s="2059" t="s">
        <v>257</v>
      </c>
      <c r="B7" s="2066"/>
      <c r="C7" s="2066"/>
      <c r="D7" s="2066"/>
      <c r="E7" s="2066"/>
      <c r="F7" s="2066"/>
      <c r="G7" s="2066"/>
      <c r="H7" s="2066"/>
      <c r="I7" s="2066"/>
      <c r="J7" s="2066"/>
      <c r="K7" s="2066"/>
      <c r="L7" s="2066"/>
      <c r="M7" s="2066"/>
      <c r="N7" s="2066"/>
      <c r="O7" s="2066"/>
      <c r="P7" s="2066"/>
      <c r="Q7" s="2066"/>
      <c r="R7" s="2066"/>
      <c r="S7" s="2066"/>
      <c r="T7" s="2066"/>
      <c r="U7" s="2066"/>
      <c r="V7" s="2066"/>
      <c r="W7" s="2066"/>
      <c r="X7" s="2066"/>
      <c r="Y7" s="662" t="s">
        <v>0</v>
      </c>
    </row>
    <row r="8" spans="1:25" ht="23.25">
      <c r="A8" s="2067"/>
      <c r="B8" s="2067"/>
      <c r="C8" s="2067"/>
      <c r="D8" s="2067"/>
      <c r="E8" s="2067"/>
      <c r="F8" s="2067"/>
      <c r="G8" s="2067"/>
      <c r="H8" s="2067"/>
      <c r="I8" s="2067"/>
      <c r="J8" s="2067"/>
      <c r="K8" s="2067"/>
      <c r="L8" s="2067"/>
      <c r="M8" s="2067"/>
      <c r="N8" s="2067"/>
      <c r="O8" s="2067"/>
      <c r="P8" s="2067"/>
      <c r="Q8" s="2067"/>
      <c r="R8" s="2067"/>
      <c r="S8" s="2067"/>
      <c r="T8" s="2067"/>
      <c r="U8" s="2067"/>
      <c r="V8" s="2067"/>
      <c r="W8" s="2067"/>
      <c r="X8" s="2067"/>
      <c r="Y8" s="662" t="s">
        <v>0</v>
      </c>
    </row>
    <row r="9" spans="1:25" ht="23.25">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662" t="s">
        <v>0</v>
      </c>
    </row>
    <row r="10" spans="1:25" ht="23.25">
      <c r="A10" s="2067"/>
      <c r="B10" s="2067"/>
      <c r="C10" s="2067"/>
      <c r="D10" s="2067"/>
      <c r="E10" s="2067"/>
      <c r="F10" s="2067"/>
      <c r="G10" s="2067"/>
      <c r="H10" s="2067"/>
      <c r="I10" s="2067"/>
      <c r="J10" s="2067"/>
      <c r="K10" s="2067"/>
      <c r="L10" s="2067"/>
      <c r="M10" s="2067"/>
      <c r="N10" s="2067"/>
      <c r="O10" s="2067"/>
      <c r="P10" s="2067"/>
      <c r="Q10" s="2067"/>
      <c r="R10" s="2067"/>
      <c r="S10" s="2067"/>
      <c r="T10" s="2067"/>
      <c r="U10" s="2067"/>
      <c r="V10" s="2067"/>
      <c r="W10" s="2067"/>
      <c r="X10" s="2067"/>
      <c r="Y10" s="662" t="s">
        <v>0</v>
      </c>
    </row>
    <row r="11" spans="1:25">
      <c r="A11" s="2064"/>
      <c r="B11" s="2064"/>
      <c r="C11" s="2064"/>
      <c r="D11" s="2064"/>
      <c r="E11" s="2064"/>
      <c r="F11" s="2064"/>
      <c r="G11" s="2064"/>
      <c r="H11" s="2064"/>
      <c r="I11" s="2064"/>
      <c r="J11" s="2064"/>
      <c r="K11" s="2064"/>
      <c r="L11" s="2064"/>
      <c r="M11" s="2064"/>
      <c r="N11" s="2064"/>
      <c r="O11" s="2064"/>
      <c r="P11" s="2064"/>
      <c r="Q11" s="2064"/>
      <c r="R11" s="2064"/>
      <c r="S11" s="2064"/>
      <c r="T11" s="2064"/>
      <c r="U11" s="2068"/>
      <c r="V11" s="2071" t="s">
        <v>40</v>
      </c>
      <c r="W11" s="2072"/>
      <c r="X11" s="2073"/>
      <c r="Y11" s="662" t="s">
        <v>0</v>
      </c>
    </row>
    <row r="12" spans="1:25">
      <c r="A12" s="2064"/>
      <c r="B12" s="2064"/>
      <c r="C12" s="2064"/>
      <c r="D12" s="2064"/>
      <c r="E12" s="2064"/>
      <c r="F12" s="2064"/>
      <c r="G12" s="2064"/>
      <c r="H12" s="2064"/>
      <c r="I12" s="2064"/>
      <c r="J12" s="2064"/>
      <c r="K12" s="2064"/>
      <c r="L12" s="2064"/>
      <c r="M12" s="2064"/>
      <c r="N12" s="2064"/>
      <c r="O12" s="2064"/>
      <c r="P12" s="2064"/>
      <c r="Q12" s="2064"/>
      <c r="R12" s="2064"/>
      <c r="S12" s="2064"/>
      <c r="T12" s="2064"/>
      <c r="U12" s="2068"/>
      <c r="V12" s="2074" t="s">
        <v>21</v>
      </c>
      <c r="W12" s="2076" t="s">
        <v>49</v>
      </c>
      <c r="X12" s="2078" t="s">
        <v>279</v>
      </c>
      <c r="Y12" s="662" t="s">
        <v>0</v>
      </c>
    </row>
    <row r="13" spans="1:25" ht="16.5" thickBot="1">
      <c r="A13" s="2069"/>
      <c r="B13" s="2069"/>
      <c r="C13" s="2069"/>
      <c r="D13" s="2069"/>
      <c r="E13" s="2069"/>
      <c r="F13" s="2069"/>
      <c r="G13" s="2069"/>
      <c r="H13" s="2069"/>
      <c r="I13" s="2069"/>
      <c r="J13" s="2069"/>
      <c r="K13" s="2069"/>
      <c r="L13" s="2069"/>
      <c r="M13" s="2069"/>
      <c r="N13" s="2069"/>
      <c r="O13" s="2069"/>
      <c r="P13" s="2069"/>
      <c r="Q13" s="2069"/>
      <c r="R13" s="2069"/>
      <c r="S13" s="2069"/>
      <c r="T13" s="2069"/>
      <c r="U13" s="2070"/>
      <c r="V13" s="2075"/>
      <c r="W13" s="2077"/>
      <c r="X13" s="2077"/>
      <c r="Y13" s="662" t="s">
        <v>0</v>
      </c>
    </row>
    <row r="14" spans="1:25">
      <c r="A14" s="2081" t="s">
        <v>116</v>
      </c>
      <c r="B14" s="2082"/>
      <c r="C14" s="2082"/>
      <c r="D14" s="2082"/>
      <c r="E14" s="2082"/>
      <c r="F14" s="2082"/>
      <c r="G14" s="2082"/>
      <c r="H14" s="2082"/>
      <c r="I14" s="2082"/>
      <c r="J14" s="2082"/>
      <c r="K14" s="2082"/>
      <c r="L14" s="2082"/>
      <c r="M14" s="2082"/>
      <c r="N14" s="2082"/>
      <c r="O14" s="2082"/>
      <c r="P14" s="2082"/>
      <c r="Q14" s="2082"/>
      <c r="R14" s="2082"/>
      <c r="S14" s="2082"/>
      <c r="T14" s="2082"/>
      <c r="U14" s="2082"/>
      <c r="V14" s="664"/>
      <c r="W14" s="664"/>
      <c r="X14" s="665">
        <v>231737</v>
      </c>
      <c r="Y14" s="662" t="s">
        <v>0</v>
      </c>
    </row>
    <row r="15" spans="1:25" ht="20.25" customHeight="1">
      <c r="A15" s="2083" t="s">
        <v>242</v>
      </c>
      <c r="B15" s="2084"/>
      <c r="C15" s="2084"/>
      <c r="D15" s="2084"/>
      <c r="E15" s="2084"/>
      <c r="F15" s="2084"/>
      <c r="G15" s="2084"/>
      <c r="H15" s="2084"/>
      <c r="I15" s="2084"/>
      <c r="J15" s="2084"/>
      <c r="K15" s="2084"/>
      <c r="L15" s="2084"/>
      <c r="M15" s="2084"/>
      <c r="N15" s="2084"/>
      <c r="O15" s="2084"/>
      <c r="P15" s="2084"/>
      <c r="Q15" s="2084"/>
      <c r="R15" s="2084"/>
      <c r="S15" s="2084"/>
      <c r="T15" s="2084"/>
      <c r="U15" s="2084"/>
      <c r="V15" s="666"/>
      <c r="W15" s="666"/>
      <c r="X15" s="667">
        <v>0</v>
      </c>
      <c r="Y15" s="662" t="s">
        <v>0</v>
      </c>
    </row>
    <row r="16" spans="1:25" ht="20.25" customHeight="1">
      <c r="A16" s="2085" t="s">
        <v>412</v>
      </c>
      <c r="B16" s="2086"/>
      <c r="C16" s="2086"/>
      <c r="D16" s="2086"/>
      <c r="E16" s="2086"/>
      <c r="F16" s="2086"/>
      <c r="G16" s="2086"/>
      <c r="H16" s="2086"/>
      <c r="I16" s="2086"/>
      <c r="J16" s="2086"/>
      <c r="K16" s="2086"/>
      <c r="L16" s="2086"/>
      <c r="M16" s="2086"/>
      <c r="N16" s="2086"/>
      <c r="O16" s="2086"/>
      <c r="P16" s="2086"/>
      <c r="Q16" s="2086"/>
      <c r="R16" s="2086"/>
      <c r="S16" s="2086"/>
      <c r="T16" s="2086"/>
      <c r="U16" s="2086"/>
      <c r="V16" s="668"/>
      <c r="W16" s="668"/>
      <c r="X16" s="669">
        <v>-4858</v>
      </c>
      <c r="Y16" s="662" t="s">
        <v>0</v>
      </c>
    </row>
    <row r="17" spans="1:25">
      <c r="A17" s="2087" t="s">
        <v>117</v>
      </c>
      <c r="B17" s="2088"/>
      <c r="C17" s="2088"/>
      <c r="D17" s="2088"/>
      <c r="E17" s="2088"/>
      <c r="F17" s="2088"/>
      <c r="G17" s="2088"/>
      <c r="H17" s="2088"/>
      <c r="I17" s="2088"/>
      <c r="J17" s="2088"/>
      <c r="K17" s="2088"/>
      <c r="L17" s="2088"/>
      <c r="M17" s="2088"/>
      <c r="N17" s="2088"/>
      <c r="O17" s="2088"/>
      <c r="P17" s="2088"/>
      <c r="Q17" s="2088"/>
      <c r="R17" s="2088"/>
      <c r="S17" s="2088"/>
      <c r="T17" s="2088"/>
      <c r="U17" s="2088"/>
      <c r="V17" s="668"/>
      <c r="W17" s="668"/>
      <c r="X17" s="669">
        <f>+X15+X14+X16</f>
        <v>226879</v>
      </c>
      <c r="Y17" s="662" t="s">
        <v>0</v>
      </c>
    </row>
    <row r="18" spans="1:25">
      <c r="A18" s="2081" t="s">
        <v>353</v>
      </c>
      <c r="B18" s="2082"/>
      <c r="C18" s="2082"/>
      <c r="D18" s="2082"/>
      <c r="E18" s="2082"/>
      <c r="F18" s="2082"/>
      <c r="G18" s="2082"/>
      <c r="H18" s="2082"/>
      <c r="I18" s="2082"/>
      <c r="J18" s="2082"/>
      <c r="K18" s="2082"/>
      <c r="L18" s="2082"/>
      <c r="M18" s="2082"/>
      <c r="N18" s="2082"/>
      <c r="O18" s="2082"/>
      <c r="P18" s="2082"/>
      <c r="Q18" s="2082"/>
      <c r="R18" s="2082"/>
      <c r="S18" s="2082"/>
      <c r="T18" s="2082"/>
      <c r="U18" s="2082"/>
      <c r="V18" s="670"/>
      <c r="W18" s="670"/>
      <c r="X18" s="671">
        <v>231000</v>
      </c>
      <c r="Y18" s="662" t="s">
        <v>0</v>
      </c>
    </row>
    <row r="19" spans="1:25" ht="18.75" customHeight="1">
      <c r="A19" s="2089" t="s">
        <v>41</v>
      </c>
      <c r="B19" s="2090"/>
      <c r="C19" s="2090"/>
      <c r="D19" s="2090"/>
      <c r="E19" s="2090"/>
      <c r="F19" s="2090"/>
      <c r="G19" s="2090"/>
      <c r="H19" s="2090"/>
      <c r="I19" s="2090"/>
      <c r="J19" s="2090"/>
      <c r="K19" s="2090"/>
      <c r="L19" s="2090"/>
      <c r="M19" s="2090"/>
      <c r="N19" s="2090"/>
      <c r="O19" s="2090"/>
      <c r="P19" s="2090"/>
      <c r="Q19" s="2090"/>
      <c r="R19" s="2090"/>
      <c r="S19" s="2090"/>
      <c r="T19" s="2090"/>
      <c r="U19" s="2090"/>
      <c r="V19" s="672"/>
      <c r="W19" s="672"/>
      <c r="X19" s="673"/>
      <c r="Y19" s="662" t="s">
        <v>0</v>
      </c>
    </row>
    <row r="20" spans="1:25">
      <c r="A20" s="2091" t="s">
        <v>354</v>
      </c>
      <c r="B20" s="2092"/>
      <c r="C20" s="2092"/>
      <c r="D20" s="2092"/>
      <c r="E20" s="2092"/>
      <c r="F20" s="2092"/>
      <c r="G20" s="2092"/>
      <c r="H20" s="2092"/>
      <c r="I20" s="2092"/>
      <c r="J20" s="2092"/>
      <c r="K20" s="2092"/>
      <c r="L20" s="2092"/>
      <c r="M20" s="2092"/>
      <c r="N20" s="2092"/>
      <c r="O20" s="2092"/>
      <c r="P20" s="2092"/>
      <c r="Q20" s="2092"/>
      <c r="R20" s="2092"/>
      <c r="S20" s="2092"/>
      <c r="T20" s="2092"/>
      <c r="U20" s="2092"/>
      <c r="V20" s="674"/>
      <c r="W20" s="674"/>
      <c r="X20" s="675">
        <f>+X19+X18</f>
        <v>231000</v>
      </c>
      <c r="Y20" s="662" t="s">
        <v>0</v>
      </c>
    </row>
    <row r="21" spans="1:25">
      <c r="A21" s="2093" t="s">
        <v>104</v>
      </c>
      <c r="B21" s="2094"/>
      <c r="C21" s="2094"/>
      <c r="D21" s="2094"/>
      <c r="E21" s="2094"/>
      <c r="F21" s="2094"/>
      <c r="G21" s="2094"/>
      <c r="H21" s="2094"/>
      <c r="I21" s="2094"/>
      <c r="J21" s="2094"/>
      <c r="K21" s="2094"/>
      <c r="L21" s="2094"/>
      <c r="M21" s="2094"/>
      <c r="N21" s="2094"/>
      <c r="O21" s="2094"/>
      <c r="P21" s="2094"/>
      <c r="Q21" s="2094"/>
      <c r="R21" s="2094"/>
      <c r="S21" s="2094"/>
      <c r="T21" s="2094"/>
      <c r="U21" s="2095"/>
      <c r="V21" s="676"/>
      <c r="W21" s="676"/>
      <c r="X21" s="667"/>
      <c r="Y21" s="662" t="s">
        <v>0</v>
      </c>
    </row>
    <row r="22" spans="1:25">
      <c r="A22" s="2096" t="s">
        <v>413</v>
      </c>
      <c r="B22" s="2097"/>
      <c r="C22" s="2097"/>
      <c r="D22" s="2097"/>
      <c r="E22" s="2097"/>
      <c r="F22" s="2097"/>
      <c r="G22" s="2097"/>
      <c r="H22" s="2097"/>
      <c r="I22" s="2097"/>
      <c r="J22" s="2097"/>
      <c r="K22" s="2097"/>
      <c r="L22" s="2097"/>
      <c r="M22" s="2097"/>
      <c r="N22" s="2097"/>
      <c r="O22" s="2097"/>
      <c r="P22" s="2097"/>
      <c r="Q22" s="2097"/>
      <c r="R22" s="2097"/>
      <c r="S22" s="2097"/>
      <c r="T22" s="2097"/>
      <c r="U22" s="2097"/>
      <c r="V22" s="676"/>
      <c r="W22" s="676"/>
      <c r="X22" s="667">
        <v>4000</v>
      </c>
      <c r="Y22" s="662" t="s">
        <v>0</v>
      </c>
    </row>
    <row r="23" spans="1:25">
      <c r="A23" s="2096" t="s">
        <v>809</v>
      </c>
      <c r="B23" s="2097"/>
      <c r="C23" s="2097"/>
      <c r="D23" s="2097"/>
      <c r="E23" s="2097"/>
      <c r="F23" s="2097"/>
      <c r="G23" s="2097"/>
      <c r="H23" s="2097"/>
      <c r="I23" s="2097"/>
      <c r="J23" s="2097"/>
      <c r="K23" s="2097"/>
      <c r="L23" s="2097"/>
      <c r="M23" s="2097"/>
      <c r="N23" s="2097"/>
      <c r="O23" s="2097"/>
      <c r="P23" s="2097"/>
      <c r="Q23" s="2097"/>
      <c r="R23" s="2097"/>
      <c r="S23" s="2097"/>
      <c r="T23" s="2097"/>
      <c r="U23" s="2097"/>
      <c r="V23" s="676"/>
      <c r="W23" s="676"/>
      <c r="X23" s="667">
        <v>-45000</v>
      </c>
      <c r="Y23" s="662" t="s">
        <v>0</v>
      </c>
    </row>
    <row r="24" spans="1:25">
      <c r="A24" s="2098" t="s">
        <v>38</v>
      </c>
      <c r="B24" s="2099"/>
      <c r="C24" s="2099"/>
      <c r="D24" s="2099"/>
      <c r="E24" s="2099"/>
      <c r="F24" s="2099"/>
      <c r="G24" s="2099"/>
      <c r="H24" s="2099"/>
      <c r="I24" s="2099"/>
      <c r="J24" s="2099"/>
      <c r="K24" s="2099"/>
      <c r="L24" s="2099"/>
      <c r="M24" s="2099"/>
      <c r="N24" s="2099"/>
      <c r="O24" s="2099"/>
      <c r="P24" s="2099"/>
      <c r="Q24" s="2099"/>
      <c r="R24" s="2099"/>
      <c r="S24" s="2099"/>
      <c r="T24" s="2099"/>
      <c r="U24" s="2099"/>
      <c r="V24" s="676"/>
      <c r="W24" s="676"/>
      <c r="X24" s="667">
        <f>SUM(X22:X23)</f>
        <v>-41000</v>
      </c>
      <c r="Y24" s="662" t="s">
        <v>0</v>
      </c>
    </row>
    <row r="25" spans="1:25">
      <c r="A25" s="2100" t="s">
        <v>244</v>
      </c>
      <c r="B25" s="2101"/>
      <c r="C25" s="2101"/>
      <c r="D25" s="2101"/>
      <c r="E25" s="2101"/>
      <c r="F25" s="2101"/>
      <c r="G25" s="2101"/>
      <c r="H25" s="2101"/>
      <c r="I25" s="2101"/>
      <c r="J25" s="2101"/>
      <c r="K25" s="2101"/>
      <c r="L25" s="2101"/>
      <c r="M25" s="2101"/>
      <c r="N25" s="2101"/>
      <c r="O25" s="2101"/>
      <c r="P25" s="2101"/>
      <c r="Q25" s="2101"/>
      <c r="R25" s="2101"/>
      <c r="S25" s="2101"/>
      <c r="T25" s="2101"/>
      <c r="U25" s="2102"/>
      <c r="V25" s="677"/>
      <c r="W25" s="677"/>
      <c r="X25" s="677">
        <f>+X20+X24</f>
        <v>190000</v>
      </c>
      <c r="Y25" s="662" t="s">
        <v>0</v>
      </c>
    </row>
    <row r="26" spans="1:25">
      <c r="A26" s="2079" t="s">
        <v>105</v>
      </c>
      <c r="B26" s="2080"/>
      <c r="C26" s="2080"/>
      <c r="D26" s="2080"/>
      <c r="E26" s="2080"/>
      <c r="F26" s="2080"/>
      <c r="G26" s="2080"/>
      <c r="H26" s="2080"/>
      <c r="I26" s="2080"/>
      <c r="J26" s="2080"/>
      <c r="K26" s="2080"/>
      <c r="L26" s="2080"/>
      <c r="M26" s="2080"/>
      <c r="N26" s="2080"/>
      <c r="O26" s="2080"/>
      <c r="P26" s="2080"/>
      <c r="Q26" s="2080"/>
      <c r="R26" s="2080"/>
      <c r="S26" s="2080"/>
      <c r="T26" s="2080"/>
      <c r="U26" s="2080"/>
      <c r="V26" s="676"/>
      <c r="W26" s="676"/>
      <c r="X26" s="667"/>
      <c r="Y26" s="662" t="s">
        <v>0</v>
      </c>
    </row>
    <row r="27" spans="1:25">
      <c r="A27" s="2096" t="s">
        <v>414</v>
      </c>
      <c r="B27" s="2097"/>
      <c r="C27" s="2097"/>
      <c r="D27" s="2097"/>
      <c r="E27" s="2097"/>
      <c r="F27" s="2097"/>
      <c r="G27" s="2097"/>
      <c r="H27" s="2097"/>
      <c r="I27" s="2097"/>
      <c r="J27" s="2097"/>
      <c r="K27" s="2097"/>
      <c r="L27" s="2097"/>
      <c r="M27" s="2097"/>
      <c r="N27" s="2097"/>
      <c r="O27" s="2097"/>
      <c r="P27" s="2097"/>
      <c r="Q27" s="2097"/>
      <c r="R27" s="2097"/>
      <c r="S27" s="2097"/>
      <c r="T27" s="2097"/>
      <c r="U27" s="2097"/>
      <c r="V27" s="676" t="s">
        <v>278</v>
      </c>
      <c r="W27" s="676"/>
      <c r="X27" s="667"/>
      <c r="Y27" s="662" t="s">
        <v>0</v>
      </c>
    </row>
    <row r="28" spans="1:25">
      <c r="A28" s="2105" t="s">
        <v>415</v>
      </c>
      <c r="B28" s="2106"/>
      <c r="C28" s="2106"/>
      <c r="D28" s="2106"/>
      <c r="E28" s="2106"/>
      <c r="F28" s="2106"/>
      <c r="G28" s="2106"/>
      <c r="H28" s="2106"/>
      <c r="I28" s="2106"/>
      <c r="J28" s="2106"/>
      <c r="K28" s="2106"/>
      <c r="L28" s="2106"/>
      <c r="M28" s="2106"/>
      <c r="N28" s="2106"/>
      <c r="O28" s="2106"/>
      <c r="P28" s="2106"/>
      <c r="Q28" s="2106"/>
      <c r="R28" s="2106"/>
      <c r="S28" s="2106"/>
      <c r="T28" s="2106"/>
      <c r="U28" s="2107"/>
      <c r="V28" s="676"/>
      <c r="W28" s="676"/>
      <c r="X28" s="667"/>
      <c r="Y28" s="662" t="s">
        <v>0</v>
      </c>
    </row>
    <row r="29" spans="1:25">
      <c r="A29" s="2105" t="s">
        <v>416</v>
      </c>
      <c r="B29" s="2106"/>
      <c r="C29" s="2106"/>
      <c r="D29" s="2106"/>
      <c r="E29" s="2106"/>
      <c r="F29" s="2106"/>
      <c r="G29" s="2106"/>
      <c r="H29" s="2106"/>
      <c r="I29" s="2106"/>
      <c r="J29" s="2106"/>
      <c r="K29" s="2106"/>
      <c r="L29" s="2106"/>
      <c r="M29" s="2106"/>
      <c r="N29" s="2106"/>
      <c r="O29" s="2106"/>
      <c r="P29" s="2106"/>
      <c r="Q29" s="2106"/>
      <c r="R29" s="2106"/>
      <c r="S29" s="2106"/>
      <c r="T29" s="2106"/>
      <c r="U29" s="2107"/>
      <c r="V29" s="676"/>
      <c r="W29" s="676"/>
      <c r="X29" s="678" t="s">
        <v>417</v>
      </c>
      <c r="Y29" s="662" t="s">
        <v>0</v>
      </c>
    </row>
    <row r="30" spans="1:25">
      <c r="A30" s="2105" t="s">
        <v>418</v>
      </c>
      <c r="B30" s="2106"/>
      <c r="C30" s="2106"/>
      <c r="D30" s="2106"/>
      <c r="E30" s="2106"/>
      <c r="F30" s="2106"/>
      <c r="G30" s="2106"/>
      <c r="H30" s="2106"/>
      <c r="I30" s="2106"/>
      <c r="J30" s="2106"/>
      <c r="K30" s="2106"/>
      <c r="L30" s="2106"/>
      <c r="M30" s="2106"/>
      <c r="N30" s="2106"/>
      <c r="O30" s="2106"/>
      <c r="P30" s="2106"/>
      <c r="Q30" s="2106"/>
      <c r="R30" s="2106"/>
      <c r="S30" s="2106"/>
      <c r="T30" s="2106"/>
      <c r="U30" s="2107"/>
      <c r="V30" s="676"/>
      <c r="W30" s="676"/>
      <c r="X30" s="667">
        <v>7000</v>
      </c>
      <c r="Y30" s="662" t="s">
        <v>0</v>
      </c>
    </row>
    <row r="31" spans="1:25">
      <c r="A31" s="2105" t="s">
        <v>419</v>
      </c>
      <c r="B31" s="2106"/>
      <c r="C31" s="2106"/>
      <c r="D31" s="2106"/>
      <c r="E31" s="2106"/>
      <c r="F31" s="2106"/>
      <c r="G31" s="2106"/>
      <c r="H31" s="2106"/>
      <c r="I31" s="2106"/>
      <c r="J31" s="2106"/>
      <c r="K31" s="2106"/>
      <c r="L31" s="2106"/>
      <c r="M31" s="2106"/>
      <c r="N31" s="2106"/>
      <c r="O31" s="2106"/>
      <c r="P31" s="2106"/>
      <c r="Q31" s="2106"/>
      <c r="R31" s="2106"/>
      <c r="S31" s="2106"/>
      <c r="T31" s="2106"/>
      <c r="U31" s="2107"/>
      <c r="V31" s="676"/>
      <c r="W31" s="676"/>
      <c r="X31" s="678" t="s">
        <v>420</v>
      </c>
      <c r="Y31" s="662" t="s">
        <v>0</v>
      </c>
    </row>
    <row r="32" spans="1:25">
      <c r="A32" s="2105" t="s">
        <v>421</v>
      </c>
      <c r="B32" s="2106"/>
      <c r="C32" s="2106"/>
      <c r="D32" s="2106"/>
      <c r="E32" s="2106"/>
      <c r="F32" s="2106"/>
      <c r="G32" s="2106"/>
      <c r="H32" s="2106"/>
      <c r="I32" s="2106"/>
      <c r="J32" s="2106"/>
      <c r="K32" s="2106"/>
      <c r="L32" s="2106"/>
      <c r="M32" s="2106"/>
      <c r="N32" s="2106"/>
      <c r="O32" s="2106"/>
      <c r="P32" s="2106"/>
      <c r="Q32" s="2106"/>
      <c r="R32" s="2106"/>
      <c r="S32" s="2106"/>
      <c r="T32" s="2106"/>
      <c r="U32" s="2107"/>
      <c r="V32" s="676"/>
      <c r="W32" s="676"/>
      <c r="X32" s="678" t="s">
        <v>422</v>
      </c>
      <c r="Y32" s="662" t="s">
        <v>0</v>
      </c>
    </row>
    <row r="33" spans="1:25">
      <c r="A33" s="2105" t="s">
        <v>423</v>
      </c>
      <c r="B33" s="2106"/>
      <c r="C33" s="2106"/>
      <c r="D33" s="2106"/>
      <c r="E33" s="2106"/>
      <c r="F33" s="2106"/>
      <c r="G33" s="2106"/>
      <c r="H33" s="2106"/>
      <c r="I33" s="2106"/>
      <c r="J33" s="2106"/>
      <c r="K33" s="2106"/>
      <c r="L33" s="2106"/>
      <c r="M33" s="2106"/>
      <c r="N33" s="2106"/>
      <c r="O33" s="2106"/>
      <c r="P33" s="2106"/>
      <c r="Q33" s="2106"/>
      <c r="R33" s="2106"/>
      <c r="S33" s="2106"/>
      <c r="T33" s="2106"/>
      <c r="U33" s="2107"/>
      <c r="V33" s="676"/>
      <c r="W33" s="676"/>
      <c r="X33" s="678" t="s">
        <v>424</v>
      </c>
      <c r="Y33" s="662" t="s">
        <v>0</v>
      </c>
    </row>
    <row r="34" spans="1:25">
      <c r="A34" s="2105" t="s">
        <v>425</v>
      </c>
      <c r="B34" s="2106"/>
      <c r="C34" s="2106"/>
      <c r="D34" s="2106"/>
      <c r="E34" s="2106"/>
      <c r="F34" s="2106"/>
      <c r="G34" s="2106"/>
      <c r="H34" s="2106"/>
      <c r="I34" s="2106"/>
      <c r="J34" s="2106"/>
      <c r="K34" s="2106"/>
      <c r="L34" s="2106"/>
      <c r="M34" s="2106"/>
      <c r="N34" s="2106"/>
      <c r="O34" s="2106"/>
      <c r="P34" s="2106"/>
      <c r="Q34" s="2106"/>
      <c r="R34" s="2106"/>
      <c r="S34" s="2106"/>
      <c r="T34" s="2106"/>
      <c r="U34" s="2107"/>
      <c r="V34" s="676"/>
      <c r="W34" s="676"/>
      <c r="X34" s="678" t="s">
        <v>426</v>
      </c>
      <c r="Y34" s="662" t="s">
        <v>0</v>
      </c>
    </row>
    <row r="35" spans="1:25">
      <c r="A35" s="2105" t="s">
        <v>427</v>
      </c>
      <c r="B35" s="2106"/>
      <c r="C35" s="2106"/>
      <c r="D35" s="2106"/>
      <c r="E35" s="2106"/>
      <c r="F35" s="2106"/>
      <c r="G35" s="2106"/>
      <c r="H35" s="2106"/>
      <c r="I35" s="2106"/>
      <c r="J35" s="2106"/>
      <c r="K35" s="2106"/>
      <c r="L35" s="2106"/>
      <c r="M35" s="2106"/>
      <c r="N35" s="2106"/>
      <c r="O35" s="2106"/>
      <c r="P35" s="2106"/>
      <c r="Q35" s="2106"/>
      <c r="R35" s="2106"/>
      <c r="S35" s="2106"/>
      <c r="T35" s="2106"/>
      <c r="U35" s="2107"/>
      <c r="V35" s="676"/>
      <c r="W35" s="676"/>
      <c r="X35" s="678" t="s">
        <v>420</v>
      </c>
      <c r="Y35" s="662" t="s">
        <v>0</v>
      </c>
    </row>
    <row r="36" spans="1:25">
      <c r="A36" s="2105" t="s">
        <v>428</v>
      </c>
      <c r="B36" s="2106"/>
      <c r="C36" s="2106"/>
      <c r="D36" s="2106"/>
      <c r="E36" s="2106"/>
      <c r="F36" s="2106"/>
      <c r="G36" s="2106"/>
      <c r="H36" s="2106"/>
      <c r="I36" s="2106"/>
      <c r="J36" s="2106"/>
      <c r="K36" s="2106"/>
      <c r="L36" s="2106"/>
      <c r="M36" s="2106"/>
      <c r="N36" s="2106"/>
      <c r="O36" s="2106"/>
      <c r="P36" s="2106"/>
      <c r="Q36" s="2106"/>
      <c r="R36" s="2106"/>
      <c r="S36" s="2106"/>
      <c r="T36" s="2106"/>
      <c r="U36" s="2107"/>
      <c r="V36" s="676"/>
      <c r="W36" s="676"/>
      <c r="X36" s="667">
        <v>6000</v>
      </c>
      <c r="Y36" s="662" t="s">
        <v>0</v>
      </c>
    </row>
    <row r="37" spans="1:25">
      <c r="A37" s="2105" t="s">
        <v>824</v>
      </c>
      <c r="B37" s="2106"/>
      <c r="C37" s="2106"/>
      <c r="D37" s="2106"/>
      <c r="E37" s="2106"/>
      <c r="F37" s="2106"/>
      <c r="G37" s="2106"/>
      <c r="H37" s="2106"/>
      <c r="I37" s="2106"/>
      <c r="J37" s="2106"/>
      <c r="K37" s="2106"/>
      <c r="L37" s="2106"/>
      <c r="M37" s="2106"/>
      <c r="N37" s="2106"/>
      <c r="O37" s="2106"/>
      <c r="P37" s="2106"/>
      <c r="Q37" s="2106"/>
      <c r="R37" s="2106"/>
      <c r="S37" s="2106"/>
      <c r="T37" s="2106"/>
      <c r="U37" s="2107"/>
      <c r="V37" s="676"/>
      <c r="W37" s="676"/>
      <c r="X37" s="667">
        <v>250000</v>
      </c>
      <c r="Y37" s="662" t="s">
        <v>0</v>
      </c>
    </row>
    <row r="38" spans="1:25">
      <c r="A38" s="2103" t="s">
        <v>107</v>
      </c>
      <c r="B38" s="2104"/>
      <c r="C38" s="2104"/>
      <c r="D38" s="2104"/>
      <c r="E38" s="2104"/>
      <c r="F38" s="2104"/>
      <c r="G38" s="2104"/>
      <c r="H38" s="2104"/>
      <c r="I38" s="2104"/>
      <c r="J38" s="2104"/>
      <c r="K38" s="2104"/>
      <c r="L38" s="2104"/>
      <c r="M38" s="2104"/>
      <c r="N38" s="2104"/>
      <c r="O38" s="2104"/>
      <c r="P38" s="2104"/>
      <c r="Q38" s="2104"/>
      <c r="R38" s="2104"/>
      <c r="S38" s="2104"/>
      <c r="T38" s="2104"/>
      <c r="U38" s="2104"/>
      <c r="V38" s="679"/>
      <c r="W38" s="667"/>
      <c r="X38" s="667">
        <f>SUM(X30:X37)</f>
        <v>263000</v>
      </c>
      <c r="Y38" s="662" t="s">
        <v>0</v>
      </c>
    </row>
    <row r="39" spans="1:25">
      <c r="A39" s="2096" t="s">
        <v>429</v>
      </c>
      <c r="B39" s="2097"/>
      <c r="C39" s="2097"/>
      <c r="D39" s="2097"/>
      <c r="E39" s="2097"/>
      <c r="F39" s="2097"/>
      <c r="G39" s="2097"/>
      <c r="H39" s="2097"/>
      <c r="I39" s="2097"/>
      <c r="J39" s="2097"/>
      <c r="K39" s="2097"/>
      <c r="L39" s="2097"/>
      <c r="M39" s="2097"/>
      <c r="N39" s="2097"/>
      <c r="O39" s="2097"/>
      <c r="P39" s="2097"/>
      <c r="Q39" s="2097"/>
      <c r="R39" s="2097"/>
      <c r="S39" s="2097"/>
      <c r="T39" s="2097"/>
      <c r="U39" s="2097"/>
      <c r="V39" s="676"/>
      <c r="W39" s="676"/>
      <c r="X39" s="667"/>
      <c r="Y39" s="662" t="s">
        <v>0</v>
      </c>
    </row>
    <row r="40" spans="1:25">
      <c r="A40" s="2105" t="s">
        <v>430</v>
      </c>
      <c r="B40" s="2106"/>
      <c r="C40" s="2106"/>
      <c r="D40" s="2106"/>
      <c r="E40" s="2106"/>
      <c r="F40" s="2106"/>
      <c r="G40" s="2106"/>
      <c r="H40" s="2106"/>
      <c r="I40" s="2106"/>
      <c r="J40" s="2106"/>
      <c r="K40" s="2106"/>
      <c r="L40" s="2106"/>
      <c r="M40" s="2106"/>
      <c r="N40" s="2106"/>
      <c r="O40" s="2106"/>
      <c r="P40" s="2106"/>
      <c r="Q40" s="2106"/>
      <c r="R40" s="2106"/>
      <c r="S40" s="2106"/>
      <c r="T40" s="2106"/>
      <c r="U40" s="2107"/>
      <c r="V40" s="676"/>
      <c r="W40" s="676"/>
      <c r="X40" s="667">
        <v>-2500</v>
      </c>
      <c r="Y40" s="662" t="s">
        <v>0</v>
      </c>
    </row>
    <row r="41" spans="1:25">
      <c r="A41" s="2105" t="s">
        <v>415</v>
      </c>
      <c r="B41" s="2099"/>
      <c r="C41" s="2099"/>
      <c r="D41" s="2099"/>
      <c r="E41" s="2099"/>
      <c r="F41" s="2099"/>
      <c r="G41" s="2099"/>
      <c r="H41" s="2099"/>
      <c r="I41" s="2099"/>
      <c r="J41" s="2099"/>
      <c r="K41" s="2099"/>
      <c r="L41" s="2099"/>
      <c r="M41" s="2099"/>
      <c r="N41" s="2099"/>
      <c r="O41" s="2099"/>
      <c r="P41" s="2099"/>
      <c r="Q41" s="2099"/>
      <c r="R41" s="2099"/>
      <c r="S41" s="2099"/>
      <c r="T41" s="2099"/>
      <c r="U41" s="2099"/>
      <c r="V41" s="676"/>
      <c r="W41" s="676"/>
      <c r="X41" s="667">
        <v>-10000</v>
      </c>
      <c r="Y41" s="662" t="s">
        <v>0</v>
      </c>
    </row>
    <row r="42" spans="1:25">
      <c r="A42" s="2105" t="s">
        <v>432</v>
      </c>
      <c r="B42" s="2099"/>
      <c r="C42" s="2099"/>
      <c r="D42" s="2099"/>
      <c r="E42" s="2099"/>
      <c r="F42" s="2099"/>
      <c r="G42" s="2099"/>
      <c r="H42" s="2099"/>
      <c r="I42" s="2099"/>
      <c r="J42" s="2099"/>
      <c r="K42" s="2099"/>
      <c r="L42" s="2099"/>
      <c r="M42" s="2099"/>
      <c r="N42" s="2099"/>
      <c r="O42" s="2099"/>
      <c r="P42" s="2099"/>
      <c r="Q42" s="2099"/>
      <c r="R42" s="2099"/>
      <c r="S42" s="2099"/>
      <c r="T42" s="2099"/>
      <c r="U42" s="2099"/>
      <c r="V42" s="676"/>
      <c r="W42" s="676"/>
      <c r="X42" s="676">
        <v>-12000</v>
      </c>
      <c r="Y42" s="662" t="s">
        <v>0</v>
      </c>
    </row>
    <row r="43" spans="1:25">
      <c r="A43" s="2103" t="s">
        <v>433</v>
      </c>
      <c r="B43" s="2104"/>
      <c r="C43" s="2104"/>
      <c r="D43" s="2104"/>
      <c r="E43" s="2104"/>
      <c r="F43" s="2104"/>
      <c r="G43" s="2104"/>
      <c r="H43" s="2104"/>
      <c r="I43" s="2104"/>
      <c r="J43" s="2104"/>
      <c r="K43" s="2104"/>
      <c r="L43" s="2104"/>
      <c r="M43" s="2104"/>
      <c r="N43" s="2104"/>
      <c r="O43" s="2104"/>
      <c r="P43" s="2104"/>
      <c r="Q43" s="2104"/>
      <c r="R43" s="2104"/>
      <c r="S43" s="2104"/>
      <c r="T43" s="2104"/>
      <c r="U43" s="2104"/>
      <c r="V43" s="680"/>
      <c r="W43" s="680"/>
      <c r="X43" s="680">
        <f>SUM(X40:X42)</f>
        <v>-24500</v>
      </c>
      <c r="Y43" s="662" t="s">
        <v>0</v>
      </c>
    </row>
    <row r="44" spans="1:25" ht="18" customHeight="1">
      <c r="A44" s="2096" t="s">
        <v>106</v>
      </c>
      <c r="B44" s="2097"/>
      <c r="C44" s="2097"/>
      <c r="D44" s="2097"/>
      <c r="E44" s="2097"/>
      <c r="F44" s="2097"/>
      <c r="G44" s="2097"/>
      <c r="H44" s="2097"/>
      <c r="I44" s="2097"/>
      <c r="J44" s="2097"/>
      <c r="K44" s="2097"/>
      <c r="L44" s="2097"/>
      <c r="M44" s="2097"/>
      <c r="N44" s="2097"/>
      <c r="O44" s="2097"/>
      <c r="P44" s="2097"/>
      <c r="Q44" s="2097"/>
      <c r="R44" s="2097"/>
      <c r="S44" s="2097"/>
      <c r="T44" s="2097"/>
      <c r="U44" s="2097"/>
      <c r="V44" s="681">
        <f>SUM(V38+V42)</f>
        <v>0</v>
      </c>
      <c r="W44" s="681">
        <f>SUM(W38+W42)</f>
        <v>0</v>
      </c>
      <c r="X44" s="681">
        <f>SUM(X38+X43)</f>
        <v>238500</v>
      </c>
      <c r="Y44" s="662" t="s">
        <v>0</v>
      </c>
    </row>
    <row r="45" spans="1:25" ht="18" customHeight="1">
      <c r="A45" s="2108" t="s">
        <v>434</v>
      </c>
      <c r="B45" s="2109"/>
      <c r="C45" s="2109"/>
      <c r="D45" s="2109"/>
      <c r="E45" s="2109"/>
      <c r="F45" s="2109"/>
      <c r="G45" s="2109"/>
      <c r="H45" s="2109"/>
      <c r="I45" s="2109"/>
      <c r="J45" s="2109"/>
      <c r="K45" s="2109"/>
      <c r="L45" s="2109"/>
      <c r="M45" s="2109"/>
      <c r="N45" s="2109"/>
      <c r="O45" s="2109"/>
      <c r="P45" s="2109"/>
      <c r="Q45" s="2109"/>
      <c r="R45" s="2109"/>
      <c r="S45" s="2109"/>
      <c r="T45" s="2109"/>
      <c r="U45" s="2109"/>
      <c r="V45" s="682">
        <v>0</v>
      </c>
      <c r="W45" s="682">
        <v>0</v>
      </c>
      <c r="X45" s="682">
        <f>X25+X44</f>
        <v>428500</v>
      </c>
      <c r="Y45" s="662" t="s">
        <v>0</v>
      </c>
    </row>
    <row r="46" spans="1:25" ht="18" customHeight="1">
      <c r="A46" s="2108" t="s">
        <v>435</v>
      </c>
      <c r="B46" s="2109"/>
      <c r="C46" s="2109"/>
      <c r="D46" s="2109"/>
      <c r="E46" s="2109"/>
      <c r="F46" s="2109"/>
      <c r="G46" s="2109"/>
      <c r="H46" s="2109"/>
      <c r="I46" s="2109"/>
      <c r="J46" s="2109"/>
      <c r="K46" s="2109"/>
      <c r="L46" s="2109"/>
      <c r="M46" s="2109"/>
      <c r="N46" s="2109"/>
      <c r="O46" s="2109"/>
      <c r="P46" s="2109"/>
      <c r="Q46" s="2109"/>
      <c r="R46" s="2109"/>
      <c r="S46" s="2109"/>
      <c r="T46" s="2109"/>
      <c r="U46" s="2109"/>
      <c r="V46" s="682">
        <v>0</v>
      </c>
      <c r="W46" s="682">
        <v>0</v>
      </c>
      <c r="X46" s="682">
        <v>-4000</v>
      </c>
      <c r="Y46" s="662" t="s">
        <v>0</v>
      </c>
    </row>
    <row r="47" spans="1:25" ht="18" customHeight="1">
      <c r="A47" s="2108" t="s">
        <v>245</v>
      </c>
      <c r="B47" s="2109"/>
      <c r="C47" s="2109"/>
      <c r="D47" s="2109"/>
      <c r="E47" s="2109"/>
      <c r="F47" s="2109"/>
      <c r="G47" s="2109"/>
      <c r="H47" s="2109"/>
      <c r="I47" s="2109"/>
      <c r="J47" s="2109"/>
      <c r="K47" s="2109"/>
      <c r="L47" s="2109"/>
      <c r="M47" s="2109"/>
      <c r="N47" s="2109"/>
      <c r="O47" s="2109"/>
      <c r="P47" s="2109"/>
      <c r="Q47" s="2109"/>
      <c r="R47" s="2109"/>
      <c r="S47" s="2109"/>
      <c r="T47" s="2109"/>
      <c r="U47" s="2109"/>
      <c r="V47" s="683">
        <f>V25+V44</f>
        <v>0</v>
      </c>
      <c r="W47" s="683">
        <f>W25+W44</f>
        <v>0</v>
      </c>
      <c r="X47" s="683">
        <f>SUM(X45:X46)</f>
        <v>424500</v>
      </c>
      <c r="Y47" s="662" t="s">
        <v>0</v>
      </c>
    </row>
    <row r="48" spans="1:25" ht="18" customHeight="1">
      <c r="A48" s="2110" t="s">
        <v>360</v>
      </c>
      <c r="B48" s="2109"/>
      <c r="C48" s="2109"/>
      <c r="D48" s="2109"/>
      <c r="E48" s="2109"/>
      <c r="F48" s="2109"/>
      <c r="G48" s="2109"/>
      <c r="H48" s="2109"/>
      <c r="I48" s="2109"/>
      <c r="J48" s="2109"/>
      <c r="K48" s="2109"/>
      <c r="L48" s="2109"/>
      <c r="M48" s="2109"/>
      <c r="N48" s="2109"/>
      <c r="O48" s="2109"/>
      <c r="P48" s="2109"/>
      <c r="Q48" s="2109"/>
      <c r="R48" s="2109"/>
      <c r="S48" s="2109"/>
      <c r="T48" s="2109"/>
      <c r="U48" s="2109"/>
      <c r="V48" s="682">
        <f>+V47-V17</f>
        <v>0</v>
      </c>
      <c r="W48" s="682">
        <f>+W47-W17</f>
        <v>0</v>
      </c>
      <c r="X48" s="682">
        <f>+X47-X20</f>
        <v>193500</v>
      </c>
      <c r="Y48" s="662" t="s">
        <v>0</v>
      </c>
    </row>
    <row r="49" spans="1:25">
      <c r="Y49" s="662" t="s">
        <v>0</v>
      </c>
    </row>
    <row r="50" spans="1:25" ht="18" customHeight="1">
      <c r="Y50" s="662" t="s">
        <v>0</v>
      </c>
    </row>
    <row r="51" spans="1:25" ht="18" customHeight="1">
      <c r="Y51" s="662" t="s">
        <v>0</v>
      </c>
    </row>
    <row r="52" spans="1:25" ht="18" customHeight="1">
      <c r="Y52" s="662" t="s">
        <v>0</v>
      </c>
    </row>
    <row r="53" spans="1:25" ht="18" customHeight="1">
      <c r="Y53" s="662" t="s">
        <v>0</v>
      </c>
    </row>
    <row r="54" spans="1:25" ht="18" customHeight="1">
      <c r="Y54" s="662" t="s">
        <v>0</v>
      </c>
    </row>
    <row r="55" spans="1:25" ht="18" customHeight="1">
      <c r="Y55" s="662" t="s">
        <v>0</v>
      </c>
    </row>
    <row r="56" spans="1:25" ht="18" customHeight="1">
      <c r="Y56" s="662" t="s">
        <v>0</v>
      </c>
    </row>
    <row r="57" spans="1:25" ht="18" customHeight="1">
      <c r="Y57" s="662" t="s">
        <v>0</v>
      </c>
    </row>
    <row r="58" spans="1:25" ht="22.5">
      <c r="A58" s="2065" t="s">
        <v>267</v>
      </c>
      <c r="B58" s="2060"/>
      <c r="C58" s="2060"/>
      <c r="D58" s="2060"/>
      <c r="E58" s="2060"/>
      <c r="F58" s="2060"/>
      <c r="G58" s="2060"/>
      <c r="H58" s="2060"/>
      <c r="I58" s="2060"/>
      <c r="J58" s="2060"/>
      <c r="K58" s="2060"/>
      <c r="L58" s="2060"/>
      <c r="M58" s="2060"/>
      <c r="N58" s="2060"/>
      <c r="O58" s="2060"/>
      <c r="P58" s="2060"/>
      <c r="Q58" s="2060"/>
      <c r="R58" s="2060"/>
      <c r="S58" s="2060"/>
      <c r="T58" s="2060"/>
      <c r="U58" s="2060"/>
      <c r="V58" s="2060"/>
      <c r="W58" s="2060"/>
      <c r="X58" s="2060"/>
      <c r="Y58" s="662" t="s">
        <v>0</v>
      </c>
    </row>
    <row r="59" spans="1:25" ht="23.25">
      <c r="A59" s="2059" t="str">
        <f>A5</f>
        <v>Office of Justice Programs</v>
      </c>
      <c r="B59" s="2111"/>
      <c r="C59" s="2111"/>
      <c r="D59" s="2111"/>
      <c r="E59" s="2111"/>
      <c r="F59" s="2111"/>
      <c r="G59" s="2111"/>
      <c r="H59" s="2111"/>
      <c r="I59" s="2111"/>
      <c r="J59" s="2111"/>
      <c r="K59" s="2111"/>
      <c r="L59" s="2111"/>
      <c r="M59" s="2111"/>
      <c r="N59" s="2111"/>
      <c r="O59" s="2111"/>
      <c r="P59" s="2111"/>
      <c r="Q59" s="2111"/>
      <c r="R59" s="2111"/>
      <c r="S59" s="2111"/>
      <c r="T59" s="2111"/>
      <c r="U59" s="2111"/>
      <c r="V59" s="2111"/>
      <c r="W59" s="2111"/>
      <c r="X59" s="2111"/>
      <c r="Y59" s="662" t="s">
        <v>0</v>
      </c>
    </row>
    <row r="60" spans="1:25" ht="23.25">
      <c r="A60" s="2059" t="s">
        <v>411</v>
      </c>
      <c r="B60" s="2060"/>
      <c r="C60" s="2060"/>
      <c r="D60" s="2060"/>
      <c r="E60" s="2060"/>
      <c r="F60" s="2060"/>
      <c r="G60" s="2060"/>
      <c r="H60" s="2060"/>
      <c r="I60" s="2060"/>
      <c r="J60" s="2060"/>
      <c r="K60" s="2060"/>
      <c r="L60" s="2060"/>
      <c r="M60" s="2060"/>
      <c r="N60" s="2060"/>
      <c r="O60" s="2060"/>
      <c r="P60" s="2060"/>
      <c r="Q60" s="2060"/>
      <c r="R60" s="2060"/>
      <c r="S60" s="2060"/>
      <c r="T60" s="2060"/>
      <c r="U60" s="2060"/>
      <c r="V60" s="2060"/>
      <c r="W60" s="2060"/>
      <c r="X60" s="2060"/>
      <c r="Y60" s="662" t="s">
        <v>0</v>
      </c>
    </row>
    <row r="61" spans="1:25" ht="23.25">
      <c r="A61" s="2059" t="s">
        <v>257</v>
      </c>
      <c r="B61" s="2066"/>
      <c r="C61" s="2066"/>
      <c r="D61" s="2066"/>
      <c r="E61" s="2066"/>
      <c r="F61" s="2066"/>
      <c r="G61" s="2066"/>
      <c r="H61" s="2066"/>
      <c r="I61" s="2066"/>
      <c r="J61" s="2066"/>
      <c r="K61" s="2066"/>
      <c r="L61" s="2066"/>
      <c r="M61" s="2066"/>
      <c r="N61" s="2066"/>
      <c r="O61" s="2066"/>
      <c r="P61" s="2066"/>
      <c r="Q61" s="2066"/>
      <c r="R61" s="2066"/>
      <c r="S61" s="2066"/>
      <c r="T61" s="2066"/>
      <c r="U61" s="2066"/>
      <c r="V61" s="2066"/>
      <c r="W61" s="2066"/>
      <c r="X61" s="2066"/>
      <c r="Y61" s="662" t="s">
        <v>0</v>
      </c>
    </row>
    <row r="62" spans="1:25" ht="18" customHeight="1">
      <c r="Y62" s="662" t="s">
        <v>0</v>
      </c>
    </row>
    <row r="63" spans="1:25" ht="18" customHeight="1">
      <c r="Y63" s="662" t="s">
        <v>0</v>
      </c>
    </row>
    <row r="64" spans="1:25" ht="18" customHeight="1">
      <c r="Y64" s="662" t="s">
        <v>0</v>
      </c>
    </row>
    <row r="65" spans="1:25" ht="18" customHeight="1">
      <c r="Y65" s="662" t="s">
        <v>0</v>
      </c>
    </row>
    <row r="66" spans="1:25" ht="18" customHeight="1">
      <c r="A66" s="685"/>
      <c r="B66" s="685"/>
      <c r="C66" s="685"/>
      <c r="D66" s="686"/>
      <c r="E66" s="686"/>
      <c r="F66" s="686"/>
      <c r="G66" s="686"/>
      <c r="H66" s="686"/>
      <c r="I66" s="686"/>
      <c r="J66" s="686"/>
      <c r="K66" s="686"/>
      <c r="L66" s="686"/>
      <c r="M66" s="686"/>
      <c r="N66" s="686"/>
      <c r="O66" s="686"/>
      <c r="P66" s="686"/>
      <c r="Q66" s="686"/>
      <c r="R66" s="686"/>
      <c r="S66" s="686"/>
      <c r="T66" s="686"/>
      <c r="U66" s="686"/>
      <c r="V66" s="686"/>
      <c r="W66" s="686"/>
      <c r="X66" s="686"/>
      <c r="Y66" s="662" t="s">
        <v>0</v>
      </c>
    </row>
    <row r="67" spans="1:25" ht="22.5" customHeight="1">
      <c r="A67" s="2112" t="s">
        <v>276</v>
      </c>
      <c r="B67" s="2113"/>
      <c r="C67" s="2113"/>
      <c r="D67" s="2118" t="s">
        <v>18</v>
      </c>
      <c r="E67" s="2119"/>
      <c r="F67" s="2120"/>
      <c r="G67" s="2124" t="s">
        <v>355</v>
      </c>
      <c r="H67" s="2125"/>
      <c r="I67" s="2126"/>
      <c r="J67" s="2118" t="s">
        <v>246</v>
      </c>
      <c r="K67" s="2119"/>
      <c r="L67" s="2120"/>
      <c r="M67" s="2118" t="s">
        <v>244</v>
      </c>
      <c r="N67" s="2119"/>
      <c r="O67" s="2120"/>
      <c r="P67" s="2118" t="s">
        <v>247</v>
      </c>
      <c r="Q67" s="2130"/>
      <c r="R67" s="2130"/>
      <c r="S67" s="2118" t="s">
        <v>248</v>
      </c>
      <c r="T67" s="2119"/>
      <c r="U67" s="2119"/>
      <c r="V67" s="2118" t="s">
        <v>42</v>
      </c>
      <c r="W67" s="2119"/>
      <c r="X67" s="2120"/>
      <c r="Y67" s="662" t="s">
        <v>0</v>
      </c>
    </row>
    <row r="68" spans="1:25" ht="27.75" customHeight="1">
      <c r="A68" s="2114"/>
      <c r="B68" s="2115"/>
      <c r="C68" s="2115"/>
      <c r="D68" s="2121"/>
      <c r="E68" s="2122"/>
      <c r="F68" s="2123"/>
      <c r="G68" s="2127"/>
      <c r="H68" s="2128"/>
      <c r="I68" s="2129"/>
      <c r="J68" s="2121"/>
      <c r="K68" s="2122"/>
      <c r="L68" s="2123"/>
      <c r="M68" s="2121"/>
      <c r="N68" s="2122"/>
      <c r="O68" s="2123"/>
      <c r="P68" s="2131"/>
      <c r="Q68" s="2132"/>
      <c r="R68" s="2132"/>
      <c r="S68" s="2121"/>
      <c r="T68" s="2122"/>
      <c r="U68" s="2122"/>
      <c r="V68" s="2121"/>
      <c r="W68" s="2122"/>
      <c r="X68" s="2123"/>
      <c r="Y68" s="662" t="s">
        <v>0</v>
      </c>
    </row>
    <row r="69" spans="1:25" ht="16.5" thickBot="1">
      <c r="A69" s="2116"/>
      <c r="B69" s="2117"/>
      <c r="C69" s="2117"/>
      <c r="D69" s="687" t="s">
        <v>277</v>
      </c>
      <c r="E69" s="688" t="s">
        <v>49</v>
      </c>
      <c r="F69" s="689" t="s">
        <v>279</v>
      </c>
      <c r="G69" s="687" t="s">
        <v>277</v>
      </c>
      <c r="H69" s="688" t="s">
        <v>49</v>
      </c>
      <c r="I69" s="689" t="s">
        <v>279</v>
      </c>
      <c r="J69" s="687" t="s">
        <v>277</v>
      </c>
      <c r="K69" s="688" t="s">
        <v>49</v>
      </c>
      <c r="L69" s="689" t="s">
        <v>279</v>
      </c>
      <c r="M69" s="687" t="s">
        <v>277</v>
      </c>
      <c r="N69" s="688" t="s">
        <v>49</v>
      </c>
      <c r="O69" s="689" t="s">
        <v>279</v>
      </c>
      <c r="P69" s="687" t="s">
        <v>277</v>
      </c>
      <c r="Q69" s="688" t="s">
        <v>49</v>
      </c>
      <c r="R69" s="689" t="s">
        <v>279</v>
      </c>
      <c r="S69" s="687" t="s">
        <v>277</v>
      </c>
      <c r="T69" s="688" t="s">
        <v>49</v>
      </c>
      <c r="U69" s="689" t="s">
        <v>279</v>
      </c>
      <c r="V69" s="690" t="s">
        <v>277</v>
      </c>
      <c r="W69" s="688" t="s">
        <v>49</v>
      </c>
      <c r="X69" s="691" t="s">
        <v>279</v>
      </c>
      <c r="Y69" s="662" t="s">
        <v>0</v>
      </c>
    </row>
    <row r="70" spans="1:25">
      <c r="A70" s="692" t="s">
        <v>430</v>
      </c>
      <c r="B70" s="693"/>
      <c r="C70" s="694"/>
      <c r="D70" s="695"/>
      <c r="E70" s="696"/>
      <c r="F70" s="697">
        <v>60000</v>
      </c>
      <c r="G70" s="695"/>
      <c r="H70" s="696"/>
      <c r="I70" s="697">
        <v>60000</v>
      </c>
      <c r="J70" s="695"/>
      <c r="K70" s="696"/>
      <c r="L70" s="697"/>
      <c r="M70" s="695"/>
      <c r="N70" s="696"/>
      <c r="O70" s="697">
        <f>SUM(I70+L70)</f>
        <v>60000</v>
      </c>
      <c r="P70" s="695"/>
      <c r="Q70" s="696"/>
      <c r="R70" s="697"/>
      <c r="S70" s="695"/>
      <c r="T70" s="696"/>
      <c r="U70" s="697">
        <v>-2500</v>
      </c>
      <c r="V70" s="695"/>
      <c r="W70" s="696"/>
      <c r="X70" s="698">
        <f>R70+O70+U70</f>
        <v>57500</v>
      </c>
      <c r="Y70" s="662" t="s">
        <v>0</v>
      </c>
    </row>
    <row r="71" spans="1:25">
      <c r="A71" s="692"/>
      <c r="B71" s="2135" t="s">
        <v>805</v>
      </c>
      <c r="C71" s="2135"/>
      <c r="D71" s="695"/>
      <c r="E71" s="696"/>
      <c r="F71" s="699" t="s">
        <v>437</v>
      </c>
      <c r="G71" s="695"/>
      <c r="H71" s="696"/>
      <c r="I71" s="700" t="s">
        <v>437</v>
      </c>
      <c r="J71" s="695"/>
      <c r="K71" s="696"/>
      <c r="L71" s="701"/>
      <c r="M71" s="695"/>
      <c r="N71" s="696"/>
      <c r="O71" s="700" t="s">
        <v>437</v>
      </c>
      <c r="P71" s="695"/>
      <c r="Q71" s="696"/>
      <c r="R71" s="701"/>
      <c r="S71" s="695"/>
      <c r="T71" s="696"/>
      <c r="U71" s="700" t="s">
        <v>579</v>
      </c>
      <c r="V71" s="695"/>
      <c r="W71" s="696"/>
      <c r="X71" s="702" t="s">
        <v>439</v>
      </c>
      <c r="Y71" s="662" t="s">
        <v>0</v>
      </c>
    </row>
    <row r="72" spans="1:25">
      <c r="A72" s="692"/>
      <c r="B72" s="2135" t="s">
        <v>440</v>
      </c>
      <c r="C72" s="2135"/>
      <c r="D72" s="695"/>
      <c r="E72" s="696"/>
      <c r="F72" s="703"/>
      <c r="G72" s="695"/>
      <c r="H72" s="696"/>
      <c r="I72" s="701"/>
      <c r="J72" s="695"/>
      <c r="K72" s="696"/>
      <c r="L72" s="701"/>
      <c r="M72" s="695"/>
      <c r="N72" s="696"/>
      <c r="O72" s="701"/>
      <c r="P72" s="695"/>
      <c r="Q72" s="696"/>
      <c r="R72" s="700" t="s">
        <v>438</v>
      </c>
      <c r="S72" s="695"/>
      <c r="T72" s="696"/>
      <c r="U72" s="700"/>
      <c r="V72" s="695"/>
      <c r="W72" s="696"/>
      <c r="X72" s="702" t="s">
        <v>438</v>
      </c>
      <c r="Y72" s="662" t="s">
        <v>0</v>
      </c>
    </row>
    <row r="73" spans="1:25">
      <c r="A73" s="692"/>
      <c r="B73" s="2138" t="s">
        <v>441</v>
      </c>
      <c r="C73" s="2139"/>
      <c r="D73" s="695"/>
      <c r="E73" s="696"/>
      <c r="F73" s="699"/>
      <c r="G73" s="695"/>
      <c r="H73" s="696"/>
      <c r="I73" s="700"/>
      <c r="J73" s="695"/>
      <c r="K73" s="696"/>
      <c r="L73" s="701"/>
      <c r="M73" s="695"/>
      <c r="N73" s="696"/>
      <c r="O73" s="700"/>
      <c r="P73" s="695"/>
      <c r="Q73" s="696"/>
      <c r="R73" s="700" t="s">
        <v>422</v>
      </c>
      <c r="S73" s="695"/>
      <c r="T73" s="696"/>
      <c r="U73" s="700"/>
      <c r="V73" s="695"/>
      <c r="W73" s="696"/>
      <c r="X73" s="702" t="s">
        <v>422</v>
      </c>
      <c r="Y73" s="662" t="s">
        <v>0</v>
      </c>
    </row>
    <row r="74" spans="1:25">
      <c r="A74" s="692" t="s">
        <v>415</v>
      </c>
      <c r="B74" s="705"/>
      <c r="C74" s="706"/>
      <c r="D74" s="695"/>
      <c r="E74" s="696"/>
      <c r="F74" s="703">
        <v>70000</v>
      </c>
      <c r="G74" s="695"/>
      <c r="H74" s="696"/>
      <c r="I74" s="701">
        <v>70000</v>
      </c>
      <c r="J74" s="695"/>
      <c r="K74" s="696"/>
      <c r="L74" s="701"/>
      <c r="M74" s="695"/>
      <c r="N74" s="696"/>
      <c r="O74" s="701">
        <f>SUM(I74+L74)</f>
        <v>70000</v>
      </c>
      <c r="P74" s="695"/>
      <c r="Q74" s="696"/>
      <c r="R74" s="701"/>
      <c r="S74" s="695"/>
      <c r="T74" s="696"/>
      <c r="U74" s="707">
        <v>-10000</v>
      </c>
      <c r="V74" s="695"/>
      <c r="W74" s="696"/>
      <c r="X74" s="708">
        <f>R74+O74+U74</f>
        <v>60000</v>
      </c>
      <c r="Y74" s="662" t="s">
        <v>0</v>
      </c>
    </row>
    <row r="75" spans="1:25">
      <c r="A75" s="692"/>
      <c r="B75" s="705" t="s">
        <v>442</v>
      </c>
      <c r="C75" s="706"/>
      <c r="D75" s="695"/>
      <c r="E75" s="696"/>
      <c r="F75" s="703"/>
      <c r="G75" s="695"/>
      <c r="H75" s="696"/>
      <c r="I75" s="701"/>
      <c r="J75" s="695"/>
      <c r="K75" s="696"/>
      <c r="L75" s="701"/>
      <c r="M75" s="695"/>
      <c r="N75" s="696"/>
      <c r="O75" s="701"/>
      <c r="P75" s="695"/>
      <c r="Q75" s="696"/>
      <c r="R75" s="700" t="s">
        <v>417</v>
      </c>
      <c r="S75" s="695"/>
      <c r="T75" s="696"/>
      <c r="U75" s="707"/>
      <c r="V75" s="695"/>
      <c r="W75" s="696"/>
      <c r="X75" s="702" t="s">
        <v>417</v>
      </c>
      <c r="Y75" s="662" t="s">
        <v>0</v>
      </c>
    </row>
    <row r="76" spans="1:25">
      <c r="A76" s="692" t="s">
        <v>431</v>
      </c>
      <c r="B76" s="705"/>
      <c r="C76" s="706"/>
      <c r="D76" s="695"/>
      <c r="E76" s="696"/>
      <c r="F76" s="703">
        <v>45000</v>
      </c>
      <c r="G76" s="695"/>
      <c r="H76" s="696"/>
      <c r="I76" s="701">
        <v>45000</v>
      </c>
      <c r="J76" s="695"/>
      <c r="K76" s="696"/>
      <c r="L76" s="697">
        <v>-45000</v>
      </c>
      <c r="M76" s="695"/>
      <c r="N76" s="696"/>
      <c r="O76" s="701">
        <f t="shared" ref="O76:O77" si="0">SUM(I76+L76)</f>
        <v>0</v>
      </c>
      <c r="P76" s="695"/>
      <c r="Q76" s="696"/>
      <c r="R76" s="701"/>
      <c r="S76" s="695"/>
      <c r="T76" s="696"/>
      <c r="U76" s="707"/>
      <c r="V76" s="695"/>
      <c r="W76" s="696"/>
      <c r="X76" s="708">
        <f>R76+O76+U76</f>
        <v>0</v>
      </c>
      <c r="Y76" s="662" t="s">
        <v>0</v>
      </c>
    </row>
    <row r="77" spans="1:25">
      <c r="A77" s="692" t="s">
        <v>418</v>
      </c>
      <c r="B77" s="705"/>
      <c r="C77" s="706"/>
      <c r="D77" s="695"/>
      <c r="E77" s="696"/>
      <c r="F77" s="703">
        <v>48000</v>
      </c>
      <c r="G77" s="695"/>
      <c r="H77" s="696"/>
      <c r="I77" s="701">
        <v>48000</v>
      </c>
      <c r="J77" s="695"/>
      <c r="K77" s="696"/>
      <c r="L77" s="701"/>
      <c r="M77" s="695"/>
      <c r="N77" s="696"/>
      <c r="O77" s="701">
        <f t="shared" si="0"/>
        <v>48000</v>
      </c>
      <c r="P77" s="695"/>
      <c r="Q77" s="696"/>
      <c r="R77" s="701">
        <v>7000</v>
      </c>
      <c r="S77" s="695"/>
      <c r="T77" s="696"/>
      <c r="U77" s="701"/>
      <c r="V77" s="695"/>
      <c r="W77" s="696"/>
      <c r="X77" s="708">
        <f>R77+O77+U77</f>
        <v>55000</v>
      </c>
      <c r="Y77" s="662" t="s">
        <v>0</v>
      </c>
    </row>
    <row r="78" spans="1:25">
      <c r="A78" s="692"/>
      <c r="B78" s="2135" t="s">
        <v>443</v>
      </c>
      <c r="C78" s="2135"/>
      <c r="D78" s="695"/>
      <c r="E78" s="696"/>
      <c r="F78" s="703"/>
      <c r="G78" s="695"/>
      <c r="H78" s="696"/>
      <c r="I78" s="701"/>
      <c r="J78" s="695"/>
      <c r="K78" s="696"/>
      <c r="L78" s="701"/>
      <c r="M78" s="695"/>
      <c r="N78" s="696"/>
      <c r="O78" s="701"/>
      <c r="P78" s="695"/>
      <c r="Q78" s="696"/>
      <c r="R78" s="700" t="s">
        <v>420</v>
      </c>
      <c r="S78" s="695"/>
      <c r="T78" s="696"/>
      <c r="U78" s="701"/>
      <c r="V78" s="695"/>
      <c r="W78" s="696"/>
      <c r="X78" s="702" t="s">
        <v>420</v>
      </c>
      <c r="Y78" s="662" t="s">
        <v>0</v>
      </c>
    </row>
    <row r="79" spans="1:25">
      <c r="A79" s="692"/>
      <c r="B79" s="2135" t="s">
        <v>444</v>
      </c>
      <c r="C79" s="2135"/>
      <c r="D79" s="695"/>
      <c r="E79" s="696"/>
      <c r="F79" s="703"/>
      <c r="G79" s="695"/>
      <c r="H79" s="696"/>
      <c r="I79" s="701"/>
      <c r="J79" s="695"/>
      <c r="K79" s="696"/>
      <c r="L79" s="701"/>
      <c r="M79" s="695"/>
      <c r="N79" s="696"/>
      <c r="O79" s="701"/>
      <c r="P79" s="695"/>
      <c r="Q79" s="696"/>
      <c r="R79" s="700" t="s">
        <v>422</v>
      </c>
      <c r="S79" s="695"/>
      <c r="T79" s="696"/>
      <c r="U79" s="701"/>
      <c r="V79" s="695"/>
      <c r="W79" s="696"/>
      <c r="X79" s="702" t="s">
        <v>422</v>
      </c>
      <c r="Y79" s="662" t="s">
        <v>0</v>
      </c>
    </row>
    <row r="80" spans="1:25">
      <c r="A80" s="709"/>
      <c r="B80" s="2136" t="s">
        <v>445</v>
      </c>
      <c r="C80" s="2136"/>
      <c r="D80" s="695"/>
      <c r="E80" s="696"/>
      <c r="F80" s="701"/>
      <c r="G80" s="695"/>
      <c r="H80" s="696"/>
      <c r="I80" s="701"/>
      <c r="J80" s="695"/>
      <c r="K80" s="696"/>
      <c r="L80" s="701"/>
      <c r="M80" s="695"/>
      <c r="N80" s="696"/>
      <c r="O80" s="701"/>
      <c r="P80" s="695"/>
      <c r="Q80" s="696"/>
      <c r="R80" s="700" t="s">
        <v>424</v>
      </c>
      <c r="S80" s="695"/>
      <c r="T80" s="696"/>
      <c r="U80" s="701"/>
      <c r="V80" s="695"/>
      <c r="W80" s="696"/>
      <c r="X80" s="702" t="s">
        <v>424</v>
      </c>
      <c r="Y80" s="662" t="s">
        <v>0</v>
      </c>
    </row>
    <row r="81" spans="1:25">
      <c r="A81" s="692"/>
      <c r="B81" s="2136" t="s">
        <v>446</v>
      </c>
      <c r="C81" s="2136"/>
      <c r="D81" s="695"/>
      <c r="E81" s="696"/>
      <c r="F81" s="701"/>
      <c r="G81" s="695"/>
      <c r="H81" s="696"/>
      <c r="I81" s="701"/>
      <c r="J81" s="695"/>
      <c r="K81" s="696"/>
      <c r="L81" s="701"/>
      <c r="M81" s="695"/>
      <c r="N81" s="696"/>
      <c r="O81" s="701"/>
      <c r="P81" s="695"/>
      <c r="Q81" s="696"/>
      <c r="R81" s="700" t="s">
        <v>426</v>
      </c>
      <c r="S81" s="695"/>
      <c r="T81" s="696"/>
      <c r="U81" s="701"/>
      <c r="V81" s="695"/>
      <c r="W81" s="696"/>
      <c r="X81" s="702" t="s">
        <v>426</v>
      </c>
      <c r="Y81" s="662" t="s">
        <v>0</v>
      </c>
    </row>
    <row r="82" spans="1:25">
      <c r="A82" s="692"/>
      <c r="B82" s="705" t="s">
        <v>447</v>
      </c>
      <c r="C82" s="705"/>
      <c r="D82" s="695"/>
      <c r="E82" s="696"/>
      <c r="F82" s="701"/>
      <c r="G82" s="695"/>
      <c r="H82" s="696"/>
      <c r="I82" s="701"/>
      <c r="J82" s="695"/>
      <c r="K82" s="696"/>
      <c r="L82" s="701"/>
      <c r="M82" s="695"/>
      <c r="N82" s="696"/>
      <c r="O82" s="701"/>
      <c r="P82" s="695"/>
      <c r="Q82" s="696"/>
      <c r="R82" s="700" t="s">
        <v>420</v>
      </c>
      <c r="S82" s="695"/>
      <c r="T82" s="696"/>
      <c r="U82" s="701"/>
      <c r="V82" s="695"/>
      <c r="W82" s="696"/>
      <c r="X82" s="702" t="s">
        <v>420</v>
      </c>
      <c r="Y82" s="662" t="s">
        <v>0</v>
      </c>
    </row>
    <row r="83" spans="1:25">
      <c r="A83" s="692" t="s">
        <v>428</v>
      </c>
      <c r="B83" s="705"/>
      <c r="C83" s="706"/>
      <c r="D83" s="695"/>
      <c r="E83" s="696"/>
      <c r="F83" s="701"/>
      <c r="G83" s="695"/>
      <c r="H83" s="696"/>
      <c r="I83" s="701"/>
      <c r="J83" s="695"/>
      <c r="K83" s="696"/>
      <c r="L83" s="701"/>
      <c r="M83" s="695"/>
      <c r="N83" s="696"/>
      <c r="O83" s="701"/>
      <c r="P83" s="695"/>
      <c r="Q83" s="696"/>
      <c r="R83" s="701">
        <v>6000</v>
      </c>
      <c r="S83" s="695"/>
      <c r="T83" s="696"/>
      <c r="U83" s="701"/>
      <c r="V83" s="695"/>
      <c r="W83" s="696"/>
      <c r="X83" s="708">
        <f>R83+O83+U83</f>
        <v>6000</v>
      </c>
      <c r="Y83" s="662" t="s">
        <v>0</v>
      </c>
    </row>
    <row r="84" spans="1:25" ht="17.25" customHeight="1">
      <c r="A84" s="692" t="s">
        <v>432</v>
      </c>
      <c r="B84" s="705"/>
      <c r="C84" s="706"/>
      <c r="D84" s="695"/>
      <c r="E84" s="696"/>
      <c r="F84" s="701">
        <v>12000</v>
      </c>
      <c r="G84" s="695"/>
      <c r="H84" s="696"/>
      <c r="I84" s="701">
        <v>12000</v>
      </c>
      <c r="J84" s="695"/>
      <c r="K84" s="696"/>
      <c r="L84" s="701"/>
      <c r="M84" s="695"/>
      <c r="N84" s="696"/>
      <c r="O84" s="701">
        <v>12000</v>
      </c>
      <c r="P84" s="695"/>
      <c r="Q84" s="696"/>
      <c r="R84" s="701"/>
      <c r="S84" s="695"/>
      <c r="T84" s="696"/>
      <c r="U84" s="707">
        <v>-12000</v>
      </c>
      <c r="V84" s="695"/>
      <c r="W84" s="696"/>
      <c r="X84" s="708">
        <f>R84+O84+U84</f>
        <v>0</v>
      </c>
      <c r="Y84" s="662" t="s">
        <v>0</v>
      </c>
    </row>
    <row r="85" spans="1:25">
      <c r="A85" s="716"/>
      <c r="B85" s="717"/>
      <c r="C85" s="717" t="s">
        <v>597</v>
      </c>
      <c r="D85" s="719"/>
      <c r="E85" s="720"/>
      <c r="F85" s="721">
        <f>SUM(F70:F84)</f>
        <v>235000</v>
      </c>
      <c r="G85" s="712"/>
      <c r="H85" s="722"/>
      <c r="I85" s="721">
        <f>SUM(I70:I84)</f>
        <v>235000</v>
      </c>
      <c r="J85" s="712"/>
      <c r="K85" s="722"/>
      <c r="L85" s="1160">
        <f>SUM(L82:L84)</f>
        <v>0</v>
      </c>
      <c r="M85" s="712"/>
      <c r="N85" s="722"/>
      <c r="O85" s="721">
        <f>SUM(O70:O84)</f>
        <v>190000</v>
      </c>
      <c r="P85" s="712"/>
      <c r="Q85" s="722"/>
      <c r="R85" s="721">
        <f>SUM(R70:R84)</f>
        <v>13000</v>
      </c>
      <c r="S85" s="712"/>
      <c r="T85" s="722"/>
      <c r="U85" s="723">
        <f>SUM(U82:U84)</f>
        <v>-12000</v>
      </c>
      <c r="V85" s="712"/>
      <c r="W85" s="722"/>
      <c r="X85" s="724">
        <f>SUM(X70:X84)</f>
        <v>178500</v>
      </c>
      <c r="Y85" s="662" t="s">
        <v>0</v>
      </c>
    </row>
    <row r="86" spans="1:25" ht="17.25" customHeight="1">
      <c r="A86" s="2137" t="s">
        <v>824</v>
      </c>
      <c r="B86" s="2138"/>
      <c r="C86" s="2139"/>
      <c r="D86" s="695"/>
      <c r="E86" s="696"/>
      <c r="F86" s="701"/>
      <c r="G86" s="695"/>
      <c r="H86" s="696"/>
      <c r="I86" s="701"/>
      <c r="J86" s="695"/>
      <c r="K86" s="696"/>
      <c r="L86" s="701"/>
      <c r="M86" s="695"/>
      <c r="N86" s="696"/>
      <c r="O86" s="701"/>
      <c r="P86" s="695"/>
      <c r="Q86" s="696"/>
      <c r="R86" s="701">
        <v>250000</v>
      </c>
      <c r="S86" s="695"/>
      <c r="T86" s="696"/>
      <c r="U86" s="707"/>
      <c r="V86" s="695"/>
      <c r="W86" s="696"/>
      <c r="X86" s="708">
        <f>R86+O86+U86</f>
        <v>250000</v>
      </c>
      <c r="Y86" s="662" t="s">
        <v>0</v>
      </c>
    </row>
    <row r="87" spans="1:25">
      <c r="A87" s="710"/>
      <c r="B87" s="711"/>
      <c r="C87" s="711"/>
      <c r="D87" s="712">
        <f t="shared" ref="D87:W87" si="1">SUM(D70:D84)</f>
        <v>0</v>
      </c>
      <c r="E87" s="713">
        <f t="shared" si="1"/>
        <v>0</v>
      </c>
      <c r="F87" s="714">
        <f t="shared" si="1"/>
        <v>235000</v>
      </c>
      <c r="G87" s="712">
        <f t="shared" si="1"/>
        <v>0</v>
      </c>
      <c r="H87" s="713">
        <f t="shared" si="1"/>
        <v>0</v>
      </c>
      <c r="I87" s="714">
        <f t="shared" si="1"/>
        <v>235000</v>
      </c>
      <c r="J87" s="712">
        <f t="shared" si="1"/>
        <v>0</v>
      </c>
      <c r="K87" s="713">
        <f t="shared" si="1"/>
        <v>0</v>
      </c>
      <c r="L87" s="921">
        <f t="shared" si="1"/>
        <v>-45000</v>
      </c>
      <c r="M87" s="712">
        <f t="shared" si="1"/>
        <v>0</v>
      </c>
      <c r="N87" s="713">
        <f t="shared" si="1"/>
        <v>0</v>
      </c>
      <c r="O87" s="714">
        <f t="shared" si="1"/>
        <v>190000</v>
      </c>
      <c r="P87" s="712">
        <f t="shared" si="1"/>
        <v>0</v>
      </c>
      <c r="Q87" s="713">
        <f t="shared" si="1"/>
        <v>0</v>
      </c>
      <c r="R87" s="714">
        <f>SUM(R85:R86)</f>
        <v>263000</v>
      </c>
      <c r="S87" s="712">
        <f t="shared" si="1"/>
        <v>0</v>
      </c>
      <c r="T87" s="713">
        <f t="shared" si="1"/>
        <v>0</v>
      </c>
      <c r="U87" s="921">
        <f t="shared" si="1"/>
        <v>-24500</v>
      </c>
      <c r="V87" s="712">
        <f t="shared" si="1"/>
        <v>0</v>
      </c>
      <c r="W87" s="713">
        <f t="shared" si="1"/>
        <v>0</v>
      </c>
      <c r="X87" s="715">
        <f>SUM(X70:X86)</f>
        <v>607000</v>
      </c>
      <c r="Y87" s="662" t="s">
        <v>0</v>
      </c>
    </row>
    <row r="88" spans="1:25">
      <c r="A88" s="716" t="s">
        <v>412</v>
      </c>
      <c r="B88" s="717"/>
      <c r="C88" s="717"/>
      <c r="D88" s="695"/>
      <c r="E88" s="696"/>
      <c r="F88" s="707">
        <v>-4858</v>
      </c>
      <c r="G88" s="695"/>
      <c r="H88" s="696"/>
      <c r="I88" s="701">
        <v>0</v>
      </c>
      <c r="J88" s="695"/>
      <c r="K88" s="696"/>
      <c r="L88" s="701">
        <v>0</v>
      </c>
      <c r="M88" s="695"/>
      <c r="N88" s="696"/>
      <c r="O88" s="701">
        <v>0</v>
      </c>
      <c r="P88" s="695"/>
      <c r="Q88" s="696"/>
      <c r="R88" s="701">
        <v>0</v>
      </c>
      <c r="S88" s="695"/>
      <c r="T88" s="696"/>
      <c r="U88" s="701">
        <v>0</v>
      </c>
      <c r="V88" s="695"/>
      <c r="W88" s="696"/>
      <c r="X88" s="708">
        <v>0</v>
      </c>
      <c r="Y88" s="662" t="s">
        <v>0</v>
      </c>
    </row>
    <row r="89" spans="1:25">
      <c r="A89" s="709" t="s">
        <v>448</v>
      </c>
      <c r="B89" s="705"/>
      <c r="C89" s="706"/>
      <c r="D89" s="695"/>
      <c r="E89" s="696"/>
      <c r="F89" s="707">
        <v>-3263</v>
      </c>
      <c r="G89" s="695"/>
      <c r="H89" s="696"/>
      <c r="I89" s="707">
        <v>-4000</v>
      </c>
      <c r="J89" s="695"/>
      <c r="K89" s="696"/>
      <c r="L89" s="701">
        <v>4000</v>
      </c>
      <c r="M89" s="695"/>
      <c r="N89" s="696"/>
      <c r="O89" s="701">
        <v>0</v>
      </c>
      <c r="P89" s="695"/>
      <c r="Q89" s="696"/>
      <c r="R89" s="701">
        <v>0</v>
      </c>
      <c r="S89" s="695"/>
      <c r="T89" s="696"/>
      <c r="U89" s="701">
        <v>0</v>
      </c>
      <c r="V89" s="695"/>
      <c r="W89" s="696"/>
      <c r="X89" s="718">
        <v>-4000</v>
      </c>
      <c r="Y89" s="662" t="s">
        <v>0</v>
      </c>
    </row>
    <row r="90" spans="1:25">
      <c r="A90" s="716"/>
      <c r="B90" s="717"/>
      <c r="C90" s="717" t="s">
        <v>50</v>
      </c>
      <c r="D90" s="719"/>
      <c r="E90" s="720"/>
      <c r="F90" s="721">
        <f>SUM(F87:F89)</f>
        <v>226879</v>
      </c>
      <c r="G90" s="712"/>
      <c r="H90" s="722"/>
      <c r="I90" s="721">
        <f>SUM(I87:I89)</f>
        <v>231000</v>
      </c>
      <c r="J90" s="712"/>
      <c r="K90" s="722"/>
      <c r="L90" s="1160">
        <f>SUM(L87:L89)</f>
        <v>-41000</v>
      </c>
      <c r="M90" s="712"/>
      <c r="N90" s="722"/>
      <c r="O90" s="721">
        <f>SUM(O87:O89)</f>
        <v>190000</v>
      </c>
      <c r="P90" s="712"/>
      <c r="Q90" s="722"/>
      <c r="R90" s="721">
        <f>SUM(R87:R89)</f>
        <v>263000</v>
      </c>
      <c r="S90" s="712"/>
      <c r="T90" s="722"/>
      <c r="U90" s="723">
        <f>SUM(U87:U89)</f>
        <v>-24500</v>
      </c>
      <c r="V90" s="712"/>
      <c r="W90" s="722"/>
      <c r="X90" s="724">
        <f>SUM(X87:X89)</f>
        <v>603000</v>
      </c>
      <c r="Y90" s="662" t="s">
        <v>0</v>
      </c>
    </row>
    <row r="91" spans="1:25" ht="17.25" customHeight="1">
      <c r="A91" s="725"/>
      <c r="B91" s="2140"/>
      <c r="C91" s="2141"/>
      <c r="D91" s="726"/>
      <c r="E91" s="727"/>
      <c r="F91" s="663"/>
      <c r="G91" s="728"/>
      <c r="H91" s="729"/>
      <c r="I91" s="729"/>
      <c r="J91" s="728"/>
      <c r="K91" s="729"/>
      <c r="L91" s="729"/>
      <c r="M91" s="728"/>
      <c r="N91" s="729"/>
      <c r="O91" s="729"/>
      <c r="P91" s="728"/>
      <c r="Q91" s="729"/>
      <c r="R91" s="729"/>
      <c r="S91" s="728"/>
      <c r="T91" s="729"/>
      <c r="U91" s="729"/>
      <c r="V91" s="728"/>
      <c r="W91" s="730"/>
      <c r="X91" s="731"/>
      <c r="Y91" s="662" t="s">
        <v>0</v>
      </c>
    </row>
    <row r="92" spans="1:25">
      <c r="A92" s="710"/>
      <c r="B92" s="2142" t="s">
        <v>263</v>
      </c>
      <c r="C92" s="2143"/>
      <c r="D92" s="732"/>
      <c r="E92" s="733"/>
      <c r="F92" s="734"/>
      <c r="G92" s="735"/>
      <c r="H92" s="736"/>
      <c r="I92" s="736"/>
      <c r="J92" s="735"/>
      <c r="K92" s="736"/>
      <c r="L92" s="736"/>
      <c r="M92" s="735"/>
      <c r="N92" s="736"/>
      <c r="O92" s="736"/>
      <c r="P92" s="735"/>
      <c r="Q92" s="736"/>
      <c r="R92" s="736"/>
      <c r="S92" s="735"/>
      <c r="T92" s="736"/>
      <c r="U92" s="736"/>
      <c r="V92" s="735"/>
      <c r="W92" s="733">
        <f>Q92+N92</f>
        <v>0</v>
      </c>
      <c r="X92" s="737"/>
      <c r="Y92" s="662" t="s">
        <v>0</v>
      </c>
    </row>
    <row r="93" spans="1:25">
      <c r="A93" s="692"/>
      <c r="B93" s="2144" t="s">
        <v>262</v>
      </c>
      <c r="C93" s="2145"/>
      <c r="D93" s="695"/>
      <c r="E93" s="696">
        <f>+E87+E92</f>
        <v>0</v>
      </c>
      <c r="F93" s="701"/>
      <c r="G93" s="738"/>
      <c r="H93" s="696">
        <f>+H87+H92</f>
        <v>0</v>
      </c>
      <c r="I93" s="697"/>
      <c r="J93" s="738"/>
      <c r="K93" s="696">
        <f>+K87+K92</f>
        <v>0</v>
      </c>
      <c r="L93" s="697"/>
      <c r="M93" s="738"/>
      <c r="N93" s="696">
        <f>+N87+N92</f>
        <v>0</v>
      </c>
      <c r="O93" s="697"/>
      <c r="P93" s="738"/>
      <c r="Q93" s="696">
        <f>+Q87+Q92</f>
        <v>0</v>
      </c>
      <c r="R93" s="697"/>
      <c r="S93" s="738"/>
      <c r="T93" s="696">
        <f>+T87+T92</f>
        <v>0</v>
      </c>
      <c r="U93" s="697"/>
      <c r="V93" s="738"/>
      <c r="W93" s="696"/>
      <c r="X93" s="667"/>
      <c r="Y93" s="662" t="s">
        <v>0</v>
      </c>
    </row>
    <row r="94" spans="1:25">
      <c r="A94" s="739"/>
      <c r="B94" s="2133"/>
      <c r="C94" s="2134"/>
      <c r="D94" s="726"/>
      <c r="E94" s="727"/>
      <c r="F94" s="663"/>
      <c r="G94" s="728"/>
      <c r="H94" s="729"/>
      <c r="I94" s="729"/>
      <c r="J94" s="728"/>
      <c r="K94" s="729"/>
      <c r="L94" s="729"/>
      <c r="M94" s="728"/>
      <c r="N94" s="729"/>
      <c r="O94" s="729"/>
      <c r="P94" s="728"/>
      <c r="Q94" s="729"/>
      <c r="R94" s="729"/>
      <c r="S94" s="728"/>
      <c r="T94" s="729"/>
      <c r="U94" s="729"/>
      <c r="V94" s="728"/>
      <c r="W94" s="730"/>
      <c r="X94" s="731"/>
      <c r="Y94" s="662" t="s">
        <v>0</v>
      </c>
    </row>
    <row r="95" spans="1:25">
      <c r="A95" s="692"/>
      <c r="B95" s="2144" t="s">
        <v>260</v>
      </c>
      <c r="C95" s="2145"/>
      <c r="D95" s="695"/>
      <c r="E95" s="696"/>
      <c r="F95" s="701"/>
      <c r="G95" s="738"/>
      <c r="H95" s="697"/>
      <c r="I95" s="697"/>
      <c r="J95" s="738"/>
      <c r="K95" s="697"/>
      <c r="L95" s="697"/>
      <c r="M95" s="738"/>
      <c r="N95" s="697"/>
      <c r="O95" s="697"/>
      <c r="P95" s="738"/>
      <c r="Q95" s="697"/>
      <c r="R95" s="697"/>
      <c r="S95" s="738"/>
      <c r="T95" s="697"/>
      <c r="U95" s="697"/>
      <c r="V95" s="738"/>
      <c r="W95" s="697"/>
      <c r="X95" s="667"/>
      <c r="Y95" s="662" t="s">
        <v>0</v>
      </c>
    </row>
    <row r="96" spans="1:25">
      <c r="A96" s="692"/>
      <c r="B96" s="740"/>
      <c r="C96" s="704" t="s">
        <v>55</v>
      </c>
      <c r="D96" s="695"/>
      <c r="E96" s="696"/>
      <c r="F96" s="701"/>
      <c r="G96" s="738"/>
      <c r="H96" s="697"/>
      <c r="I96" s="697"/>
      <c r="J96" s="738"/>
      <c r="K96" s="696"/>
      <c r="L96" s="697"/>
      <c r="M96" s="738"/>
      <c r="N96" s="696"/>
      <c r="O96" s="697"/>
      <c r="P96" s="738"/>
      <c r="Q96" s="696"/>
      <c r="R96" s="697"/>
      <c r="S96" s="738"/>
      <c r="T96" s="696"/>
      <c r="U96" s="697"/>
      <c r="V96" s="738"/>
      <c r="W96" s="741"/>
      <c r="X96" s="667"/>
      <c r="Y96" s="662" t="s">
        <v>0</v>
      </c>
    </row>
    <row r="97" spans="1:25">
      <c r="A97" s="710"/>
      <c r="B97" s="742"/>
      <c r="C97" s="743" t="s">
        <v>103</v>
      </c>
      <c r="D97" s="732"/>
      <c r="E97" s="733"/>
      <c r="F97" s="734"/>
      <c r="G97" s="735"/>
      <c r="H97" s="736"/>
      <c r="I97" s="736"/>
      <c r="J97" s="735"/>
      <c r="K97" s="733"/>
      <c r="L97" s="736"/>
      <c r="M97" s="735"/>
      <c r="N97" s="733"/>
      <c r="O97" s="736"/>
      <c r="P97" s="735"/>
      <c r="Q97" s="733"/>
      <c r="R97" s="736"/>
      <c r="S97" s="735"/>
      <c r="T97" s="733"/>
      <c r="U97" s="736"/>
      <c r="V97" s="735"/>
      <c r="W97" s="733"/>
      <c r="X97" s="737"/>
      <c r="Y97" s="662" t="s">
        <v>0</v>
      </c>
    </row>
    <row r="98" spans="1:25">
      <c r="A98" s="710"/>
      <c r="B98" s="2148" t="s">
        <v>261</v>
      </c>
      <c r="C98" s="2149"/>
      <c r="D98" s="732"/>
      <c r="E98" s="733">
        <f>E97+E96+E93</f>
        <v>0</v>
      </c>
      <c r="F98" s="734"/>
      <c r="G98" s="735"/>
      <c r="H98" s="733">
        <f>H97+H96+H93</f>
        <v>0</v>
      </c>
      <c r="I98" s="736"/>
      <c r="J98" s="735"/>
      <c r="K98" s="733">
        <f>K97+K96+K93</f>
        <v>0</v>
      </c>
      <c r="L98" s="736"/>
      <c r="M98" s="735"/>
      <c r="N98" s="733">
        <f>N97+N96+N93</f>
        <v>0</v>
      </c>
      <c r="O98" s="736"/>
      <c r="P98" s="735"/>
      <c r="Q98" s="733">
        <f>Q97+Q96+Q93</f>
        <v>0</v>
      </c>
      <c r="R98" s="736"/>
      <c r="S98" s="735"/>
      <c r="T98" s="733">
        <f>T97+T96+T93</f>
        <v>0</v>
      </c>
      <c r="U98" s="736"/>
      <c r="V98" s="735"/>
      <c r="W98" s="733">
        <f>W97+W96+W93</f>
        <v>0</v>
      </c>
      <c r="X98" s="737"/>
      <c r="Y98" s="662" t="s">
        <v>0</v>
      </c>
    </row>
    <row r="99" spans="1:25">
      <c r="C99" s="744"/>
      <c r="Y99" s="745" t="s">
        <v>24</v>
      </c>
    </row>
    <row r="100" spans="1:25">
      <c r="C100" s="744"/>
    </row>
    <row r="101" spans="1:25" s="746" customFormat="1" ht="15">
      <c r="D101" s="747"/>
      <c r="E101" s="747"/>
      <c r="F101" s="747"/>
      <c r="G101" s="747"/>
      <c r="H101" s="747"/>
      <c r="I101" s="747"/>
      <c r="J101" s="747"/>
      <c r="K101" s="747"/>
      <c r="L101" s="747"/>
      <c r="M101" s="747"/>
      <c r="N101" s="747"/>
      <c r="O101" s="747"/>
      <c r="P101" s="747"/>
      <c r="Q101" s="747"/>
      <c r="R101" s="747"/>
      <c r="S101" s="747"/>
      <c r="T101" s="747"/>
      <c r="U101" s="747"/>
      <c r="V101" s="747"/>
      <c r="W101" s="747"/>
      <c r="X101" s="747"/>
      <c r="Y101" s="748"/>
    </row>
    <row r="102" spans="1:25" s="746" customFormat="1" ht="15">
      <c r="D102" s="747"/>
      <c r="E102" s="747"/>
      <c r="F102" s="747"/>
      <c r="G102" s="747"/>
      <c r="H102" s="747"/>
      <c r="I102" s="747"/>
      <c r="J102" s="747"/>
      <c r="K102" s="747"/>
      <c r="L102" s="747"/>
      <c r="M102" s="747"/>
      <c r="N102" s="747"/>
      <c r="O102" s="747"/>
      <c r="P102" s="747"/>
      <c r="Q102" s="747"/>
      <c r="R102" s="747"/>
      <c r="S102" s="747"/>
      <c r="T102" s="747"/>
      <c r="U102" s="747"/>
      <c r="V102" s="747"/>
      <c r="W102" s="747"/>
      <c r="X102" s="747"/>
      <c r="Y102" s="748"/>
    </row>
    <row r="103" spans="1:25" s="746" customFormat="1" ht="15">
      <c r="D103" s="747"/>
      <c r="E103" s="747"/>
      <c r="F103" s="747"/>
      <c r="G103" s="747"/>
      <c r="H103" s="747"/>
      <c r="I103" s="747"/>
      <c r="J103" s="747"/>
      <c r="K103" s="747"/>
      <c r="L103" s="747"/>
      <c r="M103" s="747"/>
      <c r="N103" s="747"/>
      <c r="O103" s="747"/>
      <c r="P103" s="747"/>
      <c r="Q103" s="747"/>
      <c r="R103" s="747"/>
      <c r="S103" s="747"/>
      <c r="T103" s="747"/>
      <c r="U103" s="747"/>
      <c r="V103" s="747"/>
      <c r="W103" s="747"/>
      <c r="X103" s="747"/>
      <c r="Y103" s="748"/>
    </row>
    <row r="104" spans="1:25" s="746" customFormat="1" ht="15">
      <c r="A104" s="749"/>
      <c r="B104" s="749"/>
      <c r="C104" s="749"/>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48"/>
    </row>
    <row r="105" spans="1:25" s="746" customFormat="1" ht="15">
      <c r="A105" s="751"/>
      <c r="B105" s="751"/>
      <c r="C105" s="751"/>
      <c r="D105" s="752"/>
      <c r="E105" s="752"/>
      <c r="F105" s="752"/>
      <c r="G105" s="752"/>
      <c r="H105" s="752"/>
      <c r="I105" s="752"/>
      <c r="J105" s="752"/>
      <c r="K105" s="752"/>
      <c r="L105" s="752"/>
      <c r="M105" s="752"/>
      <c r="N105" s="752"/>
      <c r="O105" s="752"/>
      <c r="P105" s="752"/>
      <c r="Q105" s="752"/>
      <c r="R105" s="752"/>
      <c r="S105" s="752"/>
      <c r="T105" s="752"/>
      <c r="U105" s="752"/>
      <c r="V105" s="752"/>
      <c r="W105" s="753"/>
      <c r="X105" s="753"/>
      <c r="Y105" s="748"/>
    </row>
    <row r="106" spans="1:25" s="746" customFormat="1" ht="26.25">
      <c r="A106" s="2150"/>
      <c r="B106" s="2150"/>
      <c r="C106" s="2150"/>
      <c r="D106" s="2150"/>
      <c r="E106" s="2150"/>
      <c r="F106" s="2150"/>
      <c r="G106" s="2150"/>
      <c r="H106" s="2150"/>
      <c r="I106" s="2150"/>
      <c r="J106" s="2150"/>
      <c r="K106" s="2150"/>
      <c r="L106" s="2150"/>
      <c r="M106" s="2150"/>
      <c r="N106" s="2150"/>
      <c r="O106" s="2150"/>
      <c r="P106" s="2150"/>
      <c r="Q106" s="2150"/>
      <c r="R106" s="2150"/>
      <c r="S106" s="2150"/>
      <c r="T106" s="2150"/>
      <c r="U106" s="2150"/>
      <c r="V106" s="2150"/>
      <c r="W106" s="754"/>
      <c r="X106" s="754"/>
      <c r="Y106" s="748"/>
    </row>
    <row r="107" spans="1:25" s="746" customFormat="1" ht="25.5">
      <c r="A107" s="2151"/>
      <c r="B107" s="2032"/>
      <c r="C107" s="2032"/>
      <c r="D107" s="2032"/>
      <c r="E107" s="2032"/>
      <c r="F107" s="2032"/>
      <c r="G107" s="2032"/>
      <c r="H107" s="2032"/>
      <c r="I107" s="2032"/>
      <c r="J107" s="2032"/>
      <c r="K107" s="2032"/>
      <c r="L107" s="2032"/>
      <c r="M107" s="2032"/>
      <c r="N107" s="2032"/>
      <c r="O107" s="2032"/>
      <c r="P107" s="2032"/>
      <c r="Q107" s="2032"/>
      <c r="R107" s="2032"/>
      <c r="S107" s="2032"/>
      <c r="T107" s="2032"/>
      <c r="U107" s="2032"/>
      <c r="V107" s="2032"/>
      <c r="W107" s="755"/>
      <c r="X107" s="755"/>
      <c r="Y107" s="748"/>
    </row>
    <row r="108" spans="1:25" s="746" customFormat="1" ht="25.5">
      <c r="A108" s="2152"/>
      <c r="B108" s="2153"/>
      <c r="C108" s="2153"/>
      <c r="D108" s="2153"/>
      <c r="E108" s="2153"/>
      <c r="F108" s="2153"/>
      <c r="G108" s="2153"/>
      <c r="H108" s="2153"/>
      <c r="I108" s="2153"/>
      <c r="J108" s="2153"/>
      <c r="K108" s="2153"/>
      <c r="L108" s="2153"/>
      <c r="M108" s="2153"/>
      <c r="N108" s="2153"/>
      <c r="O108" s="2153"/>
      <c r="P108" s="2153"/>
      <c r="Q108" s="2153"/>
      <c r="R108" s="2153"/>
      <c r="S108" s="2153"/>
      <c r="T108" s="2153"/>
      <c r="U108" s="2153"/>
      <c r="V108" s="2153"/>
      <c r="W108" s="755"/>
      <c r="X108" s="755"/>
      <c r="Y108" s="748"/>
    </row>
    <row r="109" spans="1:25" s="746" customFormat="1" ht="30" customHeight="1">
      <c r="A109" s="2153"/>
      <c r="B109" s="2153"/>
      <c r="C109" s="2153"/>
      <c r="D109" s="2153"/>
      <c r="E109" s="2153"/>
      <c r="F109" s="2153"/>
      <c r="G109" s="2153"/>
      <c r="H109" s="2153"/>
      <c r="I109" s="2153"/>
      <c r="J109" s="2153"/>
      <c r="K109" s="2153"/>
      <c r="L109" s="2153"/>
      <c r="M109" s="2153"/>
      <c r="N109" s="2153"/>
      <c r="O109" s="2153"/>
      <c r="P109" s="2153"/>
      <c r="Q109" s="2153"/>
      <c r="R109" s="2153"/>
      <c r="S109" s="2153"/>
      <c r="T109" s="2153"/>
      <c r="U109" s="2153"/>
      <c r="V109" s="2153"/>
      <c r="W109" s="755"/>
      <c r="X109" s="755"/>
      <c r="Y109" s="748"/>
    </row>
    <row r="110" spans="1:25" s="746" customFormat="1" ht="62.25" customHeight="1">
      <c r="A110" s="2146"/>
      <c r="B110" s="2146"/>
      <c r="C110" s="2146"/>
      <c r="D110" s="2146"/>
      <c r="E110" s="2146"/>
      <c r="F110" s="2146"/>
      <c r="G110" s="2146"/>
      <c r="H110" s="2146"/>
      <c r="I110" s="2146"/>
      <c r="J110" s="2146"/>
      <c r="K110" s="2146"/>
      <c r="L110" s="2146"/>
      <c r="M110" s="2146"/>
      <c r="N110" s="2146"/>
      <c r="O110" s="2146"/>
      <c r="P110" s="2146"/>
      <c r="Q110" s="2146"/>
      <c r="R110" s="2146"/>
      <c r="S110" s="2146"/>
      <c r="T110" s="2146"/>
      <c r="U110" s="2146"/>
      <c r="V110" s="2146"/>
      <c r="W110" s="756"/>
      <c r="X110" s="756"/>
      <c r="Y110" s="748"/>
    </row>
    <row r="111" spans="1:25" s="746" customFormat="1" ht="90.75" customHeight="1">
      <c r="A111" s="2146"/>
      <c r="B111" s="2147"/>
      <c r="C111" s="2147"/>
      <c r="D111" s="2147"/>
      <c r="E111" s="2147"/>
      <c r="F111" s="2147"/>
      <c r="G111" s="2147"/>
      <c r="H111" s="2147"/>
      <c r="I111" s="2147"/>
      <c r="J111" s="2147"/>
      <c r="K111" s="2147"/>
      <c r="L111" s="2147"/>
      <c r="M111" s="2147"/>
      <c r="N111" s="2147"/>
      <c r="O111" s="2147"/>
      <c r="P111" s="2147"/>
      <c r="Q111" s="2147"/>
      <c r="R111" s="2147"/>
      <c r="S111" s="2147"/>
      <c r="T111" s="2147"/>
      <c r="U111" s="2147"/>
      <c r="V111" s="2147"/>
      <c r="W111" s="756"/>
      <c r="X111" s="756"/>
      <c r="Y111" s="748"/>
    </row>
    <row r="112" spans="1:25" s="757" customFormat="1" ht="25.5">
      <c r="D112" s="758"/>
      <c r="E112" s="758"/>
      <c r="F112" s="758"/>
      <c r="G112" s="758"/>
      <c r="H112" s="758"/>
      <c r="I112" s="758"/>
      <c r="J112" s="758"/>
      <c r="K112" s="758"/>
      <c r="L112" s="758"/>
      <c r="M112" s="758"/>
      <c r="N112" s="758"/>
      <c r="O112" s="758"/>
      <c r="P112" s="758"/>
      <c r="Q112" s="758"/>
      <c r="R112" s="758"/>
      <c r="S112" s="758"/>
      <c r="T112" s="758"/>
      <c r="U112" s="758"/>
      <c r="V112" s="758"/>
      <c r="W112" s="759"/>
      <c r="X112" s="760"/>
    </row>
    <row r="113" spans="11:24">
      <c r="W113" s="761"/>
      <c r="X113" s="761"/>
    </row>
    <row r="114" spans="11:24">
      <c r="K114" s="762"/>
    </row>
  </sheetData>
  <mergeCells count="81">
    <mergeCell ref="A111:V111"/>
    <mergeCell ref="B95:C95"/>
    <mergeCell ref="B98:C98"/>
    <mergeCell ref="A106:V106"/>
    <mergeCell ref="A107:V107"/>
    <mergeCell ref="A108:V109"/>
    <mergeCell ref="A110:V110"/>
    <mergeCell ref="B94:C94"/>
    <mergeCell ref="V67:X68"/>
    <mergeCell ref="B71:C71"/>
    <mergeCell ref="B72:C72"/>
    <mergeCell ref="B78:C78"/>
    <mergeCell ref="B79:C79"/>
    <mergeCell ref="B80:C80"/>
    <mergeCell ref="B81:C81"/>
    <mergeCell ref="A86:C86"/>
    <mergeCell ref="B91:C91"/>
    <mergeCell ref="B92:C92"/>
    <mergeCell ref="B93:C93"/>
    <mergeCell ref="B73:C73"/>
    <mergeCell ref="A59:X59"/>
    <mergeCell ref="A60:X60"/>
    <mergeCell ref="A61:X61"/>
    <mergeCell ref="A67:C69"/>
    <mergeCell ref="D67:F68"/>
    <mergeCell ref="G67:I68"/>
    <mergeCell ref="J67:L68"/>
    <mergeCell ref="M67:O68"/>
    <mergeCell ref="P67:R68"/>
    <mergeCell ref="S67:U68"/>
    <mergeCell ref="A58:X58"/>
    <mergeCell ref="A39:U39"/>
    <mergeCell ref="A40:U40"/>
    <mergeCell ref="A41:U41"/>
    <mergeCell ref="A42:U42"/>
    <mergeCell ref="A43:U43"/>
    <mergeCell ref="A44:U44"/>
    <mergeCell ref="A45:U45"/>
    <mergeCell ref="A46:U46"/>
    <mergeCell ref="A47:U47"/>
    <mergeCell ref="A48:U48"/>
    <mergeCell ref="A38:U38"/>
    <mergeCell ref="A27:U27"/>
    <mergeCell ref="A28:U28"/>
    <mergeCell ref="A29:U29"/>
    <mergeCell ref="A30:U30"/>
    <mergeCell ref="A31:U31"/>
    <mergeCell ref="A32:U32"/>
    <mergeCell ref="A33:U33"/>
    <mergeCell ref="A34:U34"/>
    <mergeCell ref="A35:U35"/>
    <mergeCell ref="A36:U36"/>
    <mergeCell ref="A37:U37"/>
    <mergeCell ref="A26:U26"/>
    <mergeCell ref="A14:U14"/>
    <mergeCell ref="A15:U15"/>
    <mergeCell ref="A16:U16"/>
    <mergeCell ref="A17:U17"/>
    <mergeCell ref="A18:U18"/>
    <mergeCell ref="A19:U19"/>
    <mergeCell ref="A20:U20"/>
    <mergeCell ref="A21:U21"/>
    <mergeCell ref="A23:U23"/>
    <mergeCell ref="A24:U24"/>
    <mergeCell ref="A25:U25"/>
    <mergeCell ref="A22:U22"/>
    <mergeCell ref="A7:X7"/>
    <mergeCell ref="A8:X8"/>
    <mergeCell ref="A9:X9"/>
    <mergeCell ref="A10:X10"/>
    <mergeCell ref="A11:U13"/>
    <mergeCell ref="V11:X11"/>
    <mergeCell ref="V12:V13"/>
    <mergeCell ref="W12:W13"/>
    <mergeCell ref="X12:X13"/>
    <mergeCell ref="A6:X6"/>
    <mergeCell ref="A1:X1"/>
    <mergeCell ref="A2:X2"/>
    <mergeCell ref="A3:X3"/>
    <mergeCell ref="A4:X4"/>
    <mergeCell ref="A5:X5"/>
  </mergeCells>
  <printOptions horizontalCentered="1"/>
  <pageMargins left="0.5" right="0.4" top="0.5" bottom="0.25" header="0" footer="0"/>
  <pageSetup scale="46" firstPageNumber="8" fitToHeight="0" orientation="landscape" useFirstPageNumber="1" r:id="rId1"/>
  <headerFooter alignWithMargins="0">
    <oddFooter>&amp;C&amp;"Times New Roman,Regular"Exhibit B - Summary of Requirements&amp;R&amp;"Times New Roman,Regular"Justice Assistance</oddFooter>
  </headerFooter>
  <rowBreaks count="1" manualBreakCount="1">
    <brk id="48" max="23" man="1"/>
  </rowBreaks>
</worksheet>
</file>

<file path=xl/worksheets/sheet16.xml><?xml version="1.0" encoding="utf-8"?>
<worksheet xmlns="http://schemas.openxmlformats.org/spreadsheetml/2006/main" xmlns:r="http://schemas.openxmlformats.org/officeDocument/2006/relationships">
  <sheetPr>
    <pageSetUpPr fitToPage="1"/>
  </sheetPr>
  <dimension ref="A1:H45"/>
  <sheetViews>
    <sheetView view="pageBreakPreview" zoomScale="75" zoomScaleNormal="75" zoomScaleSheetLayoutView="75" workbookViewId="0">
      <selection activeCell="A25" sqref="A25"/>
    </sheetView>
  </sheetViews>
  <sheetFormatPr defaultColWidth="7.21875" defaultRowHeight="12.75"/>
  <cols>
    <col min="1" max="1" width="48.33203125" style="764" customWidth="1"/>
    <col min="2" max="2" width="18.44140625" style="764" customWidth="1"/>
    <col min="3" max="3" width="4.6640625" style="764" customWidth="1"/>
    <col min="4" max="4" width="7.5546875" style="764" customWidth="1"/>
    <col min="5" max="5" width="4.6640625" style="764" customWidth="1"/>
    <col min="6" max="6" width="9.77734375" style="764" bestFit="1" customWidth="1"/>
    <col min="7" max="7" width="24.109375" style="764" customWidth="1"/>
    <col min="8" max="8" width="8.88671875" style="811" customWidth="1"/>
    <col min="9" max="16384" width="7.21875" style="764"/>
  </cols>
  <sheetData>
    <row r="1" spans="1:8" ht="20.25">
      <c r="A1" s="2156" t="s">
        <v>33</v>
      </c>
      <c r="B1" s="2157"/>
      <c r="C1" s="2157"/>
      <c r="D1" s="2157"/>
      <c r="E1" s="2157"/>
      <c r="F1" s="2157"/>
      <c r="G1" s="2157"/>
      <c r="H1" s="763" t="s">
        <v>0</v>
      </c>
    </row>
    <row r="2" spans="1:8" ht="20.25">
      <c r="A2" s="2033"/>
      <c r="B2" s="2033"/>
      <c r="C2" s="2033"/>
      <c r="D2" s="2033"/>
      <c r="E2" s="2033"/>
      <c r="F2" s="2033"/>
      <c r="G2" s="2033"/>
      <c r="H2" s="763" t="s">
        <v>0</v>
      </c>
    </row>
    <row r="3" spans="1:8">
      <c r="A3" s="2158"/>
      <c r="B3" s="2158"/>
      <c r="C3" s="2158"/>
      <c r="D3" s="2158"/>
      <c r="E3" s="2158"/>
      <c r="F3" s="2158"/>
      <c r="G3" s="2158"/>
      <c r="H3" s="763" t="s">
        <v>0</v>
      </c>
    </row>
    <row r="4" spans="1:8" ht="23.25">
      <c r="A4" s="2159" t="s">
        <v>239</v>
      </c>
      <c r="B4" s="2155"/>
      <c r="C4" s="2155"/>
      <c r="D4" s="2155"/>
      <c r="E4" s="2155"/>
      <c r="F4" s="2155"/>
      <c r="G4" s="2155"/>
      <c r="H4" s="763" t="s">
        <v>0</v>
      </c>
    </row>
    <row r="5" spans="1:8" ht="23.25">
      <c r="A5" s="2160" t="str">
        <f>'B. Summ of Requirements  - JA'!A59</f>
        <v>Office of Justice Programs</v>
      </c>
      <c r="B5" s="2161"/>
      <c r="C5" s="2161"/>
      <c r="D5" s="2161"/>
      <c r="E5" s="2161"/>
      <c r="F5" s="2161"/>
      <c r="G5" s="2161"/>
      <c r="H5" s="763" t="s">
        <v>0</v>
      </c>
    </row>
    <row r="6" spans="1:8" ht="23.25">
      <c r="A6" s="2154" t="s">
        <v>411</v>
      </c>
      <c r="B6" s="2155"/>
      <c r="C6" s="2155"/>
      <c r="D6" s="2155"/>
      <c r="E6" s="2155"/>
      <c r="F6" s="2155"/>
      <c r="G6" s="2155"/>
      <c r="H6" s="763" t="s">
        <v>0</v>
      </c>
    </row>
    <row r="7" spans="1:8" ht="23.25">
      <c r="A7" s="2154" t="s">
        <v>257</v>
      </c>
      <c r="B7" s="2155"/>
      <c r="C7" s="2155"/>
      <c r="D7" s="2155"/>
      <c r="E7" s="2155"/>
      <c r="F7" s="2155"/>
      <c r="G7" s="2155"/>
      <c r="H7" s="763" t="s">
        <v>0</v>
      </c>
    </row>
    <row r="8" spans="1:8">
      <c r="A8" s="2162"/>
      <c r="B8" s="2162"/>
      <c r="C8" s="2162"/>
      <c r="D8" s="2162"/>
      <c r="E8" s="2162"/>
      <c r="F8" s="2162"/>
      <c r="G8" s="2162"/>
      <c r="H8" s="763" t="s">
        <v>0</v>
      </c>
    </row>
    <row r="9" spans="1:8">
      <c r="A9" s="2163"/>
      <c r="B9" s="2163"/>
      <c r="C9" s="2163"/>
      <c r="D9" s="2163"/>
      <c r="E9" s="2163"/>
      <c r="F9" s="2163"/>
      <c r="G9" s="2163"/>
      <c r="H9" s="763" t="s">
        <v>0</v>
      </c>
    </row>
    <row r="10" spans="1:8" ht="15">
      <c r="A10" s="2164" t="s">
        <v>238</v>
      </c>
      <c r="B10" s="2166" t="s">
        <v>22</v>
      </c>
      <c r="C10" s="2168" t="s">
        <v>411</v>
      </c>
      <c r="D10" s="2169"/>
      <c r="E10" s="2169"/>
      <c r="F10" s="2170"/>
      <c r="G10" s="2166" t="s">
        <v>449</v>
      </c>
      <c r="H10" s="763" t="s">
        <v>0</v>
      </c>
    </row>
    <row r="11" spans="1:8" ht="25.5" customHeight="1">
      <c r="A11" s="2165"/>
      <c r="B11" s="2167"/>
      <c r="C11" s="765" t="s">
        <v>277</v>
      </c>
      <c r="D11" s="765" t="s">
        <v>10</v>
      </c>
      <c r="E11" s="765" t="s">
        <v>49</v>
      </c>
      <c r="F11" s="766" t="s">
        <v>279</v>
      </c>
      <c r="G11" s="2167"/>
      <c r="H11" s="763" t="s">
        <v>0</v>
      </c>
    </row>
    <row r="12" spans="1:8" ht="15.75">
      <c r="A12" s="767"/>
      <c r="B12" s="768"/>
      <c r="C12" s="769"/>
      <c r="D12" s="770"/>
      <c r="E12" s="770"/>
      <c r="F12" s="771"/>
      <c r="G12" s="771"/>
      <c r="H12" s="763" t="s">
        <v>0</v>
      </c>
    </row>
    <row r="13" spans="1:8" ht="18.75" customHeight="1">
      <c r="A13" s="767" t="s">
        <v>415</v>
      </c>
      <c r="B13" s="768" t="s">
        <v>411</v>
      </c>
      <c r="C13" s="772"/>
      <c r="D13" s="770"/>
      <c r="E13" s="770"/>
      <c r="F13" s="771"/>
      <c r="G13" s="771"/>
      <c r="H13" s="763" t="s">
        <v>0</v>
      </c>
    </row>
    <row r="14" spans="1:8" ht="18.75" customHeight="1">
      <c r="A14" s="767" t="s">
        <v>416</v>
      </c>
      <c r="B14" s="768" t="s">
        <v>411</v>
      </c>
      <c r="C14" s="772"/>
      <c r="D14" s="770"/>
      <c r="E14" s="770"/>
      <c r="F14" s="678" t="s">
        <v>417</v>
      </c>
      <c r="G14" s="678" t="s">
        <v>417</v>
      </c>
      <c r="H14" s="763" t="s">
        <v>0</v>
      </c>
    </row>
    <row r="15" spans="1:8" ht="18.75" customHeight="1">
      <c r="A15" s="767" t="s">
        <v>418</v>
      </c>
      <c r="B15" s="768" t="s">
        <v>411</v>
      </c>
      <c r="C15" s="772"/>
      <c r="D15" s="770"/>
      <c r="E15" s="770"/>
      <c r="F15" s="771">
        <v>7000</v>
      </c>
      <c r="G15" s="771">
        <f>+F15</f>
        <v>7000</v>
      </c>
      <c r="H15" s="763" t="s">
        <v>0</v>
      </c>
    </row>
    <row r="16" spans="1:8" ht="18.75" customHeight="1">
      <c r="A16" s="767" t="s">
        <v>450</v>
      </c>
      <c r="B16" s="768" t="s">
        <v>411</v>
      </c>
      <c r="C16" s="772"/>
      <c r="D16" s="770"/>
      <c r="E16" s="770"/>
      <c r="F16" s="678" t="s">
        <v>420</v>
      </c>
      <c r="G16" s="678" t="s">
        <v>420</v>
      </c>
      <c r="H16" s="763" t="s">
        <v>0</v>
      </c>
    </row>
    <row r="17" spans="1:8" ht="18.75" customHeight="1">
      <c r="A17" s="767" t="s">
        <v>451</v>
      </c>
      <c r="B17" s="768" t="s">
        <v>411</v>
      </c>
      <c r="C17" s="772"/>
      <c r="D17" s="770"/>
      <c r="E17" s="770"/>
      <c r="F17" s="678" t="s">
        <v>422</v>
      </c>
      <c r="G17" s="678" t="s">
        <v>422</v>
      </c>
      <c r="H17" s="763" t="s">
        <v>0</v>
      </c>
    </row>
    <row r="18" spans="1:8" ht="18.75" customHeight="1">
      <c r="A18" s="767" t="s">
        <v>452</v>
      </c>
      <c r="B18" s="768" t="s">
        <v>411</v>
      </c>
      <c r="C18" s="772"/>
      <c r="D18" s="770"/>
      <c r="E18" s="770"/>
      <c r="F18" s="678" t="s">
        <v>424</v>
      </c>
      <c r="G18" s="678" t="s">
        <v>424</v>
      </c>
      <c r="H18" s="763" t="s">
        <v>0</v>
      </c>
    </row>
    <row r="19" spans="1:8" ht="18.75" customHeight="1">
      <c r="A19" s="767" t="s">
        <v>453</v>
      </c>
      <c r="B19" s="768" t="s">
        <v>411</v>
      </c>
      <c r="C19" s="772"/>
      <c r="D19" s="770"/>
      <c r="E19" s="770"/>
      <c r="F19" s="678" t="s">
        <v>426</v>
      </c>
      <c r="G19" s="678" t="s">
        <v>426</v>
      </c>
      <c r="H19" s="763" t="s">
        <v>0</v>
      </c>
    </row>
    <row r="20" spans="1:8" ht="18.75" customHeight="1">
      <c r="A20" s="767" t="s">
        <v>454</v>
      </c>
      <c r="B20" s="768" t="s">
        <v>411</v>
      </c>
      <c r="C20" s="772"/>
      <c r="D20" s="770"/>
      <c r="E20" s="770"/>
      <c r="F20" s="678" t="s">
        <v>420</v>
      </c>
      <c r="G20" s="678" t="s">
        <v>420</v>
      </c>
      <c r="H20" s="763" t="s">
        <v>0</v>
      </c>
    </row>
    <row r="21" spans="1:8" ht="18.75" customHeight="1">
      <c r="A21" s="767" t="s">
        <v>428</v>
      </c>
      <c r="B21" s="768" t="s">
        <v>411</v>
      </c>
      <c r="C21" s="772"/>
      <c r="D21" s="770"/>
      <c r="E21" s="770"/>
      <c r="F21" s="771">
        <v>6000</v>
      </c>
      <c r="G21" s="771">
        <f>+F21</f>
        <v>6000</v>
      </c>
      <c r="H21" s="763" t="s">
        <v>0</v>
      </c>
    </row>
    <row r="22" spans="1:8" ht="18.75" customHeight="1">
      <c r="A22" s="767" t="s">
        <v>824</v>
      </c>
      <c r="B22" s="768" t="s">
        <v>411</v>
      </c>
      <c r="C22" s="772"/>
      <c r="D22" s="770"/>
      <c r="E22" s="770"/>
      <c r="F22" s="771">
        <v>250000</v>
      </c>
      <c r="G22" s="771">
        <f>+F22</f>
        <v>250000</v>
      </c>
      <c r="H22" s="763" t="s">
        <v>0</v>
      </c>
    </row>
    <row r="23" spans="1:8" ht="18.75" customHeight="1">
      <c r="A23" s="773"/>
      <c r="B23" s="774"/>
      <c r="C23" s="775"/>
      <c r="D23" s="776"/>
      <c r="E23" s="776"/>
      <c r="F23" s="777"/>
      <c r="G23" s="778"/>
      <c r="H23" s="763" t="s">
        <v>0</v>
      </c>
    </row>
    <row r="24" spans="1:8" ht="18.75" customHeight="1">
      <c r="A24" s="779" t="s">
        <v>455</v>
      </c>
      <c r="B24" s="780"/>
      <c r="C24" s="781">
        <f>SUM(C12:C23)</f>
        <v>0</v>
      </c>
      <c r="D24" s="782">
        <f>SUM(D12:D23)</f>
        <v>0</v>
      </c>
      <c r="E24" s="782">
        <f>SUM(E12:E23)</f>
        <v>0</v>
      </c>
      <c r="F24" s="783">
        <f>SUM(F12:F23)</f>
        <v>263000</v>
      </c>
      <c r="G24" s="784">
        <f>SUM(G12:G23)</f>
        <v>263000</v>
      </c>
      <c r="H24" s="763" t="s">
        <v>0</v>
      </c>
    </row>
    <row r="25" spans="1:8" ht="18.75" customHeight="1">
      <c r="A25" s="785"/>
      <c r="B25" s="773"/>
      <c r="C25" s="785"/>
      <c r="D25" s="786"/>
      <c r="E25" s="786"/>
      <c r="F25" s="787"/>
      <c r="G25" s="787"/>
      <c r="H25" s="763" t="s">
        <v>0</v>
      </c>
    </row>
    <row r="26" spans="1:8" ht="18.75" customHeight="1">
      <c r="A26" s="2172" t="s">
        <v>11</v>
      </c>
      <c r="B26" s="2166" t="s">
        <v>22</v>
      </c>
      <c r="C26" s="2168" t="s">
        <v>411</v>
      </c>
      <c r="D26" s="2169"/>
      <c r="E26" s="2169"/>
      <c r="F26" s="2170"/>
      <c r="G26" s="2166" t="s">
        <v>259</v>
      </c>
      <c r="H26" s="763" t="s">
        <v>0</v>
      </c>
    </row>
    <row r="27" spans="1:8" ht="18.75" customHeight="1">
      <c r="A27" s="2173"/>
      <c r="B27" s="2167"/>
      <c r="C27" s="765" t="s">
        <v>277</v>
      </c>
      <c r="D27" s="765" t="s">
        <v>10</v>
      </c>
      <c r="E27" s="765" t="s">
        <v>49</v>
      </c>
      <c r="F27" s="766" t="s">
        <v>279</v>
      </c>
      <c r="G27" s="2167"/>
      <c r="H27" s="763" t="s">
        <v>0</v>
      </c>
    </row>
    <row r="28" spans="1:8" ht="18.75" customHeight="1">
      <c r="A28" s="788"/>
      <c r="B28" s="789"/>
      <c r="C28" s="770"/>
      <c r="D28" s="770"/>
      <c r="E28" s="770"/>
      <c r="F28" s="771"/>
      <c r="G28" s="771"/>
      <c r="H28" s="763" t="s">
        <v>0</v>
      </c>
    </row>
    <row r="29" spans="1:8" ht="18.75" customHeight="1">
      <c r="A29" s="788" t="s">
        <v>430</v>
      </c>
      <c r="B29" s="768" t="s">
        <v>411</v>
      </c>
      <c r="C29" s="769"/>
      <c r="D29" s="770"/>
      <c r="E29" s="770"/>
      <c r="F29" s="771">
        <v>-2500</v>
      </c>
      <c r="G29" s="771">
        <f>+F29</f>
        <v>-2500</v>
      </c>
      <c r="H29" s="763" t="s">
        <v>0</v>
      </c>
    </row>
    <row r="30" spans="1:8" ht="18.75" customHeight="1">
      <c r="A30" s="788" t="s">
        <v>415</v>
      </c>
      <c r="B30" s="768" t="s">
        <v>411</v>
      </c>
      <c r="C30" s="772"/>
      <c r="D30" s="770"/>
      <c r="E30" s="770"/>
      <c r="F30" s="771">
        <v>-10000</v>
      </c>
      <c r="G30" s="771">
        <f>+F30</f>
        <v>-10000</v>
      </c>
      <c r="H30" s="763" t="s">
        <v>0</v>
      </c>
    </row>
    <row r="31" spans="1:8" ht="18.75" customHeight="1">
      <c r="A31" s="790" t="s">
        <v>432</v>
      </c>
      <c r="B31" s="768" t="s">
        <v>411</v>
      </c>
      <c r="C31" s="772"/>
      <c r="D31" s="770"/>
      <c r="E31" s="770"/>
      <c r="F31" s="771">
        <v>-12000</v>
      </c>
      <c r="G31" s="771">
        <f>+F31</f>
        <v>-12000</v>
      </c>
      <c r="H31" s="763" t="s">
        <v>0</v>
      </c>
    </row>
    <row r="32" spans="1:8" ht="18.75" customHeight="1">
      <c r="A32" s="791"/>
      <c r="B32" s="792"/>
      <c r="C32" s="775"/>
      <c r="D32" s="776"/>
      <c r="E32" s="776"/>
      <c r="F32" s="777"/>
      <c r="G32" s="778"/>
      <c r="H32" s="763" t="s">
        <v>0</v>
      </c>
    </row>
    <row r="33" spans="1:8" ht="18.75" customHeight="1">
      <c r="A33" s="793" t="s">
        <v>259</v>
      </c>
      <c r="B33" s="794"/>
      <c r="C33" s="795">
        <f>SUM(C28:C32)</f>
        <v>0</v>
      </c>
      <c r="D33" s="796">
        <f>SUM(D28:D32)</f>
        <v>0</v>
      </c>
      <c r="E33" s="796">
        <f>SUM(E28:E32)</f>
        <v>0</v>
      </c>
      <c r="F33" s="797">
        <f>SUM(F28:F32)</f>
        <v>-24500</v>
      </c>
      <c r="G33" s="798">
        <f>SUM(G28:G32)</f>
        <v>-24500</v>
      </c>
      <c r="H33" s="763" t="s">
        <v>24</v>
      </c>
    </row>
    <row r="34" spans="1:8" ht="18.75" customHeight="1">
      <c r="A34" s="799"/>
      <c r="B34" s="800"/>
      <c r="C34" s="800"/>
      <c r="D34" s="800"/>
      <c r="E34" s="800"/>
      <c r="F34" s="800"/>
      <c r="G34" s="800"/>
      <c r="H34" s="763"/>
    </row>
    <row r="35" spans="1:8" ht="18.75" customHeight="1">
      <c r="H35" s="763"/>
    </row>
    <row r="36" spans="1:8" ht="18.75" customHeight="1">
      <c r="A36" s="801"/>
      <c r="B36" s="802"/>
      <c r="C36" s="803"/>
      <c r="D36" s="803"/>
      <c r="E36" s="803"/>
      <c r="F36" s="803"/>
      <c r="G36" s="803"/>
      <c r="H36" s="763"/>
    </row>
    <row r="37" spans="1:8" ht="18.75" customHeight="1">
      <c r="A37" s="801"/>
      <c r="B37" s="804"/>
      <c r="C37" s="805"/>
      <c r="D37" s="805"/>
      <c r="E37" s="805"/>
      <c r="F37" s="803"/>
      <c r="G37" s="805"/>
      <c r="H37" s="763"/>
    </row>
    <row r="38" spans="1:8" ht="18.75" customHeight="1">
      <c r="A38" s="801"/>
      <c r="B38" s="804"/>
      <c r="C38" s="806"/>
      <c r="D38" s="806"/>
      <c r="E38" s="806"/>
      <c r="F38" s="807"/>
      <c r="G38" s="808"/>
      <c r="H38" s="763"/>
    </row>
    <row r="39" spans="1:8" ht="12.75" customHeight="1">
      <c r="A39" s="809"/>
      <c r="B39" s="810"/>
      <c r="C39" s="810"/>
      <c r="D39" s="810"/>
      <c r="E39" s="810"/>
      <c r="F39" s="810"/>
    </row>
    <row r="40" spans="1:8" ht="33.75" customHeight="1">
      <c r="A40" s="2174"/>
      <c r="B40" s="2175"/>
      <c r="C40" s="2175"/>
      <c r="D40" s="2175"/>
      <c r="E40" s="2175"/>
      <c r="F40" s="2175"/>
    </row>
    <row r="41" spans="1:8" ht="12.75" customHeight="1">
      <c r="A41" s="812"/>
      <c r="B41" s="812"/>
      <c r="C41" s="812"/>
      <c r="D41" s="812"/>
      <c r="E41" s="812"/>
      <c r="F41" s="812"/>
    </row>
    <row r="42" spans="1:8" ht="57" customHeight="1">
      <c r="A42" s="2147"/>
      <c r="B42" s="2176"/>
      <c r="C42" s="2176"/>
      <c r="D42" s="2176"/>
      <c r="E42" s="2176"/>
      <c r="F42" s="2176"/>
    </row>
    <row r="43" spans="1:8" ht="15">
      <c r="A43" s="2171"/>
      <c r="B43" s="2171"/>
      <c r="C43" s="2171"/>
      <c r="D43" s="2171"/>
      <c r="E43" s="2171"/>
      <c r="F43" s="2171"/>
    </row>
    <row r="44" spans="1:8" ht="15" customHeight="1">
      <c r="A44" s="813"/>
      <c r="B44" s="814"/>
      <c r="C44" s="814"/>
      <c r="D44" s="814"/>
      <c r="E44" s="814"/>
      <c r="F44" s="814"/>
      <c r="G44" s="815"/>
    </row>
    <row r="45" spans="1:8">
      <c r="A45" s="814"/>
      <c r="B45" s="814"/>
      <c r="C45" s="814"/>
      <c r="D45" s="814"/>
      <c r="E45" s="814"/>
      <c r="F45" s="814"/>
    </row>
  </sheetData>
  <mergeCells count="20">
    <mergeCell ref="A43:F43"/>
    <mergeCell ref="A26:A27"/>
    <mergeCell ref="B26:B27"/>
    <mergeCell ref="C26:F26"/>
    <mergeCell ref="G26:G27"/>
    <mergeCell ref="A40:F40"/>
    <mergeCell ref="A42:F42"/>
    <mergeCell ref="A7:G7"/>
    <mergeCell ref="A8:G8"/>
    <mergeCell ref="A9:G9"/>
    <mergeCell ref="A10:A11"/>
    <mergeCell ref="B10:B11"/>
    <mergeCell ref="C10:F10"/>
    <mergeCell ref="G10:G11"/>
    <mergeCell ref="A6:G6"/>
    <mergeCell ref="A1:G1"/>
    <mergeCell ref="A2:G2"/>
    <mergeCell ref="A3:G3"/>
    <mergeCell ref="A4:G4"/>
    <mergeCell ref="A5:G5"/>
  </mergeCells>
  <printOptions horizontalCentered="1"/>
  <pageMargins left="0.75" right="0.75" top="1" bottom="1" header="0.5" footer="0.5"/>
  <pageSetup scale="76" orientation="landscape" r:id="rId1"/>
  <headerFooter alignWithMargins="0">
    <oddFooter>&amp;C&amp;"Times New Roman,Regular"Exhibit C - Program Increases/Offsets By Decision Unit&amp;R&amp;"Times New Roman,Regular"Justice Assistance</oddFooter>
  </headerFooter>
</worksheet>
</file>

<file path=xl/worksheets/sheet17.xml><?xml version="1.0" encoding="utf-8"?>
<worksheet xmlns="http://schemas.openxmlformats.org/spreadsheetml/2006/main" xmlns:r="http://schemas.openxmlformats.org/officeDocument/2006/relationships">
  <dimension ref="A1:T61"/>
  <sheetViews>
    <sheetView view="pageBreakPreview" zoomScale="80" zoomScaleNormal="75" zoomScaleSheetLayoutView="80" workbookViewId="0">
      <selection activeCell="J41" sqref="J41:P41"/>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10" style="818" bestFit="1" customWidth="1"/>
    <col min="11" max="11" width="6.77734375" style="818" customWidth="1"/>
    <col min="12" max="12" width="7.77734375" style="818" bestFit="1" customWidth="1"/>
    <col min="13" max="13" width="6.77734375" style="818" customWidth="1"/>
    <col min="14" max="14" width="8.44140625" style="818" bestFit="1" customWidth="1"/>
    <col min="15" max="15" width="6.33203125" style="818" customWidth="1"/>
    <col min="16" max="16" width="8.44140625" style="818" bestFit="1"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180" t="str">
        <f>'B. Summ of Requirements  - JA'!A5:X5</f>
        <v>Office of Justice Programs</v>
      </c>
      <c r="B4" s="2034"/>
      <c r="C4" s="2034"/>
      <c r="D4" s="2034"/>
      <c r="E4" s="2034"/>
      <c r="F4" s="2034"/>
      <c r="G4" s="2034"/>
      <c r="H4" s="2034"/>
      <c r="I4" s="2034"/>
      <c r="J4" s="2034"/>
      <c r="K4" s="2034"/>
      <c r="L4" s="2034"/>
      <c r="M4" s="2034"/>
      <c r="N4" s="2034"/>
      <c r="O4" s="2034"/>
      <c r="P4" s="2034"/>
      <c r="Q4" s="816" t="s">
        <v>0</v>
      </c>
      <c r="R4" s="638"/>
      <c r="S4" s="638"/>
    </row>
    <row r="5" spans="1:20" ht="15">
      <c r="A5" s="2181" t="s">
        <v>411</v>
      </c>
      <c r="B5" s="2034"/>
      <c r="C5" s="2034"/>
      <c r="D5" s="2034"/>
      <c r="E5" s="2034"/>
      <c r="F5" s="2034"/>
      <c r="G5" s="2034"/>
      <c r="H5" s="2034"/>
      <c r="I5" s="2034"/>
      <c r="J5" s="2034"/>
      <c r="K5" s="2034"/>
      <c r="L5" s="2034"/>
      <c r="M5" s="2034"/>
      <c r="N5" s="2034"/>
      <c r="O5" s="2034"/>
      <c r="P5" s="2034"/>
      <c r="Q5" s="816" t="s">
        <v>0</v>
      </c>
      <c r="R5" s="638"/>
      <c r="S5" s="638"/>
    </row>
    <row r="6" spans="1:20" ht="15">
      <c r="A6" s="2181" t="s">
        <v>257</v>
      </c>
      <c r="B6" s="2034"/>
      <c r="C6" s="2034"/>
      <c r="D6" s="2034"/>
      <c r="E6" s="2034"/>
      <c r="F6" s="2034"/>
      <c r="G6" s="2034"/>
      <c r="H6" s="2034"/>
      <c r="I6" s="2034"/>
      <c r="J6" s="2034"/>
      <c r="K6" s="2034"/>
      <c r="L6" s="2034"/>
      <c r="M6" s="2034"/>
      <c r="N6" s="2034"/>
      <c r="O6" s="2034"/>
      <c r="P6" s="2034"/>
      <c r="Q6" s="816" t="s">
        <v>0</v>
      </c>
      <c r="R6" s="820"/>
      <c r="S6" s="820"/>
      <c r="T6" s="816"/>
    </row>
    <row r="7" spans="1:20">
      <c r="Q7" s="816" t="s">
        <v>0</v>
      </c>
      <c r="T7" s="816"/>
    </row>
    <row r="8" spans="1:20" ht="13.5" thickBot="1">
      <c r="Q8" s="816" t="s">
        <v>0</v>
      </c>
      <c r="T8" s="816"/>
    </row>
    <row r="9" spans="1:20" ht="37.5" customHeight="1">
      <c r="A9" s="821"/>
      <c r="B9" s="822"/>
      <c r="C9" s="2197" t="s">
        <v>318</v>
      </c>
      <c r="D9" s="2198"/>
      <c r="E9" s="823"/>
      <c r="F9" s="2197" t="s">
        <v>355</v>
      </c>
      <c r="G9" s="2198"/>
      <c r="H9" s="823"/>
      <c r="I9" s="2203" t="s">
        <v>244</v>
      </c>
      <c r="J9" s="2198"/>
      <c r="K9" s="2204">
        <v>2012</v>
      </c>
      <c r="L9" s="2205"/>
      <c r="M9" s="2205"/>
      <c r="N9" s="2206"/>
      <c r="O9" s="2203" t="s">
        <v>42</v>
      </c>
      <c r="P9" s="2198"/>
      <c r="Q9" s="816" t="s">
        <v>0</v>
      </c>
      <c r="S9" s="824"/>
      <c r="T9" s="816"/>
    </row>
    <row r="10" spans="1:20" ht="14.25" customHeight="1">
      <c r="A10" s="822"/>
      <c r="B10" s="822"/>
      <c r="C10" s="2199"/>
      <c r="D10" s="2200"/>
      <c r="E10" s="823"/>
      <c r="F10" s="2201"/>
      <c r="G10" s="2202"/>
      <c r="H10" s="823"/>
      <c r="I10" s="2201"/>
      <c r="J10" s="2202"/>
      <c r="K10" s="2187" t="s">
        <v>280</v>
      </c>
      <c r="L10" s="2188"/>
      <c r="M10" s="2189" t="s">
        <v>289</v>
      </c>
      <c r="N10" s="2170"/>
      <c r="O10" s="2201"/>
      <c r="P10" s="2202"/>
      <c r="Q10" s="816" t="s">
        <v>0</v>
      </c>
      <c r="S10" s="824"/>
      <c r="T10" s="816"/>
    </row>
    <row r="11" spans="1:20" hidden="1">
      <c r="A11" s="2190" t="s">
        <v>290</v>
      </c>
      <c r="B11" s="822"/>
      <c r="C11" s="825"/>
      <c r="D11" s="826"/>
      <c r="E11" s="827"/>
      <c r="F11" s="825"/>
      <c r="G11" s="826"/>
      <c r="H11" s="827"/>
      <c r="I11" s="825"/>
      <c r="J11" s="826"/>
      <c r="K11" s="825"/>
      <c r="L11" s="826"/>
      <c r="M11" s="828"/>
      <c r="N11" s="826"/>
      <c r="O11" s="825"/>
      <c r="P11" s="826"/>
      <c r="Q11" s="816" t="s">
        <v>0</v>
      </c>
      <c r="S11" s="828"/>
      <c r="T11" s="816"/>
    </row>
    <row r="12" spans="1:20" ht="51">
      <c r="A12" s="2191"/>
      <c r="B12" s="822"/>
      <c r="C12" s="829" t="s">
        <v>291</v>
      </c>
      <c r="D12" s="830" t="s">
        <v>292</v>
      </c>
      <c r="E12" s="827"/>
      <c r="F12" s="829" t="s">
        <v>291</v>
      </c>
      <c r="G12" s="830" t="s">
        <v>292</v>
      </c>
      <c r="H12" s="827"/>
      <c r="I12" s="829" t="s">
        <v>291</v>
      </c>
      <c r="J12" s="830" t="s">
        <v>292</v>
      </c>
      <c r="K12" s="829" t="s">
        <v>291</v>
      </c>
      <c r="L12" s="830" t="s">
        <v>292</v>
      </c>
      <c r="M12" s="829" t="s">
        <v>291</v>
      </c>
      <c r="N12" s="830" t="s">
        <v>292</v>
      </c>
      <c r="O12" s="829" t="s">
        <v>291</v>
      </c>
      <c r="P12" s="830" t="s">
        <v>292</v>
      </c>
      <c r="Q12" s="816" t="s">
        <v>0</v>
      </c>
      <c r="S12" s="831"/>
      <c r="T12" s="816"/>
    </row>
    <row r="13" spans="1:20">
      <c r="A13" s="832"/>
      <c r="B13" s="822"/>
      <c r="C13" s="833"/>
      <c r="D13" s="834"/>
      <c r="E13" s="835"/>
      <c r="F13" s="833"/>
      <c r="G13" s="834"/>
      <c r="H13" s="835"/>
      <c r="I13" s="833"/>
      <c r="J13" s="834"/>
      <c r="K13" s="833"/>
      <c r="L13" s="836"/>
      <c r="M13" s="837"/>
      <c r="N13" s="834"/>
      <c r="O13" s="833"/>
      <c r="P13" s="834"/>
      <c r="Q13" s="816" t="s">
        <v>0</v>
      </c>
      <c r="S13" s="838"/>
      <c r="T13" s="816"/>
    </row>
    <row r="14" spans="1:20">
      <c r="A14" s="839" t="s">
        <v>293</v>
      </c>
      <c r="B14" s="822"/>
      <c r="C14" s="833"/>
      <c r="D14" s="840"/>
      <c r="E14" s="835"/>
      <c r="F14" s="833"/>
      <c r="G14" s="840"/>
      <c r="H14" s="835"/>
      <c r="I14" s="833"/>
      <c r="J14" s="840"/>
      <c r="K14" s="833"/>
      <c r="L14" s="836"/>
      <c r="M14" s="833"/>
      <c r="N14" s="840"/>
      <c r="O14" s="833"/>
      <c r="P14" s="840"/>
      <c r="Q14" s="816" t="s">
        <v>0</v>
      </c>
      <c r="S14" s="841"/>
      <c r="T14" s="816"/>
    </row>
    <row r="15" spans="1:20">
      <c r="A15" s="842" t="s">
        <v>294</v>
      </c>
      <c r="B15" s="822"/>
      <c r="C15" s="833"/>
      <c r="D15" s="840"/>
      <c r="E15" s="835"/>
      <c r="F15" s="833"/>
      <c r="G15" s="840"/>
      <c r="H15" s="835"/>
      <c r="I15" s="833"/>
      <c r="J15" s="840"/>
      <c r="K15" s="833"/>
      <c r="L15" s="836"/>
      <c r="M15" s="833"/>
      <c r="N15" s="840"/>
      <c r="O15" s="833"/>
      <c r="P15" s="834"/>
      <c r="Q15" s="816" t="s">
        <v>0</v>
      </c>
      <c r="S15" s="841"/>
      <c r="T15" s="816"/>
    </row>
    <row r="16" spans="1:20" ht="25.5">
      <c r="A16" s="843" t="s">
        <v>295</v>
      </c>
      <c r="B16" s="822"/>
      <c r="C16" s="833"/>
      <c r="D16" s="840"/>
      <c r="E16" s="835"/>
      <c r="F16" s="833"/>
      <c r="G16" s="840"/>
      <c r="H16" s="835"/>
      <c r="I16" s="833"/>
      <c r="J16" s="840"/>
      <c r="K16" s="833"/>
      <c r="L16" s="836"/>
      <c r="M16" s="833"/>
      <c r="N16" s="840"/>
      <c r="O16" s="833"/>
      <c r="P16" s="834"/>
      <c r="Q16" s="816" t="s">
        <v>0</v>
      </c>
      <c r="S16" s="841"/>
      <c r="T16" s="816"/>
    </row>
    <row r="17" spans="1:20" ht="25.5">
      <c r="A17" s="843" t="s">
        <v>296</v>
      </c>
      <c r="B17" s="822"/>
      <c r="C17" s="833"/>
      <c r="D17" s="840"/>
      <c r="E17" s="835"/>
      <c r="F17" s="833"/>
      <c r="G17" s="840"/>
      <c r="H17" s="835"/>
      <c r="I17" s="833"/>
      <c r="J17" s="840"/>
      <c r="K17" s="833"/>
      <c r="L17" s="836"/>
      <c r="M17" s="833"/>
      <c r="N17" s="840"/>
      <c r="O17" s="833"/>
      <c r="P17" s="834"/>
      <c r="Q17" s="816" t="s">
        <v>0</v>
      </c>
      <c r="S17" s="841"/>
      <c r="T17" s="816"/>
    </row>
    <row r="18" spans="1:20" ht="13.5" customHeight="1">
      <c r="A18" s="842" t="s">
        <v>297</v>
      </c>
      <c r="B18" s="844"/>
      <c r="C18" s="845"/>
      <c r="D18" s="846"/>
      <c r="E18" s="847"/>
      <c r="F18" s="845"/>
      <c r="G18" s="846"/>
      <c r="H18" s="848"/>
      <c r="I18" s="845"/>
      <c r="J18" s="846"/>
      <c r="K18" s="845"/>
      <c r="L18" s="849"/>
      <c r="M18" s="845"/>
      <c r="N18" s="846"/>
      <c r="O18" s="845"/>
      <c r="P18" s="846"/>
      <c r="Q18" s="816" t="s">
        <v>0</v>
      </c>
      <c r="S18" s="850"/>
      <c r="T18" s="816"/>
    </row>
    <row r="19" spans="1:20" s="857" customFormat="1">
      <c r="A19" s="851" t="s">
        <v>298</v>
      </c>
      <c r="B19" s="839"/>
      <c r="C19" s="852">
        <f>SUM(C15:C18)</f>
        <v>0</v>
      </c>
      <c r="D19" s="853">
        <f>SUM(D15:D18)</f>
        <v>0</v>
      </c>
      <c r="E19" s="854"/>
      <c r="F19" s="852">
        <f>SUM(F15:F18)</f>
        <v>0</v>
      </c>
      <c r="G19" s="853">
        <f>SUM(G15:G18)</f>
        <v>0</v>
      </c>
      <c r="H19" s="855"/>
      <c r="I19" s="852">
        <f t="shared" ref="I19:P19" si="0">SUM(I15:I18)</f>
        <v>0</v>
      </c>
      <c r="J19" s="853">
        <f t="shared" si="0"/>
        <v>0</v>
      </c>
      <c r="K19" s="852">
        <f t="shared" si="0"/>
        <v>0</v>
      </c>
      <c r="L19" s="853">
        <f t="shared" si="0"/>
        <v>0</v>
      </c>
      <c r="M19" s="852">
        <f t="shared" si="0"/>
        <v>0</v>
      </c>
      <c r="N19" s="853">
        <f t="shared" si="0"/>
        <v>0</v>
      </c>
      <c r="O19" s="852">
        <f t="shared" si="0"/>
        <v>0</v>
      </c>
      <c r="P19" s="853">
        <f t="shared" si="0"/>
        <v>0</v>
      </c>
      <c r="Q19" s="816" t="s">
        <v>0</v>
      </c>
      <c r="R19" s="818"/>
      <c r="S19" s="856"/>
      <c r="T19" s="816"/>
    </row>
    <row r="20" spans="1:20">
      <c r="A20" s="844"/>
      <c r="B20" s="822"/>
      <c r="C20" s="833"/>
      <c r="D20" s="834"/>
      <c r="E20" s="858"/>
      <c r="F20" s="833"/>
      <c r="G20" s="834"/>
      <c r="H20" s="858"/>
      <c r="I20" s="833"/>
      <c r="J20" s="834"/>
      <c r="K20" s="833"/>
      <c r="L20" s="836"/>
      <c r="M20" s="833"/>
      <c r="N20" s="834"/>
      <c r="O20" s="833"/>
      <c r="P20" s="834"/>
      <c r="Q20" s="816" t="s">
        <v>0</v>
      </c>
      <c r="S20" s="838"/>
      <c r="T20" s="816"/>
    </row>
    <row r="21" spans="1:20" ht="25.5">
      <c r="A21" s="859" t="s">
        <v>299</v>
      </c>
      <c r="B21" s="822"/>
      <c r="C21" s="833"/>
      <c r="D21" s="834"/>
      <c r="E21" s="860"/>
      <c r="F21" s="833"/>
      <c r="G21" s="834"/>
      <c r="H21" s="860"/>
      <c r="I21" s="833"/>
      <c r="J21" s="834"/>
      <c r="K21" s="833"/>
      <c r="L21" s="836"/>
      <c r="M21" s="833"/>
      <c r="N21" s="834"/>
      <c r="O21" s="861"/>
      <c r="P21" s="862"/>
      <c r="Q21" s="816" t="s">
        <v>0</v>
      </c>
      <c r="S21" s="838"/>
      <c r="T21" s="816"/>
    </row>
    <row r="22" spans="1:20" ht="25.5">
      <c r="A22" s="843" t="s">
        <v>300</v>
      </c>
      <c r="B22" s="822"/>
      <c r="C22" s="833"/>
      <c r="D22" s="834">
        <v>108000</v>
      </c>
      <c r="E22" s="860"/>
      <c r="F22" s="833"/>
      <c r="G22" s="834">
        <v>108000</v>
      </c>
      <c r="H22" s="860"/>
      <c r="I22" s="833"/>
      <c r="J22" s="834">
        <f>60000+45000+3000-45000</f>
        <v>63000</v>
      </c>
      <c r="K22" s="833"/>
      <c r="L22" s="836">
        <f>7000+6000</f>
        <v>13000</v>
      </c>
      <c r="M22" s="833"/>
      <c r="N22" s="834">
        <f>-2500</f>
        <v>-2500</v>
      </c>
      <c r="O22" s="833">
        <f t="shared" ref="O22:P26" si="1">+I22+K22+M22</f>
        <v>0</v>
      </c>
      <c r="P22" s="834">
        <f t="shared" si="1"/>
        <v>73500</v>
      </c>
      <c r="Q22" s="816" t="s">
        <v>0</v>
      </c>
      <c r="S22" s="838"/>
      <c r="T22" s="816"/>
    </row>
    <row r="23" spans="1:20">
      <c r="A23" s="842" t="s">
        <v>301</v>
      </c>
      <c r="B23" s="822"/>
      <c r="C23" s="833"/>
      <c r="D23" s="834"/>
      <c r="E23" s="860"/>
      <c r="F23" s="833"/>
      <c r="G23" s="834"/>
      <c r="H23" s="860"/>
      <c r="I23" s="833"/>
      <c r="J23" s="834"/>
      <c r="K23" s="833"/>
      <c r="L23" s="836"/>
      <c r="M23" s="833"/>
      <c r="N23" s="834"/>
      <c r="O23" s="833"/>
      <c r="P23" s="834"/>
      <c r="Q23" s="816" t="s">
        <v>0</v>
      </c>
      <c r="S23" s="838"/>
      <c r="T23" s="816"/>
    </row>
    <row r="24" spans="1:20">
      <c r="A24" s="842" t="s">
        <v>302</v>
      </c>
      <c r="B24" s="822"/>
      <c r="C24" s="833"/>
      <c r="D24" s="834">
        <v>40000</v>
      </c>
      <c r="E24" s="860"/>
      <c r="F24" s="833"/>
      <c r="G24" s="834">
        <v>40000</v>
      </c>
      <c r="H24" s="860"/>
      <c r="I24" s="833"/>
      <c r="J24" s="834">
        <f>40000</f>
        <v>40000</v>
      </c>
      <c r="K24" s="833"/>
      <c r="L24" s="836"/>
      <c r="M24" s="833"/>
      <c r="N24" s="834">
        <f>-10000</f>
        <v>-10000</v>
      </c>
      <c r="O24" s="833">
        <f t="shared" si="1"/>
        <v>0</v>
      </c>
      <c r="P24" s="834">
        <f t="shared" si="1"/>
        <v>30000</v>
      </c>
      <c r="Q24" s="816" t="s">
        <v>0</v>
      </c>
      <c r="S24" s="838"/>
      <c r="T24" s="816"/>
    </row>
    <row r="25" spans="1:20">
      <c r="A25" s="842" t="s">
        <v>303</v>
      </c>
      <c r="B25" s="822"/>
      <c r="C25" s="833"/>
      <c r="D25" s="834"/>
      <c r="E25" s="860"/>
      <c r="F25" s="833"/>
      <c r="G25" s="834"/>
      <c r="H25" s="860"/>
      <c r="I25" s="833"/>
      <c r="J25" s="834"/>
      <c r="K25" s="833"/>
      <c r="L25" s="836"/>
      <c r="M25" s="833"/>
      <c r="N25" s="834"/>
      <c r="O25" s="833"/>
      <c r="P25" s="834"/>
      <c r="Q25" s="816" t="s">
        <v>0</v>
      </c>
      <c r="S25" s="838"/>
      <c r="T25" s="816"/>
    </row>
    <row r="26" spans="1:20" ht="25.5">
      <c r="A26" s="843" t="s">
        <v>304</v>
      </c>
      <c r="B26" s="822"/>
      <c r="C26" s="833"/>
      <c r="D26" s="834">
        <v>30000</v>
      </c>
      <c r="E26" s="860"/>
      <c r="F26" s="833"/>
      <c r="G26" s="834">
        <v>30000</v>
      </c>
      <c r="H26" s="860"/>
      <c r="I26" s="833"/>
      <c r="J26" s="834">
        <f>30000</f>
        <v>30000</v>
      </c>
      <c r="K26" s="833"/>
      <c r="L26" s="836"/>
      <c r="M26" s="833"/>
      <c r="N26" s="834">
        <v>0</v>
      </c>
      <c r="O26" s="833">
        <f t="shared" si="1"/>
        <v>0</v>
      </c>
      <c r="P26" s="834">
        <f t="shared" si="1"/>
        <v>30000</v>
      </c>
      <c r="Q26" s="816" t="s">
        <v>0</v>
      </c>
      <c r="S26" s="838"/>
      <c r="T26" s="816"/>
    </row>
    <row r="27" spans="1:20">
      <c r="A27" s="842" t="s">
        <v>305</v>
      </c>
      <c r="B27" s="822"/>
      <c r="C27" s="833"/>
      <c r="D27" s="834"/>
      <c r="E27" s="860"/>
      <c r="F27" s="833"/>
      <c r="G27" s="834"/>
      <c r="H27" s="860"/>
      <c r="I27" s="833"/>
      <c r="J27" s="834"/>
      <c r="K27" s="833"/>
      <c r="L27" s="836"/>
      <c r="M27" s="833"/>
      <c r="N27" s="834"/>
      <c r="O27" s="833"/>
      <c r="P27" s="834"/>
      <c r="Q27" s="816" t="s">
        <v>0</v>
      </c>
      <c r="S27" s="838"/>
      <c r="T27" s="816"/>
    </row>
    <row r="28" spans="1:20" ht="25.5">
      <c r="A28" s="843" t="s">
        <v>306</v>
      </c>
      <c r="B28" s="822"/>
      <c r="C28" s="833"/>
      <c r="D28" s="834"/>
      <c r="E28" s="860"/>
      <c r="F28" s="833"/>
      <c r="G28" s="834"/>
      <c r="H28" s="860"/>
      <c r="I28" s="833"/>
      <c r="J28" s="834"/>
      <c r="K28" s="833"/>
      <c r="L28" s="836"/>
      <c r="M28" s="833"/>
      <c r="N28" s="834"/>
      <c r="O28" s="833"/>
      <c r="P28" s="834"/>
      <c r="Q28" s="816" t="s">
        <v>0</v>
      </c>
      <c r="R28" s="838"/>
      <c r="S28" s="838"/>
      <c r="T28" s="816"/>
    </row>
    <row r="29" spans="1:20" ht="27.75" customHeight="1">
      <c r="A29" s="843" t="s">
        <v>307</v>
      </c>
      <c r="B29" s="844"/>
      <c r="C29" s="845"/>
      <c r="D29" s="846"/>
      <c r="E29" s="863"/>
      <c r="F29" s="845"/>
      <c r="G29" s="846"/>
      <c r="H29" s="864"/>
      <c r="I29" s="845"/>
      <c r="J29" s="846"/>
      <c r="K29" s="845"/>
      <c r="L29" s="849"/>
      <c r="M29" s="845"/>
      <c r="N29" s="846"/>
      <c r="O29" s="833"/>
      <c r="P29" s="865"/>
      <c r="Q29" s="816" t="s">
        <v>0</v>
      </c>
      <c r="R29" s="850"/>
      <c r="S29" s="850"/>
      <c r="T29" s="816"/>
    </row>
    <row r="30" spans="1:20">
      <c r="A30" s="851" t="s">
        <v>308</v>
      </c>
      <c r="B30" s="839"/>
      <c r="C30" s="852">
        <f>SUM(C22:C29)</f>
        <v>0</v>
      </c>
      <c r="D30" s="853">
        <f>SUM(D22:D29)</f>
        <v>178000</v>
      </c>
      <c r="E30" s="866"/>
      <c r="F30" s="852">
        <f>SUM(F22:F29)</f>
        <v>0</v>
      </c>
      <c r="G30" s="853">
        <f>SUM(G22:G29)</f>
        <v>178000</v>
      </c>
      <c r="H30" s="867"/>
      <c r="I30" s="852">
        <f t="shared" ref="I30:P30" si="2">SUM(I22:I29)</f>
        <v>0</v>
      </c>
      <c r="J30" s="853">
        <f t="shared" si="2"/>
        <v>133000</v>
      </c>
      <c r="K30" s="868">
        <f t="shared" si="2"/>
        <v>0</v>
      </c>
      <c r="L30" s="869">
        <f t="shared" si="2"/>
        <v>13000</v>
      </c>
      <c r="M30" s="852">
        <f t="shared" si="2"/>
        <v>0</v>
      </c>
      <c r="N30" s="853">
        <f t="shared" si="2"/>
        <v>-12500</v>
      </c>
      <c r="O30" s="868">
        <f t="shared" si="2"/>
        <v>0</v>
      </c>
      <c r="P30" s="853">
        <f t="shared" si="2"/>
        <v>133500</v>
      </c>
      <c r="Q30" s="816" t="s">
        <v>0</v>
      </c>
      <c r="R30" s="856"/>
      <c r="S30" s="856"/>
      <c r="T30" s="816"/>
    </row>
    <row r="31" spans="1:20">
      <c r="A31" s="844"/>
      <c r="B31" s="822"/>
      <c r="C31" s="833"/>
      <c r="D31" s="834"/>
      <c r="E31" s="822"/>
      <c r="F31" s="833"/>
      <c r="G31" s="834"/>
      <c r="H31" s="822"/>
      <c r="I31" s="833"/>
      <c r="J31" s="834"/>
      <c r="K31" s="833"/>
      <c r="L31" s="836"/>
      <c r="M31" s="833"/>
      <c r="N31" s="834"/>
      <c r="O31" s="833"/>
      <c r="P31" s="834"/>
      <c r="Q31" s="816" t="s">
        <v>0</v>
      </c>
      <c r="R31" s="838"/>
      <c r="S31" s="838"/>
      <c r="T31" s="816"/>
    </row>
    <row r="32" spans="1:20" ht="25.5">
      <c r="A32" s="859" t="s">
        <v>309</v>
      </c>
      <c r="B32" s="822"/>
      <c r="C32" s="833"/>
      <c r="D32" s="834"/>
      <c r="E32" s="835"/>
      <c r="F32" s="833"/>
      <c r="G32" s="834"/>
      <c r="H32" s="835"/>
      <c r="I32" s="833"/>
      <c r="J32" s="834"/>
      <c r="K32" s="833"/>
      <c r="L32" s="836"/>
      <c r="M32" s="833"/>
      <c r="N32" s="834"/>
      <c r="O32" s="833"/>
      <c r="P32" s="834"/>
      <c r="Q32" s="816" t="s">
        <v>0</v>
      </c>
      <c r="R32" s="838"/>
      <c r="S32" s="838"/>
      <c r="T32" s="816"/>
    </row>
    <row r="33" spans="1:20" ht="38.25">
      <c r="A33" s="843" t="s">
        <v>310</v>
      </c>
      <c r="B33" s="822"/>
      <c r="C33" s="833"/>
      <c r="D33" s="834"/>
      <c r="E33" s="835"/>
      <c r="F33" s="833"/>
      <c r="G33" s="834"/>
      <c r="H33" s="835"/>
      <c r="I33" s="833"/>
      <c r="J33" s="834"/>
      <c r="K33" s="833"/>
      <c r="L33" s="836"/>
      <c r="M33" s="833"/>
      <c r="N33" s="834"/>
      <c r="O33" s="833"/>
      <c r="P33" s="834"/>
      <c r="Q33" s="816" t="s">
        <v>0</v>
      </c>
      <c r="R33" s="838"/>
      <c r="S33" s="838"/>
      <c r="T33" s="816"/>
    </row>
    <row r="34" spans="1:20">
      <c r="A34" s="842" t="s">
        <v>311</v>
      </c>
      <c r="B34" s="822"/>
      <c r="C34" s="833"/>
      <c r="D34" s="834"/>
      <c r="E34" s="835"/>
      <c r="F34" s="833"/>
      <c r="G34" s="834"/>
      <c r="H34" s="835"/>
      <c r="I34" s="833"/>
      <c r="J34" s="834"/>
      <c r="K34" s="833"/>
      <c r="L34" s="836"/>
      <c r="M34" s="833"/>
      <c r="N34" s="834"/>
      <c r="O34" s="833"/>
      <c r="P34" s="834"/>
      <c r="Q34" s="816" t="s">
        <v>0</v>
      </c>
      <c r="R34" s="838"/>
      <c r="S34" s="838"/>
      <c r="T34" s="816"/>
    </row>
    <row r="35" spans="1:20" ht="42" customHeight="1">
      <c r="A35" s="843" t="s">
        <v>312</v>
      </c>
      <c r="B35" s="822"/>
      <c r="C35" s="833"/>
      <c r="D35" s="834"/>
      <c r="E35" s="835"/>
      <c r="F35" s="833"/>
      <c r="G35" s="834"/>
      <c r="H35" s="835"/>
      <c r="I35" s="833"/>
      <c r="J35" s="834"/>
      <c r="K35" s="833"/>
      <c r="L35" s="836"/>
      <c r="M35" s="833"/>
      <c r="N35" s="834"/>
      <c r="O35" s="833"/>
      <c r="P35" s="834"/>
      <c r="Q35" s="816" t="s">
        <v>0</v>
      </c>
      <c r="R35" s="838"/>
      <c r="S35" s="838"/>
      <c r="T35" s="816"/>
    </row>
    <row r="36" spans="1:20" ht="38.25">
      <c r="A36" s="843" t="s">
        <v>313</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314</v>
      </c>
      <c r="B37" s="822"/>
      <c r="C37" s="833"/>
      <c r="D37" s="834"/>
      <c r="E37" s="835"/>
      <c r="F37" s="833"/>
      <c r="G37" s="834"/>
      <c r="H37" s="835"/>
      <c r="I37" s="833"/>
      <c r="J37" s="834"/>
      <c r="K37" s="833"/>
      <c r="L37" s="836"/>
      <c r="M37" s="833"/>
      <c r="N37" s="834"/>
      <c r="O37" s="833"/>
      <c r="P37" s="834"/>
      <c r="Q37" s="816" t="s">
        <v>0</v>
      </c>
      <c r="R37" s="838"/>
      <c r="S37" s="838"/>
      <c r="T37" s="816"/>
    </row>
    <row r="38" spans="1:20" ht="25.5">
      <c r="A38" s="843" t="s">
        <v>456</v>
      </c>
      <c r="B38" s="822"/>
      <c r="C38" s="833"/>
      <c r="D38" s="834">
        <v>45000</v>
      </c>
      <c r="E38" s="835"/>
      <c r="F38" s="833"/>
      <c r="G38" s="834">
        <v>45000</v>
      </c>
      <c r="H38" s="835"/>
      <c r="I38" s="833"/>
      <c r="J38" s="834">
        <f>45000</f>
        <v>45000</v>
      </c>
      <c r="K38" s="833"/>
      <c r="L38" s="836">
        <v>250000</v>
      </c>
      <c r="M38" s="833"/>
      <c r="N38" s="834"/>
      <c r="O38" s="833">
        <f>+I38+K38+M38</f>
        <v>0</v>
      </c>
      <c r="P38" s="834">
        <f>+J38+L38+N38</f>
        <v>295000</v>
      </c>
      <c r="Q38" s="816" t="s">
        <v>0</v>
      </c>
      <c r="R38" s="838"/>
      <c r="S38" s="838"/>
      <c r="T38" s="816"/>
    </row>
    <row r="39" spans="1:20">
      <c r="A39" s="842" t="s">
        <v>315</v>
      </c>
      <c r="B39" s="822"/>
      <c r="C39" s="833"/>
      <c r="D39" s="834">
        <v>12000</v>
      </c>
      <c r="E39" s="835"/>
      <c r="F39" s="833"/>
      <c r="G39" s="834">
        <v>12000</v>
      </c>
      <c r="H39" s="835"/>
      <c r="I39" s="833"/>
      <c r="J39" s="834">
        <f>12000</f>
        <v>12000</v>
      </c>
      <c r="K39" s="833"/>
      <c r="L39" s="836"/>
      <c r="M39" s="833"/>
      <c r="N39" s="834">
        <f>-12000</f>
        <v>-12000</v>
      </c>
      <c r="O39" s="833">
        <f>+I39+K39+M39</f>
        <v>0</v>
      </c>
      <c r="P39" s="834">
        <f>+J39+L39+N39</f>
        <v>0</v>
      </c>
      <c r="Q39" s="816" t="s">
        <v>0</v>
      </c>
      <c r="R39" s="838"/>
      <c r="S39" s="838"/>
      <c r="T39" s="816"/>
    </row>
    <row r="40" spans="1:20">
      <c r="A40" s="851" t="s">
        <v>316</v>
      </c>
      <c r="B40" s="839"/>
      <c r="C40" s="852">
        <f>SUM(C33:C39)</f>
        <v>0</v>
      </c>
      <c r="D40" s="853">
        <f>SUM(D33:D39)</f>
        <v>57000</v>
      </c>
      <c r="E40" s="854"/>
      <c r="F40" s="852">
        <f>SUM(F33:F39)</f>
        <v>0</v>
      </c>
      <c r="G40" s="853">
        <f>SUM(G33:G39)</f>
        <v>57000</v>
      </c>
      <c r="H40" s="855"/>
      <c r="I40" s="852">
        <f t="shared" ref="I40:P40" si="3">SUM(I33:I39)</f>
        <v>0</v>
      </c>
      <c r="J40" s="853">
        <f t="shared" si="3"/>
        <v>57000</v>
      </c>
      <c r="K40" s="852">
        <f t="shared" si="3"/>
        <v>0</v>
      </c>
      <c r="L40" s="869">
        <f t="shared" si="3"/>
        <v>250000</v>
      </c>
      <c r="M40" s="852">
        <f t="shared" si="3"/>
        <v>0</v>
      </c>
      <c r="N40" s="853">
        <f t="shared" si="3"/>
        <v>-12000</v>
      </c>
      <c r="O40" s="852">
        <f t="shared" si="3"/>
        <v>0</v>
      </c>
      <c r="P40" s="853">
        <f t="shared" si="3"/>
        <v>295000</v>
      </c>
      <c r="Q40" s="816" t="s">
        <v>0</v>
      </c>
      <c r="R40" s="856"/>
      <c r="S40" s="856"/>
      <c r="T40" s="816"/>
    </row>
    <row r="41" spans="1:20">
      <c r="A41" s="870" t="s">
        <v>457</v>
      </c>
      <c r="B41" s="871"/>
      <c r="C41" s="868"/>
      <c r="D41" s="872">
        <f>D19+D30+D40</f>
        <v>235000</v>
      </c>
      <c r="E41" s="873"/>
      <c r="F41" s="868"/>
      <c r="G41" s="872">
        <f>G19+G30+G40</f>
        <v>235000</v>
      </c>
      <c r="H41" s="873"/>
      <c r="I41" s="868"/>
      <c r="J41" s="872">
        <f>J19+J30+J40</f>
        <v>190000</v>
      </c>
      <c r="K41" s="868"/>
      <c r="L41" s="872">
        <f>L19+L30+L40</f>
        <v>263000</v>
      </c>
      <c r="M41" s="868"/>
      <c r="N41" s="872">
        <f>N19+N30+N40</f>
        <v>-24500</v>
      </c>
      <c r="O41" s="868"/>
      <c r="P41" s="872">
        <f>P19+P30+P40</f>
        <v>428500</v>
      </c>
      <c r="Q41" s="816" t="s">
        <v>0</v>
      </c>
      <c r="R41" s="856"/>
      <c r="S41" s="856"/>
      <c r="T41" s="816"/>
    </row>
    <row r="42" spans="1:20">
      <c r="A42" s="870" t="s">
        <v>448</v>
      </c>
      <c r="B42" s="871"/>
      <c r="C42" s="868"/>
      <c r="D42" s="872">
        <v>-3263</v>
      </c>
      <c r="E42" s="873"/>
      <c r="F42" s="868"/>
      <c r="G42" s="872">
        <v>-4000</v>
      </c>
      <c r="H42" s="873"/>
      <c r="I42" s="868"/>
      <c r="J42" s="872">
        <v>0</v>
      </c>
      <c r="K42" s="868"/>
      <c r="L42" s="872">
        <v>0</v>
      </c>
      <c r="M42" s="868"/>
      <c r="N42" s="872">
        <v>-4000</v>
      </c>
      <c r="O42" s="868"/>
      <c r="P42" s="872">
        <f>J42+L42+N42</f>
        <v>-4000</v>
      </c>
      <c r="Q42" s="816" t="s">
        <v>0</v>
      </c>
      <c r="R42" s="856"/>
      <c r="S42" s="856"/>
      <c r="T42" s="816"/>
    </row>
    <row r="43" spans="1:20">
      <c r="A43" s="851" t="s">
        <v>458</v>
      </c>
      <c r="B43" s="871"/>
      <c r="C43" s="868"/>
      <c r="D43" s="872">
        <v>-4858</v>
      </c>
      <c r="E43" s="873"/>
      <c r="F43" s="868"/>
      <c r="G43" s="872"/>
      <c r="H43" s="873"/>
      <c r="I43" s="868"/>
      <c r="J43" s="872"/>
      <c r="K43" s="868"/>
      <c r="L43" s="872"/>
      <c r="M43" s="868"/>
      <c r="N43" s="872"/>
      <c r="O43" s="868"/>
      <c r="P43" s="872"/>
      <c r="Q43" s="816" t="s">
        <v>0</v>
      </c>
      <c r="R43" s="856"/>
      <c r="S43" s="856"/>
      <c r="T43" s="816"/>
    </row>
    <row r="44" spans="1:20" ht="13.5" thickBot="1">
      <c r="A44" s="822"/>
      <c r="B44" s="822"/>
      <c r="C44" s="822"/>
      <c r="D44" s="822"/>
      <c r="E44" s="822"/>
      <c r="F44" s="822"/>
      <c r="G44" s="822"/>
      <c r="H44" s="822"/>
      <c r="I44" s="822"/>
      <c r="J44" s="822"/>
      <c r="K44" s="874"/>
      <c r="L44" s="874"/>
      <c r="M44" s="875"/>
      <c r="N44" s="822"/>
      <c r="O44" s="822"/>
      <c r="P44" s="822"/>
      <c r="Q44" s="816" t="s">
        <v>0</v>
      </c>
      <c r="R44" s="838"/>
      <c r="S44" s="838"/>
      <c r="T44" s="816"/>
    </row>
    <row r="45" spans="1:20" s="883" customFormat="1" ht="18.75" customHeight="1" thickBot="1">
      <c r="A45" s="876" t="s">
        <v>317</v>
      </c>
      <c r="B45" s="877"/>
      <c r="C45" s="878">
        <f>C19+C30+C40</f>
        <v>0</v>
      </c>
      <c r="D45" s="879">
        <f>SUM(D41:D43)</f>
        <v>226879</v>
      </c>
      <c r="E45" s="880"/>
      <c r="F45" s="878">
        <f>F19+F30+F40</f>
        <v>0</v>
      </c>
      <c r="G45" s="879">
        <f>SUM(G41:G43)</f>
        <v>231000</v>
      </c>
      <c r="H45" s="880"/>
      <c r="I45" s="878">
        <f>I19+I30+I40</f>
        <v>0</v>
      </c>
      <c r="J45" s="879">
        <f>SUM(J41:J43)</f>
        <v>190000</v>
      </c>
      <c r="K45" s="878">
        <f>K19+K30+K40</f>
        <v>0</v>
      </c>
      <c r="L45" s="879">
        <f>SUM(L41:L43)</f>
        <v>263000</v>
      </c>
      <c r="M45" s="878">
        <f>M19+M30+M40</f>
        <v>0</v>
      </c>
      <c r="N45" s="879">
        <f>SUM(N41:N43)</f>
        <v>-28500</v>
      </c>
      <c r="O45" s="878">
        <f>O19+O30+O40</f>
        <v>0</v>
      </c>
      <c r="P45" s="879">
        <f>SUM(P41:P43)</f>
        <v>424500</v>
      </c>
      <c r="Q45" s="816" t="s">
        <v>24</v>
      </c>
      <c r="R45" s="881"/>
      <c r="S45" s="882"/>
      <c r="T45" s="816"/>
    </row>
    <row r="46" spans="1:20">
      <c r="A46" s="884"/>
      <c r="B46" s="884"/>
      <c r="C46" s="881"/>
      <c r="D46" s="882"/>
      <c r="E46" s="884"/>
      <c r="F46" s="881"/>
      <c r="G46" s="882"/>
      <c r="H46" s="884"/>
      <c r="I46" s="881"/>
      <c r="J46" s="882"/>
      <c r="K46" s="883"/>
      <c r="L46" s="883"/>
      <c r="M46" s="883"/>
      <c r="N46" s="883"/>
      <c r="O46" s="883"/>
      <c r="P46" s="883"/>
      <c r="Q46" s="883"/>
      <c r="R46" s="885"/>
      <c r="S46" s="885"/>
      <c r="T46" s="816"/>
    </row>
    <row r="47" spans="1:20">
      <c r="A47" s="884"/>
      <c r="B47" s="884"/>
      <c r="C47" s="881"/>
      <c r="D47" s="882"/>
      <c r="E47" s="884"/>
      <c r="F47" s="881"/>
      <c r="G47" s="882"/>
      <c r="H47" s="884"/>
      <c r="I47" s="881"/>
      <c r="J47" s="882"/>
      <c r="K47" s="883"/>
      <c r="L47" s="883"/>
      <c r="M47" s="883"/>
      <c r="N47" s="883"/>
      <c r="O47" s="883"/>
      <c r="P47" s="883"/>
      <c r="Q47" s="883"/>
      <c r="R47" s="885"/>
      <c r="S47" s="885"/>
      <c r="T47" s="816"/>
    </row>
    <row r="48" spans="1:20">
      <c r="A48" s="886"/>
      <c r="B48" s="887"/>
      <c r="C48" s="888"/>
      <c r="D48" s="889"/>
      <c r="E48" s="887"/>
      <c r="F48" s="888"/>
      <c r="G48" s="889"/>
      <c r="H48" s="887"/>
      <c r="I48" s="888"/>
      <c r="J48" s="889"/>
      <c r="K48" s="888"/>
      <c r="L48" s="890"/>
      <c r="M48" s="888"/>
      <c r="N48" s="889"/>
      <c r="O48" s="888"/>
      <c r="P48" s="889"/>
      <c r="Q48" s="883"/>
      <c r="R48" s="891"/>
      <c r="S48" s="892"/>
      <c r="T48" s="816"/>
    </row>
    <row r="49" spans="1:19">
      <c r="A49" s="884"/>
      <c r="B49" s="884"/>
      <c r="C49" s="881"/>
      <c r="D49" s="882"/>
      <c r="E49" s="884"/>
      <c r="F49" s="881"/>
      <c r="G49" s="882"/>
      <c r="H49" s="884"/>
      <c r="I49" s="881"/>
      <c r="J49" s="882"/>
      <c r="K49" s="883"/>
      <c r="L49" s="883"/>
      <c r="M49" s="883"/>
      <c r="N49" s="883"/>
      <c r="O49" s="883"/>
      <c r="P49" s="883"/>
      <c r="Q49" s="883"/>
      <c r="R49" s="885"/>
      <c r="S49" s="885"/>
    </row>
    <row r="51" spans="1:19" ht="15.75">
      <c r="A51" s="2192"/>
      <c r="B51" s="2192"/>
      <c r="C51" s="2192"/>
      <c r="D51" s="2192"/>
      <c r="E51" s="2192"/>
      <c r="F51" s="2192"/>
      <c r="G51" s="2192"/>
      <c r="H51" s="2192"/>
      <c r="I51" s="893"/>
      <c r="J51" s="894"/>
      <c r="K51" s="895"/>
      <c r="L51" s="895"/>
      <c r="M51" s="895"/>
      <c r="N51" s="895"/>
      <c r="O51" s="895"/>
      <c r="P51" s="895"/>
      <c r="Q51" s="895"/>
      <c r="R51" s="895"/>
      <c r="S51" s="895"/>
    </row>
    <row r="52" spans="1:19" ht="15.75">
      <c r="A52" s="896"/>
      <c r="B52" s="897"/>
      <c r="C52" s="898"/>
      <c r="D52" s="898"/>
      <c r="E52" s="897"/>
      <c r="F52" s="898"/>
      <c r="G52" s="898"/>
      <c r="H52" s="897"/>
      <c r="I52" s="893"/>
      <c r="J52" s="894"/>
      <c r="K52" s="895"/>
      <c r="L52" s="895"/>
      <c r="M52" s="895"/>
      <c r="N52" s="895"/>
      <c r="O52" s="895"/>
      <c r="P52" s="895"/>
      <c r="Q52" s="895"/>
      <c r="R52" s="895"/>
      <c r="S52" s="895"/>
    </row>
    <row r="53" spans="1:19" ht="68.25" customHeight="1">
      <c r="A53" s="2193"/>
      <c r="B53" s="2194"/>
      <c r="C53" s="2194"/>
      <c r="D53" s="2194"/>
      <c r="E53" s="2194"/>
      <c r="F53" s="2194"/>
      <c r="G53" s="2194"/>
      <c r="H53" s="899"/>
      <c r="I53" s="756"/>
      <c r="J53" s="900"/>
      <c r="K53" s="900"/>
      <c r="L53" s="900"/>
      <c r="M53" s="900"/>
      <c r="N53" s="900"/>
      <c r="O53" s="900"/>
      <c r="P53" s="900"/>
      <c r="Q53" s="900"/>
      <c r="R53" s="900"/>
      <c r="S53" s="900"/>
    </row>
    <row r="54" spans="1:19" ht="15" customHeight="1">
      <c r="A54" s="899"/>
      <c r="B54" s="899"/>
      <c r="C54" s="899"/>
      <c r="D54" s="899"/>
      <c r="E54" s="899"/>
      <c r="F54" s="899"/>
      <c r="G54" s="899"/>
      <c r="H54" s="899"/>
      <c r="I54" s="756"/>
      <c r="J54" s="900"/>
      <c r="K54" s="900"/>
      <c r="L54" s="900"/>
      <c r="M54" s="900"/>
      <c r="N54" s="900"/>
      <c r="O54" s="900"/>
      <c r="P54" s="900"/>
      <c r="Q54" s="900"/>
      <c r="R54" s="900"/>
      <c r="S54" s="900"/>
    </row>
    <row r="55" spans="1:19" ht="15">
      <c r="A55" s="2195"/>
      <c r="B55" s="2196"/>
      <c r="C55" s="2196"/>
      <c r="D55" s="2196"/>
      <c r="E55" s="2196"/>
      <c r="F55" s="2196"/>
      <c r="G55" s="2196"/>
      <c r="H55" s="901"/>
      <c r="I55" s="902"/>
      <c r="J55" s="902"/>
      <c r="K55" s="902"/>
      <c r="L55" s="902"/>
      <c r="M55" s="902"/>
      <c r="N55" s="902"/>
      <c r="O55" s="902"/>
      <c r="P55" s="902"/>
      <c r="Q55" s="902"/>
      <c r="R55" s="902"/>
      <c r="S55" s="902"/>
    </row>
    <row r="56" spans="1:19">
      <c r="A56" s="903"/>
      <c r="B56" s="903"/>
      <c r="C56" s="903"/>
      <c r="D56" s="903"/>
      <c r="E56" s="903"/>
      <c r="F56" s="903"/>
      <c r="G56" s="903"/>
      <c r="H56" s="903"/>
      <c r="I56" s="895"/>
      <c r="J56" s="895"/>
      <c r="K56" s="895"/>
      <c r="L56" s="895"/>
      <c r="M56" s="895"/>
      <c r="N56" s="895"/>
      <c r="O56" s="895"/>
      <c r="P56" s="895"/>
      <c r="Q56" s="895"/>
      <c r="R56" s="895"/>
      <c r="S56" s="895"/>
    </row>
    <row r="57" spans="1:19" ht="57" customHeight="1">
      <c r="A57" s="2182"/>
      <c r="B57" s="2183"/>
      <c r="C57" s="2183"/>
      <c r="D57" s="2183"/>
      <c r="E57" s="2183"/>
      <c r="F57" s="2183"/>
      <c r="G57" s="2183"/>
      <c r="H57" s="899"/>
      <c r="I57" s="756"/>
      <c r="J57" s="900"/>
      <c r="K57" s="900"/>
      <c r="L57" s="900"/>
      <c r="M57" s="900"/>
      <c r="N57" s="900"/>
      <c r="O57" s="900"/>
      <c r="P57" s="900"/>
      <c r="Q57" s="900"/>
      <c r="R57" s="900"/>
      <c r="S57" s="900"/>
    </row>
    <row r="58" spans="1:19" ht="33.75" customHeight="1">
      <c r="A58" s="2182"/>
      <c r="B58" s="2183"/>
      <c r="C58" s="2183"/>
      <c r="D58" s="2183"/>
      <c r="E58" s="2183"/>
      <c r="F58" s="2183"/>
      <c r="G58" s="2183"/>
      <c r="H58" s="899"/>
      <c r="I58" s="756"/>
      <c r="J58" s="900"/>
      <c r="K58" s="900"/>
      <c r="L58" s="900"/>
      <c r="M58" s="900"/>
      <c r="N58" s="900"/>
      <c r="O58" s="900"/>
      <c r="P58" s="900"/>
      <c r="Q58" s="900"/>
      <c r="R58" s="900"/>
      <c r="S58" s="900"/>
    </row>
    <row r="59" spans="1:19" ht="15">
      <c r="A59" s="2184"/>
      <c r="B59" s="2185"/>
      <c r="C59" s="2185"/>
      <c r="D59" s="2185"/>
      <c r="E59" s="2185"/>
      <c r="F59" s="2185"/>
      <c r="G59" s="2185"/>
      <c r="H59" s="2185"/>
      <c r="I59" s="2185"/>
      <c r="J59" s="2186"/>
      <c r="K59" s="2186"/>
      <c r="L59" s="2186"/>
      <c r="M59" s="2186"/>
      <c r="N59" s="2186"/>
      <c r="O59" s="2186"/>
      <c r="P59" s="2186"/>
      <c r="Q59" s="2186"/>
      <c r="R59" s="2186"/>
      <c r="S59" s="2186"/>
    </row>
    <row r="60" spans="1:19" ht="15">
      <c r="A60" s="2184"/>
      <c r="B60" s="2185"/>
      <c r="C60" s="2185"/>
      <c r="D60" s="2185"/>
      <c r="E60" s="2185"/>
      <c r="F60" s="2185"/>
      <c r="G60" s="2185"/>
      <c r="H60" s="2185"/>
      <c r="I60" s="2185"/>
      <c r="J60" s="2186"/>
      <c r="K60" s="2186"/>
      <c r="L60" s="2186"/>
      <c r="M60" s="2186"/>
      <c r="N60" s="2186"/>
      <c r="O60" s="2186"/>
      <c r="P60" s="2186"/>
      <c r="Q60" s="2186"/>
      <c r="R60" s="2186"/>
      <c r="S60" s="2186"/>
    </row>
    <row r="61" spans="1:19">
      <c r="S61" s="816"/>
    </row>
  </sheetData>
  <mergeCells count="20">
    <mergeCell ref="A57:G57"/>
    <mergeCell ref="A58:G58"/>
    <mergeCell ref="A59:S59"/>
    <mergeCell ref="A60:S60"/>
    <mergeCell ref="K10:L10"/>
    <mergeCell ref="M10:N10"/>
    <mergeCell ref="A11:A12"/>
    <mergeCell ref="A51:H51"/>
    <mergeCell ref="A53:G53"/>
    <mergeCell ref="A55:G55"/>
    <mergeCell ref="C9:D10"/>
    <mergeCell ref="F9:G10"/>
    <mergeCell ref="I9:J10"/>
    <mergeCell ref="K9:N9"/>
    <mergeCell ref="O9:P10"/>
    <mergeCell ref="A1:P1"/>
    <mergeCell ref="A3:P3"/>
    <mergeCell ref="A4:P4"/>
    <mergeCell ref="A5:P5"/>
    <mergeCell ref="A6:P6"/>
  </mergeCells>
  <printOptions horizontalCentered="1"/>
  <pageMargins left="0.75" right="0.75" top="1" bottom="0.79" header="0.5" footer="0.5"/>
  <pageSetup scale="55" orientation="landscape" r:id="rId1"/>
  <headerFooter alignWithMargins="0">
    <oddFooter>&amp;C&amp;"Times New Roman,Regular"Exhibit D - Resources by DOJ Strategic Goals &amp; Strategic Objectives&amp;R&amp;"Times New Roman,Regular"Justice Assistance</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AC53"/>
  <sheetViews>
    <sheetView showGridLines="0" showOutlineSymbols="0" view="pageBreakPreview" zoomScale="75" zoomScaleNormal="75" workbookViewId="0">
      <selection activeCell="A37" sqref="A37"/>
    </sheetView>
  </sheetViews>
  <sheetFormatPr defaultColWidth="9.6640625" defaultRowHeight="15.75"/>
  <cols>
    <col min="1" max="1" width="41.109375"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8" width="5.5546875" style="684" customWidth="1"/>
    <col min="9" max="9" width="5.6640625" style="684" customWidth="1"/>
    <col min="10" max="10" width="7.77734375" style="684" customWidth="1"/>
    <col min="11" max="11" width="8.77734375" style="684" customWidth="1"/>
    <col min="12" max="12" width="10" style="684" customWidth="1"/>
    <col min="13" max="13" width="7.5546875" style="684" bestFit="1" customWidth="1"/>
    <col min="14" max="14" width="6.77734375" style="684" customWidth="1"/>
    <col min="15" max="15" width="10.88671875" style="684" bestFit="1" customWidth="1"/>
    <col min="16" max="16" width="1" style="948" customWidth="1"/>
    <col min="17" max="16384" width="9.6640625" style="684"/>
  </cols>
  <sheetData>
    <row r="1" spans="1:16" ht="20.25">
      <c r="A1" s="2156" t="s">
        <v>240</v>
      </c>
      <c r="B1" s="2157"/>
      <c r="C1" s="2157"/>
      <c r="D1" s="2157"/>
      <c r="E1" s="2157"/>
      <c r="F1" s="2157"/>
      <c r="G1" s="2157"/>
      <c r="H1" s="2157"/>
      <c r="I1" s="2157"/>
      <c r="J1" s="2157"/>
      <c r="K1" s="2157"/>
      <c r="L1" s="2157"/>
      <c r="M1" s="2157"/>
      <c r="N1" s="2157"/>
      <c r="O1" s="2157"/>
      <c r="P1" s="904" t="s">
        <v>0</v>
      </c>
    </row>
    <row r="2" spans="1:16">
      <c r="A2" s="2209"/>
      <c r="B2" s="2209"/>
      <c r="C2" s="2209"/>
      <c r="D2" s="2209"/>
      <c r="E2" s="2209"/>
      <c r="F2" s="2209"/>
      <c r="G2" s="2209"/>
      <c r="H2" s="2209"/>
      <c r="I2" s="2209"/>
      <c r="J2" s="2209"/>
      <c r="K2" s="2209"/>
      <c r="L2" s="2209"/>
      <c r="M2" s="2209"/>
      <c r="N2" s="2209"/>
      <c r="O2" s="2209"/>
      <c r="P2" s="904" t="s">
        <v>0</v>
      </c>
    </row>
    <row r="3" spans="1:16" ht="18.75">
      <c r="A3" s="2210" t="s">
        <v>231</v>
      </c>
      <c r="B3" s="2211"/>
      <c r="C3" s="2211"/>
      <c r="D3" s="2211"/>
      <c r="E3" s="2211"/>
      <c r="F3" s="2211"/>
      <c r="G3" s="2211"/>
      <c r="H3" s="2211"/>
      <c r="I3" s="2211"/>
      <c r="J3" s="2211"/>
      <c r="K3" s="2211"/>
      <c r="L3" s="2211"/>
      <c r="M3" s="2211"/>
      <c r="N3" s="2211"/>
      <c r="O3" s="2211"/>
      <c r="P3" s="904" t="s">
        <v>0</v>
      </c>
    </row>
    <row r="4" spans="1:16" ht="16.5">
      <c r="A4" s="2212" t="str">
        <f>+'B. Summ of Requirements  - JA'!A5</f>
        <v>Office of Justice Programs</v>
      </c>
      <c r="B4" s="2208"/>
      <c r="C4" s="2208"/>
      <c r="D4" s="2208"/>
      <c r="E4" s="2208"/>
      <c r="F4" s="2208"/>
      <c r="G4" s="2208"/>
      <c r="H4" s="2208"/>
      <c r="I4" s="2208"/>
      <c r="J4" s="2208"/>
      <c r="K4" s="2208"/>
      <c r="L4" s="2208"/>
      <c r="M4" s="2208"/>
      <c r="N4" s="2208"/>
      <c r="O4" s="2208"/>
      <c r="P4" s="904" t="s">
        <v>0</v>
      </c>
    </row>
    <row r="5" spans="1:16" ht="16.5">
      <c r="A5" s="2212" t="str">
        <f>+'B. Summ of Requirements  - JA'!A6</f>
        <v>Justice Assistance</v>
      </c>
      <c r="B5" s="2211"/>
      <c r="C5" s="2211"/>
      <c r="D5" s="2211"/>
      <c r="E5" s="2211"/>
      <c r="F5" s="2211"/>
      <c r="G5" s="2211"/>
      <c r="H5" s="2211"/>
      <c r="I5" s="2211"/>
      <c r="J5" s="2211"/>
      <c r="K5" s="2211"/>
      <c r="L5" s="2211"/>
      <c r="M5" s="2211"/>
      <c r="N5" s="2211"/>
      <c r="O5" s="2211"/>
      <c r="P5" s="904" t="s">
        <v>0</v>
      </c>
    </row>
    <row r="6" spans="1:16">
      <c r="A6" s="2207" t="s">
        <v>257</v>
      </c>
      <c r="B6" s="2208"/>
      <c r="C6" s="2208"/>
      <c r="D6" s="2208"/>
      <c r="E6" s="2208"/>
      <c r="F6" s="2208"/>
      <c r="G6" s="2208"/>
      <c r="H6" s="2208"/>
      <c r="I6" s="2208"/>
      <c r="J6" s="2208"/>
      <c r="K6" s="2208"/>
      <c r="L6" s="2208"/>
      <c r="M6" s="2208"/>
      <c r="N6" s="2208"/>
      <c r="O6" s="2208"/>
      <c r="P6" s="904" t="s">
        <v>0</v>
      </c>
    </row>
    <row r="7" spans="1:16">
      <c r="A7" s="2209"/>
      <c r="B7" s="2209"/>
      <c r="C7" s="2209"/>
      <c r="D7" s="2209"/>
      <c r="E7" s="2209"/>
      <c r="F7" s="2209"/>
      <c r="G7" s="2209"/>
      <c r="H7" s="2209"/>
      <c r="I7" s="2209"/>
      <c r="J7" s="2209"/>
      <c r="K7" s="2209"/>
      <c r="L7" s="2209"/>
      <c r="M7" s="2209"/>
      <c r="N7" s="2209"/>
      <c r="O7" s="2209"/>
      <c r="P7" s="904" t="s">
        <v>0</v>
      </c>
    </row>
    <row r="8" spans="1:16">
      <c r="A8" s="2213"/>
      <c r="B8" s="2213"/>
      <c r="C8" s="2213"/>
      <c r="D8" s="2213"/>
      <c r="E8" s="2213"/>
      <c r="F8" s="2213"/>
      <c r="G8" s="2213"/>
      <c r="H8" s="2213"/>
      <c r="I8" s="2213"/>
      <c r="J8" s="2213"/>
      <c r="K8" s="2213"/>
      <c r="L8" s="2213"/>
      <c r="M8" s="2213"/>
      <c r="N8" s="2213"/>
      <c r="O8" s="2213"/>
      <c r="P8" s="904" t="s">
        <v>0</v>
      </c>
    </row>
    <row r="9" spans="1:16" ht="15.75" customHeight="1">
      <c r="A9" s="2214" t="s">
        <v>45</v>
      </c>
      <c r="B9" s="2217" t="s">
        <v>19</v>
      </c>
      <c r="C9" s="2218"/>
      <c r="D9" s="2219"/>
      <c r="E9" s="2223" t="s">
        <v>269</v>
      </c>
      <c r="F9" s="2224"/>
      <c r="G9" s="2225"/>
      <c r="H9" s="2217" t="s">
        <v>23</v>
      </c>
      <c r="I9" s="2218"/>
      <c r="J9" s="2218"/>
      <c r="K9" s="2229" t="s">
        <v>356</v>
      </c>
      <c r="L9" s="2229" t="s">
        <v>357</v>
      </c>
      <c r="M9" s="2217" t="s">
        <v>35</v>
      </c>
      <c r="N9" s="2218"/>
      <c r="O9" s="2219"/>
      <c r="P9" s="904" t="s">
        <v>0</v>
      </c>
    </row>
    <row r="10" spans="1:16">
      <c r="A10" s="2215"/>
      <c r="B10" s="2220"/>
      <c r="C10" s="2221"/>
      <c r="D10" s="2222"/>
      <c r="E10" s="2226"/>
      <c r="F10" s="2227"/>
      <c r="G10" s="2228"/>
      <c r="H10" s="2220"/>
      <c r="I10" s="2221"/>
      <c r="J10" s="2221"/>
      <c r="K10" s="2230"/>
      <c r="L10" s="2230"/>
      <c r="M10" s="2220"/>
      <c r="N10" s="2221"/>
      <c r="O10" s="2222"/>
      <c r="P10" s="904" t="s">
        <v>0</v>
      </c>
    </row>
    <row r="11" spans="1:16"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row>
    <row r="12" spans="1:16">
      <c r="A12" s="910" t="s">
        <v>430</v>
      </c>
      <c r="B12" s="738"/>
      <c r="C12" s="697"/>
      <c r="D12" s="697"/>
      <c r="E12" s="738"/>
      <c r="F12" s="697"/>
      <c r="G12" s="697"/>
      <c r="H12" s="738"/>
      <c r="I12" s="697"/>
      <c r="J12" s="697"/>
      <c r="K12" s="676"/>
      <c r="L12" s="697"/>
      <c r="M12" s="738"/>
      <c r="N12" s="697"/>
      <c r="O12" s="667">
        <f>D12+G12+J12+K12+L12</f>
        <v>0</v>
      </c>
      <c r="P12" s="904" t="s">
        <v>0</v>
      </c>
    </row>
    <row r="13" spans="1:16">
      <c r="A13" s="911" t="s">
        <v>459</v>
      </c>
      <c r="B13" s="738"/>
      <c r="C13" s="697"/>
      <c r="D13" s="912">
        <v>41000</v>
      </c>
      <c r="E13" s="738"/>
      <c r="F13" s="697"/>
      <c r="G13" s="697"/>
      <c r="H13" s="738"/>
      <c r="I13" s="697"/>
      <c r="J13" s="697">
        <v>-427</v>
      </c>
      <c r="K13" s="676">
        <v>813</v>
      </c>
      <c r="L13" s="697">
        <v>0</v>
      </c>
      <c r="M13" s="738"/>
      <c r="N13" s="697"/>
      <c r="O13" s="667">
        <f t="shared" ref="O13:O23" si="0">D13+G13+J13+K13+L13</f>
        <v>41386</v>
      </c>
      <c r="P13" s="904" t="s">
        <v>0</v>
      </c>
    </row>
    <row r="14" spans="1:16">
      <c r="A14" s="911" t="s">
        <v>460</v>
      </c>
      <c r="B14" s="738"/>
      <c r="C14" s="697"/>
      <c r="D14" s="912">
        <v>19000</v>
      </c>
      <c r="E14" s="738"/>
      <c r="F14" s="697"/>
      <c r="G14" s="697"/>
      <c r="H14" s="738"/>
      <c r="I14" s="697"/>
      <c r="J14" s="697">
        <v>-673</v>
      </c>
      <c r="K14" s="676">
        <v>533</v>
      </c>
      <c r="L14" s="697">
        <v>1314</v>
      </c>
      <c r="M14" s="738"/>
      <c r="N14" s="697"/>
      <c r="O14" s="667">
        <f t="shared" si="0"/>
        <v>20174</v>
      </c>
      <c r="P14" s="904" t="s">
        <v>0</v>
      </c>
    </row>
    <row r="15" spans="1:16">
      <c r="A15" s="911" t="s">
        <v>461</v>
      </c>
      <c r="B15" s="738"/>
      <c r="C15" s="697"/>
      <c r="D15" s="912"/>
      <c r="E15" s="738"/>
      <c r="F15" s="697"/>
      <c r="G15" s="697"/>
      <c r="H15" s="738"/>
      <c r="I15" s="697"/>
      <c r="J15" s="697"/>
      <c r="K15" s="676">
        <v>4178</v>
      </c>
      <c r="L15" s="697">
        <v>5314</v>
      </c>
      <c r="M15" s="738"/>
      <c r="N15" s="697"/>
      <c r="O15" s="667">
        <f t="shared" si="0"/>
        <v>9492</v>
      </c>
      <c r="P15" s="904" t="s">
        <v>0</v>
      </c>
    </row>
    <row r="16" spans="1:16">
      <c r="A16" s="911" t="s">
        <v>415</v>
      </c>
      <c r="B16" s="738"/>
      <c r="C16" s="697"/>
      <c r="D16" s="912">
        <v>70000</v>
      </c>
      <c r="E16" s="738"/>
      <c r="F16" s="697"/>
      <c r="G16" s="697"/>
      <c r="H16" s="738"/>
      <c r="I16" s="697"/>
      <c r="J16" s="697">
        <v>-935</v>
      </c>
      <c r="K16" s="676">
        <v>502</v>
      </c>
      <c r="L16" s="697">
        <v>335</v>
      </c>
      <c r="M16" s="738"/>
      <c r="N16" s="697"/>
      <c r="O16" s="667">
        <f t="shared" si="0"/>
        <v>69902</v>
      </c>
      <c r="P16" s="904" t="s">
        <v>0</v>
      </c>
    </row>
    <row r="17" spans="1:29">
      <c r="A17" s="911" t="s">
        <v>462</v>
      </c>
      <c r="B17" s="738"/>
      <c r="C17" s="697"/>
      <c r="D17" s="912"/>
      <c r="E17" s="738"/>
      <c r="F17" s="697"/>
      <c r="G17" s="697"/>
      <c r="H17" s="738"/>
      <c r="I17" s="697"/>
      <c r="J17" s="697"/>
      <c r="K17" s="676">
        <v>-3207</v>
      </c>
      <c r="L17" s="697">
        <v>1732</v>
      </c>
      <c r="M17" s="738"/>
      <c r="N17" s="697"/>
      <c r="O17" s="667">
        <f t="shared" si="0"/>
        <v>-1475</v>
      </c>
      <c r="P17" s="904" t="s">
        <v>0</v>
      </c>
    </row>
    <row r="18" spans="1:29">
      <c r="A18" s="911" t="s">
        <v>431</v>
      </c>
      <c r="B18" s="738"/>
      <c r="C18" s="697"/>
      <c r="D18" s="912">
        <v>45000</v>
      </c>
      <c r="E18" s="738"/>
      <c r="F18" s="697"/>
      <c r="G18" s="697"/>
      <c r="H18" s="738"/>
      <c r="I18" s="697"/>
      <c r="J18" s="697">
        <v>-469</v>
      </c>
      <c r="K18" s="676">
        <v>115</v>
      </c>
      <c r="L18" s="697"/>
      <c r="M18" s="738"/>
      <c r="N18" s="697"/>
      <c r="O18" s="667">
        <f t="shared" si="0"/>
        <v>44646</v>
      </c>
      <c r="P18" s="904" t="s">
        <v>0</v>
      </c>
    </row>
    <row r="19" spans="1:29">
      <c r="A19" s="911" t="s">
        <v>418</v>
      </c>
      <c r="B19" s="738"/>
      <c r="C19" s="697"/>
      <c r="D19" s="912"/>
      <c r="E19" s="738"/>
      <c r="F19" s="697"/>
      <c r="G19" s="697"/>
      <c r="H19" s="738"/>
      <c r="I19" s="697"/>
      <c r="J19" s="697"/>
      <c r="K19" s="676"/>
      <c r="L19" s="697"/>
      <c r="M19" s="738"/>
      <c r="N19" s="697"/>
      <c r="O19" s="667">
        <f t="shared" si="0"/>
        <v>0</v>
      </c>
      <c r="P19" s="904" t="s">
        <v>0</v>
      </c>
    </row>
    <row r="20" spans="1:29">
      <c r="A20" s="911" t="s">
        <v>463</v>
      </c>
      <c r="B20" s="738"/>
      <c r="C20" s="697"/>
      <c r="D20" s="912">
        <v>5000</v>
      </c>
      <c r="E20" s="738"/>
      <c r="F20" s="697"/>
      <c r="G20" s="697"/>
      <c r="H20" s="738"/>
      <c r="I20" s="697"/>
      <c r="J20" s="697">
        <v>-52</v>
      </c>
      <c r="K20" s="676">
        <v>65</v>
      </c>
      <c r="L20" s="697"/>
      <c r="M20" s="738"/>
      <c r="N20" s="697"/>
      <c r="O20" s="667">
        <f t="shared" si="0"/>
        <v>5013</v>
      </c>
      <c r="P20" s="904" t="s">
        <v>0</v>
      </c>
    </row>
    <row r="21" spans="1:29">
      <c r="A21" s="911" t="s">
        <v>464</v>
      </c>
      <c r="B21" s="738"/>
      <c r="C21" s="697"/>
      <c r="D21" s="912">
        <v>43000</v>
      </c>
      <c r="E21" s="738"/>
      <c r="F21" s="697"/>
      <c r="G21" s="697"/>
      <c r="H21" s="738"/>
      <c r="I21" s="697"/>
      <c r="J21" s="697">
        <v>-2077</v>
      </c>
      <c r="K21" s="676">
        <v>538</v>
      </c>
      <c r="L21" s="697">
        <v>1960</v>
      </c>
      <c r="M21" s="738"/>
      <c r="N21" s="697"/>
      <c r="O21" s="667">
        <f t="shared" si="0"/>
        <v>43421</v>
      </c>
      <c r="P21" s="904" t="s">
        <v>0</v>
      </c>
    </row>
    <row r="22" spans="1:29">
      <c r="A22" s="911" t="s">
        <v>465</v>
      </c>
      <c r="B22" s="738"/>
      <c r="C22" s="697"/>
      <c r="D22" s="697"/>
      <c r="E22" s="738"/>
      <c r="F22" s="697"/>
      <c r="G22" s="697">
        <v>-3263</v>
      </c>
      <c r="H22" s="738"/>
      <c r="I22" s="697"/>
      <c r="J22" s="697"/>
      <c r="K22" s="676"/>
      <c r="L22" s="697"/>
      <c r="M22" s="738"/>
      <c r="N22" s="697"/>
      <c r="O22" s="667">
        <f t="shared" si="0"/>
        <v>-3263</v>
      </c>
      <c r="P22" s="904" t="s">
        <v>0</v>
      </c>
    </row>
    <row r="23" spans="1:29">
      <c r="A23" s="913" t="s">
        <v>432</v>
      </c>
      <c r="B23" s="914"/>
      <c r="C23" s="915"/>
      <c r="D23" s="915">
        <v>12000</v>
      </c>
      <c r="E23" s="914"/>
      <c r="F23" s="915"/>
      <c r="G23" s="915"/>
      <c r="H23" s="914"/>
      <c r="I23" s="915"/>
      <c r="J23" s="915">
        <v>-225</v>
      </c>
      <c r="K23" s="916">
        <v>498</v>
      </c>
      <c r="L23" s="681">
        <v>577</v>
      </c>
      <c r="M23" s="728"/>
      <c r="N23" s="730"/>
      <c r="O23" s="917">
        <f t="shared" si="0"/>
        <v>12850</v>
      </c>
      <c r="P23" s="904" t="s">
        <v>0</v>
      </c>
    </row>
    <row r="24" spans="1:29">
      <c r="A24" s="918" t="s">
        <v>286</v>
      </c>
      <c r="B24" s="919">
        <f t="shared" ref="B24:N24" si="1">SUM(B12:B23)</f>
        <v>0</v>
      </c>
      <c r="C24" s="920">
        <f t="shared" si="1"/>
        <v>0</v>
      </c>
      <c r="D24" s="921">
        <f>SUM(D12:D23)</f>
        <v>235000</v>
      </c>
      <c r="E24" s="919">
        <f t="shared" si="1"/>
        <v>0</v>
      </c>
      <c r="F24" s="920">
        <f t="shared" si="1"/>
        <v>0</v>
      </c>
      <c r="G24" s="922">
        <f t="shared" si="1"/>
        <v>-3263</v>
      </c>
      <c r="H24" s="919">
        <f t="shared" si="1"/>
        <v>0</v>
      </c>
      <c r="I24" s="920">
        <f t="shared" si="1"/>
        <v>0</v>
      </c>
      <c r="J24" s="921">
        <f t="shared" si="1"/>
        <v>-4858</v>
      </c>
      <c r="K24" s="923">
        <f>SUM(K12:K23)</f>
        <v>4035</v>
      </c>
      <c r="L24" s="921">
        <f>SUM(L12:L23)</f>
        <v>11232</v>
      </c>
      <c r="M24" s="924">
        <f t="shared" si="1"/>
        <v>0</v>
      </c>
      <c r="N24" s="925">
        <f t="shared" si="1"/>
        <v>0</v>
      </c>
      <c r="O24" s="926">
        <f>SUM(O12:O23)</f>
        <v>242146</v>
      </c>
      <c r="P24" s="904" t="s">
        <v>0</v>
      </c>
    </row>
    <row r="25" spans="1:29">
      <c r="A25" s="927" t="s">
        <v>263</v>
      </c>
      <c r="B25" s="735" t="s">
        <v>278</v>
      </c>
      <c r="C25" s="736"/>
      <c r="D25" s="736"/>
      <c r="E25" s="735"/>
      <c r="F25" s="736"/>
      <c r="G25" s="736"/>
      <c r="H25" s="735"/>
      <c r="I25" s="736"/>
      <c r="J25" s="736"/>
      <c r="K25" s="682"/>
      <c r="L25" s="736"/>
      <c r="M25" s="735"/>
      <c r="N25" s="736"/>
      <c r="O25" s="737"/>
      <c r="P25" s="904" t="s">
        <v>0</v>
      </c>
      <c r="Q25" s="928"/>
      <c r="R25" s="928"/>
      <c r="S25" s="928"/>
      <c r="T25" s="928"/>
      <c r="U25" s="928"/>
      <c r="V25" s="928"/>
      <c r="W25" s="928"/>
      <c r="X25" s="928"/>
      <c r="Y25" s="928"/>
      <c r="Z25" s="928"/>
      <c r="AA25" s="928"/>
      <c r="AB25" s="928"/>
      <c r="AC25" s="928"/>
    </row>
    <row r="26" spans="1:29">
      <c r="A26" s="927" t="s">
        <v>262</v>
      </c>
      <c r="B26" s="929"/>
      <c r="C26" s="930">
        <f>SUM(C24:C25)</f>
        <v>0</v>
      </c>
      <c r="D26" s="930"/>
      <c r="E26" s="929"/>
      <c r="F26" s="930">
        <f>+F24+F25</f>
        <v>0</v>
      </c>
      <c r="G26" s="930"/>
      <c r="H26" s="929"/>
      <c r="I26" s="930">
        <f>+I24+I25</f>
        <v>0</v>
      </c>
      <c r="J26" s="930"/>
      <c r="K26" s="931"/>
      <c r="L26" s="930"/>
      <c r="M26" s="929"/>
      <c r="N26" s="930">
        <f>SUM(N24:N25)</f>
        <v>0</v>
      </c>
      <c r="O26" s="932"/>
      <c r="P26" s="904" t="s">
        <v>0</v>
      </c>
    </row>
    <row r="27" spans="1:29">
      <c r="A27" s="933" t="s">
        <v>264</v>
      </c>
      <c r="B27" s="738"/>
      <c r="C27" s="697"/>
      <c r="D27" s="697"/>
      <c r="E27" s="738"/>
      <c r="F27" s="697"/>
      <c r="G27" s="697"/>
      <c r="H27" s="738"/>
      <c r="I27" s="697"/>
      <c r="J27" s="697"/>
      <c r="K27" s="676"/>
      <c r="L27" s="697"/>
      <c r="M27" s="738"/>
      <c r="N27" s="697"/>
      <c r="O27" s="667"/>
      <c r="P27" s="904" t="s">
        <v>0</v>
      </c>
    </row>
    <row r="28" spans="1:29">
      <c r="A28" s="934" t="s">
        <v>55</v>
      </c>
      <c r="B28" s="738"/>
      <c r="C28" s="697"/>
      <c r="D28" s="697"/>
      <c r="E28" s="738"/>
      <c r="F28" s="697"/>
      <c r="G28" s="697"/>
      <c r="H28" s="738"/>
      <c r="I28" s="697"/>
      <c r="J28" s="697"/>
      <c r="K28" s="676"/>
      <c r="L28" s="697"/>
      <c r="M28" s="738"/>
      <c r="N28" s="697"/>
      <c r="O28" s="667"/>
      <c r="P28" s="904" t="s">
        <v>0</v>
      </c>
    </row>
    <row r="29" spans="1:29">
      <c r="A29" s="935" t="s">
        <v>103</v>
      </c>
      <c r="B29" s="735"/>
      <c r="C29" s="736"/>
      <c r="D29" s="736"/>
      <c r="E29" s="735"/>
      <c r="F29" s="736"/>
      <c r="G29" s="736"/>
      <c r="H29" s="735"/>
      <c r="I29" s="736"/>
      <c r="J29" s="736"/>
      <c r="K29" s="682"/>
      <c r="L29" s="736"/>
      <c r="M29" s="735"/>
      <c r="N29" s="736"/>
      <c r="O29" s="737"/>
      <c r="P29" s="904" t="s">
        <v>0</v>
      </c>
    </row>
    <row r="30" spans="1:29">
      <c r="A30" s="927" t="s">
        <v>265</v>
      </c>
      <c r="B30" s="735"/>
      <c r="C30" s="736">
        <f>C29+C28+C26</f>
        <v>0</v>
      </c>
      <c r="D30" s="936"/>
      <c r="E30" s="735"/>
      <c r="F30" s="736">
        <f>F29+F28+F26</f>
        <v>0</v>
      </c>
      <c r="G30" s="936"/>
      <c r="H30" s="735"/>
      <c r="I30" s="736">
        <f>I29+I28+I26</f>
        <v>0</v>
      </c>
      <c r="J30" s="936"/>
      <c r="K30" s="937"/>
      <c r="L30" s="936"/>
      <c r="M30" s="735"/>
      <c r="N30" s="736">
        <f>N29+N28+N26</f>
        <v>0</v>
      </c>
      <c r="O30" s="938"/>
      <c r="P30" s="904" t="s">
        <v>0</v>
      </c>
    </row>
    <row r="31" spans="1:29">
      <c r="B31" s="939"/>
      <c r="C31" s="939"/>
      <c r="D31" s="939"/>
      <c r="E31" s="939"/>
      <c r="F31" s="939"/>
      <c r="G31" s="939"/>
      <c r="H31" s="939"/>
      <c r="I31" s="939"/>
      <c r="J31" s="939"/>
      <c r="K31" s="939"/>
      <c r="L31" s="939"/>
      <c r="M31" s="939"/>
      <c r="N31" s="939"/>
      <c r="O31" s="939"/>
      <c r="P31" s="904" t="s">
        <v>0</v>
      </c>
    </row>
    <row r="32" spans="1:29">
      <c r="A32" s="939" t="s">
        <v>466</v>
      </c>
      <c r="C32" s="939"/>
      <c r="D32" s="939"/>
      <c r="E32" s="939"/>
      <c r="F32" s="939"/>
      <c r="G32" s="939"/>
      <c r="H32" s="939"/>
      <c r="I32" s="939"/>
      <c r="J32" s="939"/>
      <c r="K32" s="939"/>
      <c r="L32" s="939"/>
      <c r="M32" s="939"/>
      <c r="N32" s="939"/>
      <c r="O32" s="939"/>
      <c r="P32" s="904" t="s">
        <v>0</v>
      </c>
    </row>
    <row r="33" spans="1:16">
      <c r="A33" s="939"/>
      <c r="C33" s="939"/>
      <c r="D33" s="939"/>
      <c r="E33" s="939"/>
      <c r="F33" s="939"/>
      <c r="G33" s="939"/>
      <c r="H33" s="939"/>
      <c r="I33" s="939"/>
      <c r="J33" s="939"/>
      <c r="K33" s="939"/>
      <c r="L33" s="939"/>
      <c r="M33" s="939"/>
      <c r="N33" s="939"/>
      <c r="O33" s="939"/>
      <c r="P33" s="904" t="s">
        <v>0</v>
      </c>
    </row>
    <row r="34" spans="1:16">
      <c r="A34" s="939" t="s">
        <v>467</v>
      </c>
      <c r="C34" s="939"/>
      <c r="D34" s="939"/>
      <c r="E34" s="939"/>
      <c r="F34" s="939"/>
      <c r="G34" s="939"/>
      <c r="H34" s="939"/>
      <c r="I34" s="939"/>
      <c r="J34" s="939"/>
      <c r="K34" s="939"/>
      <c r="L34" s="939"/>
      <c r="M34" s="939"/>
      <c r="N34" s="939"/>
      <c r="O34" s="939"/>
      <c r="P34" s="904" t="s">
        <v>0</v>
      </c>
    </row>
    <row r="35" spans="1:16">
      <c r="A35" s="939"/>
      <c r="C35" s="939"/>
      <c r="D35" s="939"/>
      <c r="E35" s="939"/>
      <c r="F35" s="939"/>
      <c r="G35" s="939"/>
      <c r="H35" s="939"/>
      <c r="I35" s="939"/>
      <c r="J35" s="939"/>
      <c r="K35" s="939"/>
      <c r="L35" s="939"/>
      <c r="M35" s="939"/>
      <c r="N35" s="939"/>
      <c r="O35" s="939"/>
      <c r="P35" s="904" t="s">
        <v>0</v>
      </c>
    </row>
    <row r="36" spans="1:16" ht="14.45" customHeight="1">
      <c r="A36" s="939" t="s">
        <v>820</v>
      </c>
      <c r="B36" s="940"/>
      <c r="C36" s="940"/>
      <c r="D36" s="940"/>
      <c r="E36" s="940"/>
      <c r="F36" s="940"/>
      <c r="G36" s="940"/>
      <c r="H36" s="940"/>
      <c r="I36" s="940"/>
      <c r="J36" s="940"/>
      <c r="K36" s="940"/>
      <c r="L36" s="940"/>
      <c r="M36" s="939"/>
      <c r="N36" s="939"/>
      <c r="O36" s="939"/>
      <c r="P36" s="904" t="s">
        <v>0</v>
      </c>
    </row>
    <row r="37" spans="1:16">
      <c r="A37" s="941"/>
      <c r="B37" s="939"/>
      <c r="C37" s="939"/>
      <c r="D37" s="939"/>
      <c r="E37" s="939"/>
      <c r="F37" s="939"/>
      <c r="G37" s="939"/>
      <c r="H37" s="939"/>
      <c r="I37" s="939"/>
      <c r="J37" s="939"/>
      <c r="K37" s="939"/>
      <c r="L37" s="939"/>
      <c r="M37" s="939"/>
      <c r="N37" s="939"/>
      <c r="O37" s="939"/>
      <c r="P37" s="904" t="s">
        <v>0</v>
      </c>
    </row>
    <row r="38" spans="1:16">
      <c r="A38" s="942"/>
      <c r="B38" s="942"/>
      <c r="C38" s="942"/>
      <c r="D38" s="942"/>
      <c r="E38" s="942"/>
      <c r="F38" s="942"/>
      <c r="G38" s="942"/>
      <c r="H38" s="939"/>
      <c r="I38" s="939"/>
      <c r="J38" s="939"/>
      <c r="K38" s="939"/>
      <c r="L38" s="939"/>
      <c r="M38" s="939"/>
      <c r="N38" s="939"/>
      <c r="O38" s="939"/>
      <c r="P38" s="904" t="s">
        <v>24</v>
      </c>
    </row>
    <row r="39" spans="1:16">
      <c r="A39" s="2233"/>
      <c r="B39" s="2232"/>
      <c r="C39" s="2232"/>
      <c r="D39" s="2232"/>
      <c r="E39" s="2232"/>
      <c r="F39" s="2232"/>
      <c r="G39" s="2232"/>
      <c r="H39" s="2232"/>
      <c r="I39" s="2232"/>
      <c r="J39" s="2232"/>
      <c r="K39" s="2232"/>
      <c r="L39" s="2232"/>
      <c r="M39" s="2232"/>
      <c r="N39" s="2232"/>
      <c r="O39" s="2232"/>
      <c r="P39" s="684"/>
    </row>
    <row r="40" spans="1:16">
      <c r="A40" s="943"/>
      <c r="B40" s="944"/>
      <c r="C40" s="944"/>
      <c r="D40" s="944"/>
      <c r="E40" s="944"/>
      <c r="F40" s="944"/>
      <c r="G40" s="944"/>
      <c r="H40" s="944"/>
      <c r="I40" s="944"/>
      <c r="J40" s="944"/>
      <c r="K40" s="944"/>
      <c r="L40" s="944"/>
      <c r="M40" s="944"/>
      <c r="N40" s="944"/>
      <c r="O40" s="944"/>
      <c r="P40" s="684"/>
    </row>
    <row r="41" spans="1:16">
      <c r="A41" s="2234"/>
      <c r="B41" s="2235"/>
      <c r="C41" s="2235"/>
      <c r="D41" s="2235"/>
      <c r="E41" s="2235"/>
      <c r="F41" s="2235"/>
      <c r="G41" s="2235"/>
      <c r="H41" s="2235"/>
      <c r="I41" s="2235"/>
      <c r="J41" s="2235"/>
      <c r="K41" s="2235"/>
      <c r="L41" s="2235"/>
      <c r="M41" s="2235"/>
      <c r="N41" s="2235"/>
      <c r="O41" s="2235"/>
      <c r="P41" s="684"/>
    </row>
    <row r="42" spans="1:16" ht="24" customHeight="1">
      <c r="A42" s="2236"/>
      <c r="B42" s="2235"/>
      <c r="C42" s="2235"/>
      <c r="D42" s="2235"/>
      <c r="E42" s="2235"/>
      <c r="F42" s="2235"/>
      <c r="G42" s="2235"/>
      <c r="H42" s="2235"/>
      <c r="I42" s="2235"/>
      <c r="J42" s="2235"/>
      <c r="K42" s="2235"/>
      <c r="L42" s="2235"/>
      <c r="M42" s="2235"/>
      <c r="N42" s="2235"/>
      <c r="O42" s="2235"/>
      <c r="P42" s="684"/>
    </row>
    <row r="43" spans="1:16" ht="23.25" customHeight="1">
      <c r="A43" s="2234"/>
      <c r="B43" s="2236"/>
      <c r="C43" s="2236"/>
      <c r="D43" s="2236"/>
      <c r="E43" s="2236"/>
      <c r="F43" s="2236"/>
      <c r="G43" s="2236"/>
      <c r="H43" s="2236"/>
      <c r="I43" s="2236"/>
      <c r="J43" s="2236"/>
      <c r="K43" s="2236"/>
      <c r="L43" s="2236"/>
      <c r="M43" s="2236"/>
      <c r="N43" s="2236"/>
      <c r="O43" s="2236"/>
      <c r="P43" s="684"/>
    </row>
    <row r="44" spans="1:16" ht="9.75" customHeight="1">
      <c r="A44" s="752"/>
      <c r="B44" s="752"/>
      <c r="C44" s="752"/>
      <c r="D44" s="752"/>
      <c r="E44" s="752"/>
      <c r="F44" s="752"/>
      <c r="G44" s="752"/>
      <c r="H44" s="752"/>
      <c r="I44" s="752"/>
      <c r="J44" s="752"/>
      <c r="K44" s="752"/>
      <c r="L44" s="752"/>
      <c r="M44" s="752"/>
      <c r="N44" s="752"/>
      <c r="O44" s="752"/>
      <c r="P44" s="684"/>
    </row>
    <row r="45" spans="1:16" ht="11.25" customHeight="1">
      <c r="A45" s="752"/>
      <c r="B45" s="752"/>
      <c r="C45" s="752"/>
      <c r="D45" s="752"/>
      <c r="E45" s="752"/>
      <c r="F45" s="752"/>
      <c r="G45" s="752"/>
      <c r="H45" s="752"/>
      <c r="I45" s="752"/>
      <c r="J45" s="752"/>
      <c r="K45" s="752"/>
      <c r="L45" s="752"/>
      <c r="M45" s="752"/>
      <c r="N45" s="752"/>
      <c r="O45" s="752"/>
      <c r="P45" s="684"/>
    </row>
    <row r="46" spans="1:16">
      <c r="A46" s="2236"/>
      <c r="B46" s="2236"/>
      <c r="C46" s="2236"/>
      <c r="D46" s="2236"/>
      <c r="E46" s="2236"/>
      <c r="F46" s="2236"/>
      <c r="G46" s="2236"/>
      <c r="H46" s="2236"/>
      <c r="I46" s="2236"/>
      <c r="J46" s="2236"/>
      <c r="K46" s="2236"/>
      <c r="L46" s="2236"/>
      <c r="M46" s="2236"/>
      <c r="N46" s="2236"/>
      <c r="O46" s="2236"/>
      <c r="P46" s="684"/>
    </row>
    <row r="47" spans="1:16" ht="7.5" customHeight="1">
      <c r="A47" s="945"/>
      <c r="B47" s="945"/>
      <c r="C47" s="945"/>
      <c r="D47" s="945"/>
      <c r="E47" s="945"/>
      <c r="F47" s="945"/>
      <c r="G47" s="945"/>
      <c r="H47" s="945"/>
      <c r="I47" s="945"/>
      <c r="J47" s="945"/>
      <c r="K47" s="945"/>
      <c r="L47" s="945"/>
      <c r="M47" s="945"/>
      <c r="N47" s="945"/>
      <c r="O47" s="945"/>
      <c r="P47" s="684"/>
    </row>
    <row r="48" spans="1:16">
      <c r="A48" s="946"/>
      <c r="B48" s="945"/>
      <c r="C48" s="945"/>
      <c r="D48" s="945"/>
      <c r="E48" s="945"/>
      <c r="F48" s="945"/>
      <c r="G48" s="945"/>
      <c r="H48" s="945"/>
      <c r="I48" s="945"/>
      <c r="J48" s="945"/>
      <c r="K48" s="945"/>
      <c r="L48" s="945"/>
      <c r="M48" s="945"/>
      <c r="N48" s="945"/>
      <c r="O48" s="945"/>
      <c r="P48" s="684"/>
    </row>
    <row r="49" spans="1:16" ht="11.25" customHeight="1">
      <c r="A49" s="752"/>
      <c r="B49" s="752"/>
      <c r="C49" s="752"/>
      <c r="D49" s="752"/>
      <c r="E49" s="752"/>
      <c r="F49" s="752"/>
      <c r="G49" s="752"/>
      <c r="H49" s="752"/>
      <c r="I49" s="752"/>
      <c r="J49" s="752"/>
      <c r="K49" s="752"/>
      <c r="L49" s="752"/>
      <c r="M49" s="752"/>
      <c r="N49" s="752"/>
      <c r="O49" s="752"/>
      <c r="P49" s="684"/>
    </row>
    <row r="50" spans="1:16" ht="15" customHeight="1">
      <c r="A50" s="2236"/>
      <c r="B50" s="2235"/>
      <c r="C50" s="2235"/>
      <c r="D50" s="2235"/>
      <c r="E50" s="2235"/>
      <c r="F50" s="2235"/>
      <c r="G50" s="2235"/>
      <c r="H50" s="2235"/>
      <c r="I50" s="2235"/>
      <c r="J50" s="2235"/>
      <c r="K50" s="2235"/>
      <c r="L50" s="2235"/>
      <c r="M50" s="2235"/>
      <c r="N50" s="2235"/>
      <c r="O50" s="2235"/>
      <c r="P50" s="684"/>
    </row>
    <row r="51" spans="1:16" ht="12" customHeight="1">
      <c r="A51" s="747"/>
      <c r="B51" s="747"/>
      <c r="C51" s="747"/>
      <c r="D51" s="747"/>
      <c r="E51" s="747"/>
      <c r="F51" s="747"/>
      <c r="G51" s="747"/>
      <c r="H51" s="747"/>
      <c r="I51" s="747"/>
      <c r="J51" s="747"/>
      <c r="K51" s="747"/>
      <c r="L51" s="747"/>
      <c r="M51" s="747"/>
      <c r="N51" s="747"/>
      <c r="O51" s="947"/>
      <c r="P51" s="684"/>
    </row>
    <row r="52" spans="1:16" ht="36" customHeight="1">
      <c r="A52" s="2231"/>
      <c r="B52" s="2232"/>
      <c r="C52" s="2232"/>
      <c r="D52" s="2232"/>
      <c r="E52" s="2232"/>
      <c r="F52" s="2232"/>
      <c r="G52" s="2232"/>
      <c r="H52" s="2232"/>
      <c r="I52" s="2232"/>
      <c r="J52" s="2232"/>
      <c r="K52" s="2232"/>
      <c r="L52" s="2232"/>
      <c r="M52" s="2232"/>
      <c r="N52" s="2232"/>
      <c r="O52" s="2232"/>
      <c r="P52" s="2232"/>
    </row>
    <row r="53" spans="1:16">
      <c r="P53" s="684"/>
    </row>
  </sheetData>
  <mergeCells count="22">
    <mergeCell ref="A52:P52"/>
    <mergeCell ref="A39:O39"/>
    <mergeCell ref="A41:O41"/>
    <mergeCell ref="A42:O42"/>
    <mergeCell ref="A43:O43"/>
    <mergeCell ref="A46:O46"/>
    <mergeCell ref="A50:O50"/>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5" top="0.5" bottom="0.55000000000000004" header="0" footer="0"/>
  <pageSetup scale="72" firstPageNumber="2" orientation="landscape" useFirstPageNumber="1" horizontalDpi="300" verticalDpi="300" r:id="rId1"/>
  <headerFooter alignWithMargins="0">
    <oddFooter>&amp;C&amp;"Times New Roman,Regular"Exhibit F - Crosswalk of 2010 Availability&amp;R&amp;"Times New Roman,Regular"Justice Assistance</oddFooter>
  </headerFooter>
</worksheet>
</file>

<file path=xl/worksheets/sheet19.xml><?xml version="1.0" encoding="utf-8"?>
<worksheet xmlns="http://schemas.openxmlformats.org/spreadsheetml/2006/main" xmlns:r="http://schemas.openxmlformats.org/officeDocument/2006/relationships">
  <sheetPr>
    <pageSetUpPr fitToPage="1"/>
  </sheetPr>
  <dimension ref="A1:Q52"/>
  <sheetViews>
    <sheetView view="pageBreakPreview" zoomScale="70" zoomScaleNormal="100" zoomScaleSheetLayoutView="70" workbookViewId="0">
      <selection activeCell="A35" sqref="A35"/>
    </sheetView>
  </sheetViews>
  <sheetFormatPr defaultRowHeight="15.75"/>
  <cols>
    <col min="1" max="1" width="42.109375" style="949" customWidth="1"/>
    <col min="2" max="10" width="8.88671875" style="949"/>
    <col min="11" max="11" width="9.44140625" style="684" customWidth="1"/>
    <col min="12" max="12" width="10" style="684" customWidth="1"/>
    <col min="13" max="16384" width="8.88671875" style="949"/>
  </cols>
  <sheetData>
    <row r="1" spans="1:17" ht="20.25">
      <c r="A1" s="2156" t="s">
        <v>613</v>
      </c>
      <c r="B1" s="2157"/>
      <c r="C1" s="2157"/>
      <c r="D1" s="2157"/>
      <c r="E1" s="2157"/>
      <c r="F1" s="2157"/>
      <c r="G1" s="2157"/>
      <c r="H1" s="2157"/>
      <c r="I1" s="2157"/>
      <c r="J1" s="2157"/>
      <c r="K1" s="2157"/>
      <c r="L1" s="2157"/>
      <c r="M1" s="2157"/>
      <c r="N1" s="2157"/>
      <c r="O1" s="2157"/>
      <c r="P1" s="904" t="s">
        <v>0</v>
      </c>
      <c r="Q1" s="684"/>
    </row>
    <row r="2" spans="1:17">
      <c r="A2" s="2209"/>
      <c r="B2" s="2209"/>
      <c r="C2" s="2209"/>
      <c r="D2" s="2209"/>
      <c r="E2" s="2209"/>
      <c r="F2" s="2209"/>
      <c r="G2" s="2209"/>
      <c r="H2" s="2209"/>
      <c r="I2" s="2209"/>
      <c r="J2" s="2209"/>
      <c r="K2" s="2209"/>
      <c r="L2" s="2209"/>
      <c r="M2" s="2209"/>
      <c r="N2" s="2209"/>
      <c r="O2" s="2209"/>
      <c r="P2" s="904" t="s">
        <v>0</v>
      </c>
      <c r="Q2" s="684"/>
    </row>
    <row r="3" spans="1:17" ht="18.75">
      <c r="A3" s="2210" t="s">
        <v>329</v>
      </c>
      <c r="B3" s="2211"/>
      <c r="C3" s="2211"/>
      <c r="D3" s="2211"/>
      <c r="E3" s="2211"/>
      <c r="F3" s="2211"/>
      <c r="G3" s="2211"/>
      <c r="H3" s="2211"/>
      <c r="I3" s="2211"/>
      <c r="J3" s="2211"/>
      <c r="K3" s="2211"/>
      <c r="L3" s="2211"/>
      <c r="M3" s="2211"/>
      <c r="N3" s="2211"/>
      <c r="O3" s="2211"/>
      <c r="P3" s="904" t="s">
        <v>0</v>
      </c>
      <c r="Q3" s="684"/>
    </row>
    <row r="4" spans="1:17" ht="16.5">
      <c r="A4" s="2212" t="str">
        <f>+'B. Summ of Requirements  - JA'!A5</f>
        <v>Office of Justice Programs</v>
      </c>
      <c r="B4" s="2208"/>
      <c r="C4" s="2208"/>
      <c r="D4" s="2208"/>
      <c r="E4" s="2208"/>
      <c r="F4" s="2208"/>
      <c r="G4" s="2208"/>
      <c r="H4" s="2208"/>
      <c r="I4" s="2208"/>
      <c r="J4" s="2208"/>
      <c r="K4" s="2208"/>
      <c r="L4" s="2208"/>
      <c r="M4" s="2208"/>
      <c r="N4" s="2208"/>
      <c r="O4" s="2208"/>
      <c r="P4" s="904" t="s">
        <v>0</v>
      </c>
      <c r="Q4" s="684"/>
    </row>
    <row r="5" spans="1:17" ht="16.5">
      <c r="A5" s="2212" t="str">
        <f>+'B. Summ of Requirements  - JA'!A6</f>
        <v>Justice Assistance</v>
      </c>
      <c r="B5" s="2211"/>
      <c r="C5" s="2211"/>
      <c r="D5" s="2211"/>
      <c r="E5" s="2211"/>
      <c r="F5" s="2211"/>
      <c r="G5" s="2211"/>
      <c r="H5" s="2211"/>
      <c r="I5" s="2211"/>
      <c r="J5" s="2211"/>
      <c r="K5" s="2211"/>
      <c r="L5" s="2211"/>
      <c r="M5" s="2211"/>
      <c r="N5" s="2211"/>
      <c r="O5" s="2211"/>
      <c r="P5" s="904" t="s">
        <v>0</v>
      </c>
      <c r="Q5" s="684"/>
    </row>
    <row r="6" spans="1:17">
      <c r="A6" s="2207" t="s">
        <v>257</v>
      </c>
      <c r="B6" s="2208"/>
      <c r="C6" s="2208"/>
      <c r="D6" s="2208"/>
      <c r="E6" s="2208"/>
      <c r="F6" s="2208"/>
      <c r="G6" s="2208"/>
      <c r="H6" s="2208"/>
      <c r="I6" s="2208"/>
      <c r="J6" s="2208"/>
      <c r="K6" s="2208"/>
      <c r="L6" s="2208"/>
      <c r="M6" s="2208"/>
      <c r="N6" s="2208"/>
      <c r="O6" s="2208"/>
      <c r="P6" s="904" t="s">
        <v>0</v>
      </c>
      <c r="Q6" s="684"/>
    </row>
    <row r="7" spans="1:17">
      <c r="A7" s="2209"/>
      <c r="B7" s="2209"/>
      <c r="C7" s="2209"/>
      <c r="D7" s="2209"/>
      <c r="E7" s="2209"/>
      <c r="F7" s="2209"/>
      <c r="G7" s="2209"/>
      <c r="H7" s="2209"/>
      <c r="I7" s="2209"/>
      <c r="J7" s="2209"/>
      <c r="K7" s="2209"/>
      <c r="L7" s="2209"/>
      <c r="M7" s="2209"/>
      <c r="N7" s="2209"/>
      <c r="O7" s="2209"/>
      <c r="P7" s="904" t="s">
        <v>0</v>
      </c>
      <c r="Q7" s="684"/>
    </row>
    <row r="8" spans="1:17">
      <c r="A8" s="2213"/>
      <c r="B8" s="2213"/>
      <c r="C8" s="2213"/>
      <c r="D8" s="2213"/>
      <c r="E8" s="2213"/>
      <c r="F8" s="2213"/>
      <c r="G8" s="2213"/>
      <c r="H8" s="2213"/>
      <c r="I8" s="2213"/>
      <c r="J8" s="2213"/>
      <c r="K8" s="2213"/>
      <c r="L8" s="2213"/>
      <c r="M8" s="2213"/>
      <c r="N8" s="2213"/>
      <c r="O8" s="2213"/>
      <c r="P8" s="904" t="s">
        <v>0</v>
      </c>
      <c r="Q8" s="684"/>
    </row>
    <row r="9" spans="1:17" ht="15.75" customHeight="1">
      <c r="A9" s="2214" t="s">
        <v>45</v>
      </c>
      <c r="B9" s="2217" t="s">
        <v>359</v>
      </c>
      <c r="C9" s="2218"/>
      <c r="D9" s="2219"/>
      <c r="E9" s="2223" t="s">
        <v>269</v>
      </c>
      <c r="F9" s="2224"/>
      <c r="G9" s="2225"/>
      <c r="H9" s="2217" t="s">
        <v>23</v>
      </c>
      <c r="I9" s="2218"/>
      <c r="J9" s="2219"/>
      <c r="K9" s="2229" t="s">
        <v>356</v>
      </c>
      <c r="L9" s="2237" t="s">
        <v>357</v>
      </c>
      <c r="M9" s="2217" t="s">
        <v>330</v>
      </c>
      <c r="N9" s="2218"/>
      <c r="O9" s="2219"/>
      <c r="P9" s="904" t="s">
        <v>0</v>
      </c>
      <c r="Q9" s="684"/>
    </row>
    <row r="10" spans="1:17">
      <c r="A10" s="2215"/>
      <c r="B10" s="2220"/>
      <c r="C10" s="2221"/>
      <c r="D10" s="2222"/>
      <c r="E10" s="2226"/>
      <c r="F10" s="2227"/>
      <c r="G10" s="2228"/>
      <c r="H10" s="2220"/>
      <c r="I10" s="2221"/>
      <c r="J10" s="2222"/>
      <c r="K10" s="2230"/>
      <c r="L10" s="2238"/>
      <c r="M10" s="2220"/>
      <c r="N10" s="2221"/>
      <c r="O10" s="2222"/>
      <c r="P10" s="904" t="s">
        <v>0</v>
      </c>
      <c r="Q10" s="684"/>
    </row>
    <row r="11" spans="1:17"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c r="Q11" s="684"/>
    </row>
    <row r="12" spans="1:17">
      <c r="A12" s="910" t="s">
        <v>430</v>
      </c>
      <c r="B12" s="738"/>
      <c r="C12" s="697"/>
      <c r="D12" s="697"/>
      <c r="E12" s="738"/>
      <c r="F12" s="697"/>
      <c r="G12" s="697"/>
      <c r="H12" s="738"/>
      <c r="I12" s="697"/>
      <c r="J12" s="697"/>
      <c r="K12" s="676"/>
      <c r="L12" s="697"/>
      <c r="M12" s="738"/>
      <c r="N12" s="697"/>
      <c r="O12" s="667">
        <f>D12+G12+J12</f>
        <v>0</v>
      </c>
      <c r="P12" s="904" t="s">
        <v>0</v>
      </c>
      <c r="Q12" s="684"/>
    </row>
    <row r="13" spans="1:17">
      <c r="A13" s="911" t="s">
        <v>459</v>
      </c>
      <c r="B13" s="738"/>
      <c r="C13" s="697"/>
      <c r="D13" s="697">
        <v>41000</v>
      </c>
      <c r="E13" s="738"/>
      <c r="F13" s="697"/>
      <c r="G13" s="697"/>
      <c r="H13" s="738"/>
      <c r="I13" s="697"/>
      <c r="J13" s="697">
        <v>0</v>
      </c>
      <c r="K13" s="676">
        <v>996</v>
      </c>
      <c r="L13" s="697"/>
      <c r="M13" s="738"/>
      <c r="N13" s="697"/>
      <c r="O13" s="667">
        <f>D13+G13+J13+K13+L13</f>
        <v>41996</v>
      </c>
      <c r="P13" s="904" t="s">
        <v>0</v>
      </c>
      <c r="Q13" s="684"/>
    </row>
    <row r="14" spans="1:17">
      <c r="A14" s="911" t="s">
        <v>460</v>
      </c>
      <c r="B14" s="738"/>
      <c r="C14" s="697"/>
      <c r="D14" s="697">
        <v>19000</v>
      </c>
      <c r="E14" s="738"/>
      <c r="F14" s="697"/>
      <c r="G14" s="697"/>
      <c r="H14" s="738"/>
      <c r="I14" s="697"/>
      <c r="J14" s="697">
        <v>0</v>
      </c>
      <c r="K14" s="676">
        <v>3179</v>
      </c>
      <c r="L14" s="697">
        <v>32</v>
      </c>
      <c r="M14" s="738"/>
      <c r="N14" s="697"/>
      <c r="O14" s="667">
        <f t="shared" ref="O14:O21" si="0">D14+G14+J14+K14+L14</f>
        <v>22211</v>
      </c>
      <c r="P14" s="904" t="s">
        <v>0</v>
      </c>
      <c r="Q14" s="684"/>
    </row>
    <row r="15" spans="1:17">
      <c r="A15" s="911" t="s">
        <v>461</v>
      </c>
      <c r="B15" s="738"/>
      <c r="C15" s="697"/>
      <c r="D15" s="697"/>
      <c r="E15" s="738"/>
      <c r="F15" s="697"/>
      <c r="G15" s="697"/>
      <c r="H15" s="738"/>
      <c r="I15" s="697"/>
      <c r="J15" s="697"/>
      <c r="K15" s="676">
        <v>5051</v>
      </c>
      <c r="L15" s="697">
        <v>96</v>
      </c>
      <c r="M15" s="738"/>
      <c r="N15" s="697"/>
      <c r="O15" s="667">
        <f t="shared" si="0"/>
        <v>5147</v>
      </c>
      <c r="P15" s="904" t="s">
        <v>0</v>
      </c>
      <c r="Q15" s="684"/>
    </row>
    <row r="16" spans="1:17">
      <c r="A16" s="911" t="s">
        <v>415</v>
      </c>
      <c r="B16" s="738"/>
      <c r="C16" s="697"/>
      <c r="D16" s="697">
        <v>70000</v>
      </c>
      <c r="E16" s="738"/>
      <c r="F16" s="697"/>
      <c r="G16" s="697"/>
      <c r="H16" s="738"/>
      <c r="I16" s="697"/>
      <c r="J16" s="697">
        <v>0</v>
      </c>
      <c r="K16" s="676">
        <v>835</v>
      </c>
      <c r="L16" s="697">
        <v>200</v>
      </c>
      <c r="M16" s="738"/>
      <c r="N16" s="697"/>
      <c r="O16" s="667">
        <f t="shared" si="0"/>
        <v>71035</v>
      </c>
      <c r="P16" s="904" t="s">
        <v>0</v>
      </c>
      <c r="Q16" s="684"/>
    </row>
    <row r="17" spans="1:17">
      <c r="A17" s="911" t="s">
        <v>462</v>
      </c>
      <c r="B17" s="738"/>
      <c r="C17" s="697"/>
      <c r="D17" s="697"/>
      <c r="E17" s="738"/>
      <c r="F17" s="697"/>
      <c r="G17" s="697"/>
      <c r="H17" s="738"/>
      <c r="I17" s="697"/>
      <c r="J17" s="697"/>
      <c r="K17" s="676">
        <v>-4182</v>
      </c>
      <c r="L17" s="697">
        <v>1</v>
      </c>
      <c r="M17" s="738"/>
      <c r="N17" s="697"/>
      <c r="O17" s="667">
        <f>D17+G17+J17+K17+L17+4181-642</f>
        <v>-642</v>
      </c>
      <c r="P17" s="904" t="s">
        <v>0</v>
      </c>
      <c r="Q17" s="684"/>
    </row>
    <row r="18" spans="1:17">
      <c r="A18" s="911" t="s">
        <v>431</v>
      </c>
      <c r="B18" s="738"/>
      <c r="C18" s="697"/>
      <c r="D18" s="697">
        <v>45000</v>
      </c>
      <c r="E18" s="738"/>
      <c r="F18" s="697"/>
      <c r="G18" s="697"/>
      <c r="H18" s="738"/>
      <c r="I18" s="697"/>
      <c r="J18" s="697">
        <v>0</v>
      </c>
      <c r="K18" s="676">
        <v>175</v>
      </c>
      <c r="L18" s="697"/>
      <c r="M18" s="738"/>
      <c r="N18" s="697"/>
      <c r="O18" s="667">
        <f t="shared" si="0"/>
        <v>45175</v>
      </c>
      <c r="P18" s="904" t="s">
        <v>0</v>
      </c>
      <c r="Q18" s="684"/>
    </row>
    <row r="19" spans="1:17">
      <c r="A19" s="911" t="s">
        <v>418</v>
      </c>
      <c r="B19" s="738"/>
      <c r="C19" s="697"/>
      <c r="D19" s="697"/>
      <c r="E19" s="738"/>
      <c r="F19" s="697"/>
      <c r="G19" s="697"/>
      <c r="H19" s="738"/>
      <c r="I19" s="697"/>
      <c r="J19" s="697">
        <v>0</v>
      </c>
      <c r="K19" s="676"/>
      <c r="L19" s="697">
        <v>215</v>
      </c>
      <c r="M19" s="738"/>
      <c r="N19" s="697"/>
      <c r="O19" s="667">
        <f t="shared" si="0"/>
        <v>215</v>
      </c>
      <c r="P19" s="904" t="s">
        <v>0</v>
      </c>
      <c r="Q19" s="684"/>
    </row>
    <row r="20" spans="1:17">
      <c r="A20" s="911" t="s">
        <v>463</v>
      </c>
      <c r="B20" s="738"/>
      <c r="C20" s="697"/>
      <c r="D20" s="697">
        <v>5000</v>
      </c>
      <c r="E20" s="738"/>
      <c r="F20" s="697"/>
      <c r="G20" s="697"/>
      <c r="H20" s="738"/>
      <c r="I20" s="697"/>
      <c r="J20" s="697">
        <v>0</v>
      </c>
      <c r="K20" s="676">
        <v>200</v>
      </c>
      <c r="L20" s="697"/>
      <c r="M20" s="738"/>
      <c r="N20" s="697"/>
      <c r="O20" s="667">
        <f t="shared" si="0"/>
        <v>5200</v>
      </c>
      <c r="P20" s="904" t="s">
        <v>0</v>
      </c>
      <c r="Q20" s="684"/>
    </row>
    <row r="21" spans="1:17">
      <c r="A21" s="911" t="s">
        <v>464</v>
      </c>
      <c r="B21" s="738"/>
      <c r="C21" s="697"/>
      <c r="D21" s="697">
        <v>43000</v>
      </c>
      <c r="E21" s="738"/>
      <c r="F21" s="697"/>
      <c r="G21" s="697"/>
      <c r="H21" s="738"/>
      <c r="I21" s="697"/>
      <c r="J21" s="697">
        <v>0</v>
      </c>
      <c r="K21" s="676">
        <v>-926</v>
      </c>
      <c r="L21" s="697"/>
      <c r="M21" s="738"/>
      <c r="N21" s="697"/>
      <c r="O21" s="667">
        <f t="shared" si="0"/>
        <v>42074</v>
      </c>
      <c r="P21" s="904" t="s">
        <v>0</v>
      </c>
      <c r="Q21" s="684"/>
    </row>
    <row r="22" spans="1:17">
      <c r="A22" s="911" t="s">
        <v>465</v>
      </c>
      <c r="B22" s="738"/>
      <c r="C22" s="697"/>
      <c r="D22" s="697"/>
      <c r="E22" s="738"/>
      <c r="F22" s="697"/>
      <c r="G22" s="697">
        <v>-4000</v>
      </c>
      <c r="H22" s="738"/>
      <c r="I22" s="697"/>
      <c r="J22" s="697"/>
      <c r="K22" s="676"/>
      <c r="L22" s="697"/>
      <c r="M22" s="738"/>
      <c r="N22" s="697"/>
      <c r="O22" s="667">
        <f t="shared" ref="O22" si="1">D22+G22+J22</f>
        <v>-4000</v>
      </c>
      <c r="P22" s="904" t="s">
        <v>0</v>
      </c>
      <c r="Q22" s="684"/>
    </row>
    <row r="23" spans="1:17">
      <c r="A23" s="913" t="s">
        <v>432</v>
      </c>
      <c r="B23" s="738"/>
      <c r="C23" s="697"/>
      <c r="D23" s="915">
        <v>12000</v>
      </c>
      <c r="E23" s="738"/>
      <c r="F23" s="697"/>
      <c r="G23" s="697"/>
      <c r="H23" s="738"/>
      <c r="I23" s="697"/>
      <c r="J23" s="915">
        <v>0</v>
      </c>
      <c r="K23" s="916">
        <v>4348</v>
      </c>
      <c r="L23" s="730">
        <v>187</v>
      </c>
      <c r="M23" s="728"/>
      <c r="N23" s="730"/>
      <c r="O23" s="667">
        <f>D23+G23+J23+K13+L13</f>
        <v>12996</v>
      </c>
      <c r="P23" s="904" t="s">
        <v>0</v>
      </c>
      <c r="Q23" s="684"/>
    </row>
    <row r="24" spans="1:17">
      <c r="A24" s="918" t="s">
        <v>286</v>
      </c>
      <c r="B24" s="924">
        <f t="shared" ref="B24:N24" si="2">SUM(B12:B23)</f>
        <v>0</v>
      </c>
      <c r="C24" s="925">
        <f t="shared" si="2"/>
        <v>0</v>
      </c>
      <c r="D24" s="950">
        <f t="shared" si="2"/>
        <v>235000</v>
      </c>
      <c r="E24" s="924">
        <f t="shared" si="2"/>
        <v>0</v>
      </c>
      <c r="F24" s="925">
        <f t="shared" si="2"/>
        <v>0</v>
      </c>
      <c r="G24" s="950">
        <f t="shared" si="2"/>
        <v>-4000</v>
      </c>
      <c r="H24" s="924">
        <f t="shared" si="2"/>
        <v>0</v>
      </c>
      <c r="I24" s="925">
        <f t="shared" si="2"/>
        <v>0</v>
      </c>
      <c r="J24" s="950">
        <f t="shared" si="2"/>
        <v>0</v>
      </c>
      <c r="K24" s="923">
        <f t="shared" si="2"/>
        <v>9676</v>
      </c>
      <c r="L24" s="951">
        <f t="shared" si="2"/>
        <v>731</v>
      </c>
      <c r="M24" s="924">
        <f t="shared" si="2"/>
        <v>0</v>
      </c>
      <c r="N24" s="925">
        <f t="shared" si="2"/>
        <v>0</v>
      </c>
      <c r="O24" s="950">
        <f>SUM(O12:O23)</f>
        <v>241407</v>
      </c>
      <c r="P24" s="904" t="s">
        <v>0</v>
      </c>
      <c r="Q24" s="684"/>
    </row>
    <row r="25" spans="1:17">
      <c r="A25" s="927" t="s">
        <v>263</v>
      </c>
      <c r="B25" s="735" t="s">
        <v>278</v>
      </c>
      <c r="C25" s="736"/>
      <c r="D25" s="736"/>
      <c r="E25" s="735"/>
      <c r="F25" s="736"/>
      <c r="G25" s="736"/>
      <c r="H25" s="735"/>
      <c r="I25" s="736"/>
      <c r="J25" s="736"/>
      <c r="K25" s="682"/>
      <c r="L25" s="736"/>
      <c r="M25" s="735"/>
      <c r="N25" s="736"/>
      <c r="O25" s="737"/>
      <c r="P25" s="904" t="s">
        <v>0</v>
      </c>
      <c r="Q25" s="928"/>
    </row>
    <row r="26" spans="1:17">
      <c r="A26" s="927" t="s">
        <v>262</v>
      </c>
      <c r="B26" s="929"/>
      <c r="C26" s="930">
        <f>SUM(C24:C25)</f>
        <v>0</v>
      </c>
      <c r="D26" s="930"/>
      <c r="E26" s="929"/>
      <c r="F26" s="930">
        <f>+F24+F25</f>
        <v>0</v>
      </c>
      <c r="G26" s="930"/>
      <c r="H26" s="929"/>
      <c r="I26" s="930">
        <f>+I24+I25</f>
        <v>0</v>
      </c>
      <c r="J26" s="930"/>
      <c r="K26" s="931"/>
      <c r="L26" s="930"/>
      <c r="M26" s="929"/>
      <c r="N26" s="930">
        <f>SUM(N24:N25)</f>
        <v>0</v>
      </c>
      <c r="O26" s="932"/>
      <c r="P26" s="904" t="s">
        <v>0</v>
      </c>
      <c r="Q26" s="684"/>
    </row>
    <row r="27" spans="1:17">
      <c r="A27" s="933" t="s">
        <v>264</v>
      </c>
      <c r="B27" s="738"/>
      <c r="C27" s="697"/>
      <c r="D27" s="697"/>
      <c r="E27" s="738"/>
      <c r="F27" s="697"/>
      <c r="G27" s="697"/>
      <c r="H27" s="738"/>
      <c r="I27" s="697"/>
      <c r="J27" s="697"/>
      <c r="K27" s="676"/>
      <c r="L27" s="697"/>
      <c r="M27" s="738"/>
      <c r="N27" s="697"/>
      <c r="O27" s="667"/>
      <c r="P27" s="904" t="s">
        <v>0</v>
      </c>
      <c r="Q27" s="684"/>
    </row>
    <row r="28" spans="1:17">
      <c r="A28" s="934" t="s">
        <v>55</v>
      </c>
      <c r="B28" s="738"/>
      <c r="C28" s="697"/>
      <c r="D28" s="697"/>
      <c r="E28" s="738"/>
      <c r="F28" s="697"/>
      <c r="G28" s="697"/>
      <c r="H28" s="738"/>
      <c r="I28" s="697"/>
      <c r="J28" s="697"/>
      <c r="K28" s="676"/>
      <c r="L28" s="697"/>
      <c r="M28" s="738"/>
      <c r="N28" s="697"/>
      <c r="O28" s="667"/>
      <c r="P28" s="904" t="s">
        <v>0</v>
      </c>
      <c r="Q28" s="684"/>
    </row>
    <row r="29" spans="1:17">
      <c r="A29" s="935" t="s">
        <v>103</v>
      </c>
      <c r="B29" s="735"/>
      <c r="C29" s="736"/>
      <c r="D29" s="736"/>
      <c r="E29" s="735"/>
      <c r="F29" s="736"/>
      <c r="G29" s="736"/>
      <c r="H29" s="735"/>
      <c r="I29" s="736"/>
      <c r="J29" s="736"/>
      <c r="K29" s="682"/>
      <c r="L29" s="736"/>
      <c r="M29" s="735"/>
      <c r="N29" s="736"/>
      <c r="O29" s="737"/>
      <c r="P29" s="904" t="s">
        <v>0</v>
      </c>
      <c r="Q29" s="684"/>
    </row>
    <row r="30" spans="1:17">
      <c r="A30" s="927" t="s">
        <v>265</v>
      </c>
      <c r="B30" s="735"/>
      <c r="C30" s="736">
        <f>C29+C28+C26</f>
        <v>0</v>
      </c>
      <c r="D30" s="936"/>
      <c r="E30" s="735"/>
      <c r="F30" s="736">
        <f>F29+F28+F26</f>
        <v>0</v>
      </c>
      <c r="G30" s="936"/>
      <c r="H30" s="735"/>
      <c r="I30" s="736">
        <f>I29+I28+I26</f>
        <v>0</v>
      </c>
      <c r="J30" s="936"/>
      <c r="K30" s="937"/>
      <c r="L30" s="936"/>
      <c r="M30" s="735"/>
      <c r="N30" s="736">
        <f>N29+N28+N26</f>
        <v>0</v>
      </c>
      <c r="O30" s="938"/>
      <c r="P30" s="904" t="s">
        <v>0</v>
      </c>
      <c r="Q30" s="684"/>
    </row>
    <row r="31" spans="1:17">
      <c r="A31" s="684"/>
      <c r="B31" s="939"/>
      <c r="C31" s="939"/>
      <c r="D31" s="939"/>
      <c r="E31" s="939"/>
      <c r="F31" s="939"/>
      <c r="G31" s="939"/>
      <c r="H31" s="939"/>
      <c r="I31" s="939"/>
      <c r="J31" s="939"/>
      <c r="K31" s="939"/>
      <c r="L31" s="939"/>
      <c r="M31" s="939"/>
      <c r="N31" s="939"/>
      <c r="O31" s="939"/>
      <c r="P31" s="904" t="s">
        <v>0</v>
      </c>
      <c r="Q31" s="684"/>
    </row>
    <row r="32" spans="1:17">
      <c r="A32" s="939" t="s">
        <v>468</v>
      </c>
      <c r="B32" s="684"/>
      <c r="C32" s="939"/>
      <c r="D32" s="939"/>
      <c r="E32" s="939"/>
      <c r="F32" s="939"/>
      <c r="G32" s="939"/>
      <c r="H32" s="939"/>
      <c r="I32" s="939"/>
      <c r="J32" s="939"/>
      <c r="K32" s="939"/>
      <c r="L32" s="939"/>
      <c r="M32" s="939"/>
      <c r="N32" s="939"/>
      <c r="O32" s="939"/>
      <c r="P32" s="904" t="s">
        <v>0</v>
      </c>
      <c r="Q32" s="684"/>
    </row>
    <row r="33" spans="1:17">
      <c r="A33" s="939"/>
      <c r="B33" s="684"/>
      <c r="C33" s="939"/>
      <c r="D33" s="939"/>
      <c r="E33" s="939"/>
      <c r="F33" s="939"/>
      <c r="G33" s="939"/>
      <c r="H33" s="939"/>
      <c r="I33" s="939"/>
      <c r="J33" s="939"/>
      <c r="K33" s="939"/>
      <c r="L33" s="939"/>
      <c r="M33" s="939"/>
      <c r="N33" s="939"/>
      <c r="O33" s="939"/>
      <c r="P33" s="904" t="s">
        <v>0</v>
      </c>
      <c r="Q33" s="684"/>
    </row>
    <row r="34" spans="1:17">
      <c r="A34" s="939" t="s">
        <v>821</v>
      </c>
      <c r="B34" s="940"/>
      <c r="C34" s="940"/>
      <c r="D34" s="940"/>
      <c r="E34" s="940"/>
      <c r="F34" s="940"/>
      <c r="G34" s="940"/>
      <c r="H34" s="940"/>
      <c r="I34" s="940"/>
      <c r="J34" s="940"/>
      <c r="K34" s="940"/>
      <c r="L34" s="940"/>
      <c r="M34" s="939"/>
      <c r="N34" s="939"/>
      <c r="O34" s="939"/>
      <c r="P34" s="904" t="s">
        <v>0</v>
      </c>
      <c r="Q34" s="684"/>
    </row>
    <row r="35" spans="1:17">
      <c r="A35" s="941"/>
      <c r="B35" s="939"/>
      <c r="C35" s="939"/>
      <c r="D35" s="939"/>
      <c r="E35" s="939"/>
      <c r="F35" s="939"/>
      <c r="G35" s="939"/>
      <c r="H35" s="939"/>
      <c r="I35" s="939"/>
      <c r="J35" s="939"/>
      <c r="K35" s="939"/>
      <c r="L35" s="939"/>
      <c r="M35" s="939"/>
      <c r="N35" s="939"/>
      <c r="O35" s="939"/>
      <c r="P35" s="904" t="s">
        <v>24</v>
      </c>
      <c r="Q35" s="684"/>
    </row>
    <row r="36" spans="1:17">
      <c r="A36" s="942"/>
      <c r="B36" s="942"/>
      <c r="C36" s="942"/>
      <c r="D36" s="942"/>
      <c r="E36" s="942"/>
      <c r="F36" s="942"/>
      <c r="G36" s="942"/>
      <c r="H36" s="939"/>
      <c r="I36" s="939"/>
      <c r="J36" s="939"/>
      <c r="K36" s="939"/>
      <c r="L36" s="939"/>
      <c r="M36" s="939"/>
      <c r="N36" s="939"/>
      <c r="O36" s="939"/>
      <c r="P36" s="948"/>
      <c r="Q36" s="684"/>
    </row>
    <row r="37" spans="1:17">
      <c r="A37" s="2233"/>
      <c r="B37" s="2232"/>
      <c r="C37" s="2232"/>
      <c r="D37" s="2232"/>
      <c r="E37" s="2232"/>
      <c r="F37" s="2232"/>
      <c r="G37" s="2232"/>
      <c r="H37" s="2232"/>
      <c r="I37" s="2232"/>
      <c r="J37" s="2232"/>
      <c r="K37" s="2232"/>
      <c r="L37" s="2232"/>
      <c r="M37" s="2232"/>
      <c r="N37" s="2232"/>
      <c r="O37" s="2232"/>
      <c r="P37" s="684"/>
      <c r="Q37" s="684"/>
    </row>
    <row r="38" spans="1:17">
      <c r="A38" s="943"/>
      <c r="B38" s="944"/>
      <c r="C38" s="944"/>
      <c r="D38" s="944"/>
      <c r="E38" s="944"/>
      <c r="F38" s="944"/>
      <c r="G38" s="944"/>
      <c r="H38" s="944"/>
      <c r="I38" s="944"/>
      <c r="J38" s="944"/>
      <c r="K38" s="944"/>
      <c r="L38" s="944"/>
      <c r="M38" s="944"/>
      <c r="N38" s="944"/>
      <c r="O38" s="944"/>
      <c r="P38" s="684"/>
      <c r="Q38" s="684"/>
    </row>
    <row r="39" spans="1:17">
      <c r="A39" s="2234"/>
      <c r="B39" s="2235"/>
      <c r="C39" s="2235"/>
      <c r="D39" s="2235"/>
      <c r="E39" s="2235"/>
      <c r="F39" s="2235"/>
      <c r="G39" s="2235"/>
      <c r="H39" s="2235"/>
      <c r="I39" s="2235"/>
      <c r="J39" s="2235"/>
      <c r="K39" s="2235"/>
      <c r="L39" s="2235"/>
      <c r="M39" s="2235"/>
      <c r="N39" s="2235"/>
      <c r="O39" s="2235"/>
      <c r="P39" s="684"/>
      <c r="Q39" s="684"/>
    </row>
    <row r="40" spans="1:17">
      <c r="A40" s="2236"/>
      <c r="B40" s="2235"/>
      <c r="C40" s="2235"/>
      <c r="D40" s="2235"/>
      <c r="E40" s="2235"/>
      <c r="F40" s="2235"/>
      <c r="G40" s="2235"/>
      <c r="H40" s="2235"/>
      <c r="I40" s="2235"/>
      <c r="J40" s="2235"/>
      <c r="K40" s="2235"/>
      <c r="L40" s="2235"/>
      <c r="M40" s="2235"/>
      <c r="N40" s="2235"/>
      <c r="O40" s="2235"/>
      <c r="P40" s="684"/>
      <c r="Q40" s="684"/>
    </row>
    <row r="41" spans="1:17" ht="18" customHeight="1">
      <c r="A41" s="2234"/>
      <c r="B41" s="2236"/>
      <c r="C41" s="2236"/>
      <c r="D41" s="2236"/>
      <c r="E41" s="2236"/>
      <c r="F41" s="2236"/>
      <c r="G41" s="2236"/>
      <c r="H41" s="2236"/>
      <c r="I41" s="2236"/>
      <c r="J41" s="2236"/>
      <c r="K41" s="2236"/>
      <c r="L41" s="2236"/>
      <c r="M41" s="2236"/>
      <c r="N41" s="2236"/>
      <c r="O41" s="2236"/>
      <c r="P41" s="684"/>
      <c r="Q41" s="684"/>
    </row>
    <row r="42" spans="1:17" ht="18" customHeight="1">
      <c r="A42" s="752"/>
      <c r="B42" s="752"/>
      <c r="C42" s="752"/>
      <c r="D42" s="752"/>
      <c r="E42" s="752"/>
      <c r="F42" s="752"/>
      <c r="G42" s="752"/>
      <c r="H42" s="752"/>
      <c r="I42" s="752"/>
      <c r="J42" s="752"/>
      <c r="K42" s="752"/>
      <c r="L42" s="752"/>
      <c r="M42" s="752"/>
      <c r="N42" s="752"/>
      <c r="O42" s="752"/>
      <c r="P42" s="684"/>
      <c r="Q42" s="684"/>
    </row>
    <row r="43" spans="1:17">
      <c r="A43" s="752"/>
      <c r="B43" s="752"/>
      <c r="C43" s="752"/>
      <c r="D43" s="752"/>
      <c r="E43" s="752"/>
      <c r="F43" s="752"/>
      <c r="G43" s="752"/>
      <c r="H43" s="752"/>
      <c r="I43" s="752"/>
      <c r="J43" s="752"/>
      <c r="K43" s="752"/>
      <c r="L43" s="752"/>
      <c r="M43" s="752"/>
      <c r="N43" s="752"/>
      <c r="O43" s="752"/>
      <c r="P43" s="684"/>
      <c r="Q43" s="684"/>
    </row>
    <row r="44" spans="1:17" s="684" customFormat="1">
      <c r="A44" s="2236"/>
      <c r="B44" s="2236"/>
      <c r="C44" s="2236"/>
      <c r="D44" s="2236"/>
      <c r="E44" s="2236"/>
      <c r="F44" s="2236"/>
      <c r="G44" s="2236"/>
      <c r="H44" s="2236"/>
      <c r="I44" s="2236"/>
      <c r="J44" s="2236"/>
      <c r="K44" s="2236"/>
      <c r="L44" s="2236"/>
      <c r="M44" s="2236"/>
      <c r="N44" s="2236"/>
      <c r="O44" s="2236"/>
    </row>
    <row r="45" spans="1:17" s="684" customFormat="1" ht="7.5" customHeight="1">
      <c r="A45" s="945"/>
      <c r="B45" s="945"/>
      <c r="C45" s="945"/>
      <c r="D45" s="945"/>
      <c r="E45" s="945"/>
      <c r="F45" s="945"/>
      <c r="G45" s="945"/>
      <c r="H45" s="945"/>
      <c r="I45" s="945"/>
      <c r="J45" s="945"/>
      <c r="K45" s="945"/>
      <c r="L45" s="945"/>
      <c r="M45" s="945"/>
      <c r="N45" s="945"/>
      <c r="O45" s="945"/>
    </row>
    <row r="46" spans="1:17" s="684" customFormat="1">
      <c r="A46" s="946"/>
      <c r="B46" s="945"/>
      <c r="C46" s="945"/>
      <c r="D46" s="945"/>
      <c r="E46" s="945"/>
      <c r="F46" s="945"/>
      <c r="G46" s="945"/>
      <c r="H46" s="945"/>
      <c r="I46" s="945"/>
      <c r="J46" s="945"/>
      <c r="K46" s="945"/>
      <c r="L46" s="945"/>
      <c r="M46" s="945"/>
      <c r="N46" s="945"/>
      <c r="O46" s="945"/>
    </row>
    <row r="47" spans="1:17" s="684" customFormat="1" ht="11.25" customHeight="1">
      <c r="A47" s="752"/>
      <c r="B47" s="752"/>
      <c r="C47" s="752"/>
      <c r="D47" s="752"/>
      <c r="E47" s="752"/>
      <c r="F47" s="752"/>
      <c r="G47" s="752"/>
      <c r="H47" s="752"/>
      <c r="I47" s="752"/>
      <c r="J47" s="752"/>
      <c r="K47" s="752"/>
      <c r="L47" s="752"/>
      <c r="M47" s="752"/>
      <c r="N47" s="752"/>
      <c r="O47" s="752"/>
    </row>
    <row r="48" spans="1:17" s="684" customFormat="1" ht="15" customHeight="1">
      <c r="A48" s="2236"/>
      <c r="B48" s="2235"/>
      <c r="C48" s="2235"/>
      <c r="D48" s="2235"/>
      <c r="E48" s="2235"/>
      <c r="F48" s="2235"/>
      <c r="G48" s="2235"/>
      <c r="H48" s="2235"/>
      <c r="I48" s="2235"/>
      <c r="J48" s="2235"/>
      <c r="K48" s="2235"/>
      <c r="L48" s="2235"/>
      <c r="M48" s="2235"/>
      <c r="N48" s="2235"/>
      <c r="O48" s="2235"/>
    </row>
    <row r="49" spans="1:17">
      <c r="A49" s="747"/>
      <c r="B49" s="747"/>
      <c r="C49" s="747"/>
      <c r="D49" s="747"/>
      <c r="E49" s="747"/>
      <c r="F49" s="747"/>
      <c r="G49" s="747"/>
      <c r="H49" s="747"/>
      <c r="I49" s="747"/>
      <c r="J49" s="747"/>
      <c r="K49" s="747"/>
      <c r="L49" s="747"/>
      <c r="M49" s="747"/>
      <c r="N49" s="747"/>
      <c r="O49" s="947"/>
      <c r="P49" s="684"/>
      <c r="Q49" s="684"/>
    </row>
    <row r="50" spans="1:17" ht="18" customHeight="1">
      <c r="A50" s="2231"/>
      <c r="B50" s="2232"/>
      <c r="C50" s="2232"/>
      <c r="D50" s="2232"/>
      <c r="E50" s="2232"/>
      <c r="F50" s="2232"/>
      <c r="G50" s="2232"/>
      <c r="H50" s="2232"/>
      <c r="I50" s="2232"/>
      <c r="J50" s="2232"/>
      <c r="K50" s="2232"/>
      <c r="L50" s="2232"/>
      <c r="M50" s="2232"/>
      <c r="N50" s="2232"/>
      <c r="O50" s="2232"/>
      <c r="P50" s="2232"/>
      <c r="Q50" s="684"/>
    </row>
    <row r="51" spans="1:17">
      <c r="A51" s="747"/>
      <c r="B51" s="747"/>
      <c r="C51" s="747"/>
      <c r="D51" s="747"/>
      <c r="E51" s="747"/>
      <c r="F51" s="747"/>
      <c r="G51" s="747"/>
      <c r="H51" s="747"/>
      <c r="I51" s="747"/>
      <c r="J51" s="747"/>
      <c r="M51" s="747"/>
      <c r="N51" s="747"/>
      <c r="O51" s="747"/>
      <c r="P51" s="947"/>
      <c r="Q51" s="948"/>
    </row>
    <row r="52" spans="1:17" ht="18">
      <c r="A52" s="952"/>
      <c r="B52" s="684"/>
      <c r="C52" s="684"/>
      <c r="D52" s="684"/>
      <c r="E52" s="684"/>
      <c r="F52" s="684"/>
      <c r="G52" s="684"/>
      <c r="H52" s="684"/>
      <c r="I52" s="684"/>
      <c r="J52" s="684"/>
      <c r="M52" s="684"/>
      <c r="N52" s="684"/>
      <c r="O52" s="684"/>
      <c r="P52" s="684"/>
      <c r="Q52" s="948"/>
    </row>
  </sheetData>
  <mergeCells count="22">
    <mergeCell ref="A50:P50"/>
    <mergeCell ref="A37:O37"/>
    <mergeCell ref="A39:O39"/>
    <mergeCell ref="A40:O40"/>
    <mergeCell ref="A41:O41"/>
    <mergeCell ref="A44:O44"/>
    <mergeCell ref="A48:O48"/>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ageMargins left="0.75" right="0.75" top="1" bottom="1" header="0.5" footer="0.5"/>
  <pageSetup scale="60" orientation="landscape" r:id="rId1"/>
  <headerFooter alignWithMargins="0">
    <oddFooter>&amp;C&amp;"Times New Roman,Regular"Exhibit G:  Crosswalk of 2011 Availability&amp;R&amp;"Times New Roman,Regular"Justice Assistance</oddFooter>
  </headerFooter>
</worksheet>
</file>

<file path=xl/worksheets/sheet2.xml><?xml version="1.0" encoding="utf-8"?>
<worksheet xmlns="http://schemas.openxmlformats.org/spreadsheetml/2006/main" xmlns:r="http://schemas.openxmlformats.org/officeDocument/2006/relationships">
  <sheetPr codeName="Sheet6"/>
  <dimension ref="A1:H35"/>
  <sheetViews>
    <sheetView view="pageBreakPreview" zoomScaleNormal="75" zoomScaleSheetLayoutView="100" workbookViewId="0">
      <selection activeCell="B17" sqref="B17:B18"/>
    </sheetView>
  </sheetViews>
  <sheetFormatPr defaultColWidth="7.21875" defaultRowHeight="12.75"/>
  <cols>
    <col min="1" max="1" width="31.5546875" style="25" customWidth="1"/>
    <col min="2" max="2" width="15.88671875" style="25" customWidth="1"/>
    <col min="3" max="3" width="4.6640625" style="25" customWidth="1"/>
    <col min="4" max="4" width="7.5546875" style="25" customWidth="1"/>
    <col min="5" max="5" width="4.6640625" style="25" customWidth="1"/>
    <col min="6" max="6" width="10" style="25" customWidth="1"/>
    <col min="7" max="7" width="11.33203125" style="25" customWidth="1"/>
    <col min="8" max="8" width="8.88671875" style="113" customWidth="1"/>
    <col min="9" max="16384" width="7.21875" style="25"/>
  </cols>
  <sheetData>
    <row r="1" spans="1:8" ht="20.25">
      <c r="A1" s="1823" t="s">
        <v>33</v>
      </c>
      <c r="B1" s="1824"/>
      <c r="C1" s="1824"/>
      <c r="D1" s="1824"/>
      <c r="E1" s="1824"/>
      <c r="F1" s="1824"/>
      <c r="G1" s="1824"/>
      <c r="H1" s="112" t="s">
        <v>0</v>
      </c>
    </row>
    <row r="2" spans="1:8" ht="20.25">
      <c r="A2" s="1830"/>
      <c r="B2" s="1830"/>
      <c r="C2" s="1830"/>
      <c r="D2" s="1830"/>
      <c r="E2" s="1830"/>
      <c r="F2" s="1830"/>
      <c r="G2" s="1830"/>
      <c r="H2" s="112" t="s">
        <v>0</v>
      </c>
    </row>
    <row r="3" spans="1:8">
      <c r="A3" s="1831"/>
      <c r="B3" s="1831"/>
      <c r="C3" s="1831"/>
      <c r="D3" s="1831"/>
      <c r="E3" s="1831"/>
      <c r="F3" s="1831"/>
      <c r="G3" s="1831"/>
      <c r="H3" s="112" t="s">
        <v>0</v>
      </c>
    </row>
    <row r="4" spans="1:8" ht="23.25">
      <c r="A4" s="1825" t="s">
        <v>239</v>
      </c>
      <c r="B4" s="1826"/>
      <c r="C4" s="1826"/>
      <c r="D4" s="1826"/>
      <c r="E4" s="1826"/>
      <c r="F4" s="1826"/>
      <c r="G4" s="1826"/>
      <c r="H4" s="112" t="s">
        <v>0</v>
      </c>
    </row>
    <row r="5" spans="1:8" ht="23.25">
      <c r="A5" s="1827" t="str">
        <f>'B. Summ of Reqs - S&amp;E '!A60</f>
        <v>Office of Justice Programs</v>
      </c>
      <c r="B5" s="1828"/>
      <c r="C5" s="1828"/>
      <c r="D5" s="1828"/>
      <c r="E5" s="1828"/>
      <c r="F5" s="1828"/>
      <c r="G5" s="1828"/>
      <c r="H5" s="112" t="s">
        <v>0</v>
      </c>
    </row>
    <row r="6" spans="1:8" ht="23.25">
      <c r="A6" s="1827" t="str">
        <f>'B. Summ of Reqs - S&amp;E '!A61</f>
        <v>Salaries and Expenses</v>
      </c>
      <c r="B6" s="1828"/>
      <c r="C6" s="1828"/>
      <c r="D6" s="1828"/>
      <c r="E6" s="1828"/>
      <c r="F6" s="1828"/>
      <c r="G6" s="1828"/>
      <c r="H6" s="112" t="s">
        <v>0</v>
      </c>
    </row>
    <row r="7" spans="1:8" ht="23.25">
      <c r="A7" s="1829" t="s">
        <v>257</v>
      </c>
      <c r="B7" s="1826"/>
      <c r="C7" s="1826"/>
      <c r="D7" s="1826"/>
      <c r="E7" s="1826"/>
      <c r="F7" s="1826"/>
      <c r="G7" s="1826"/>
      <c r="H7" s="112" t="s">
        <v>0</v>
      </c>
    </row>
    <row r="8" spans="1:8">
      <c r="A8" s="1821"/>
      <c r="B8" s="1821"/>
      <c r="C8" s="1821"/>
      <c r="D8" s="1821"/>
      <c r="E8" s="1821"/>
      <c r="F8" s="1821"/>
      <c r="G8" s="1821"/>
      <c r="H8" s="112" t="s">
        <v>0</v>
      </c>
    </row>
    <row r="9" spans="1:8">
      <c r="A9" s="1822"/>
      <c r="B9" s="1822"/>
      <c r="C9" s="1822"/>
      <c r="D9" s="1822"/>
      <c r="E9" s="1822"/>
      <c r="F9" s="1822"/>
      <c r="G9" s="1822"/>
      <c r="H9" s="112" t="s">
        <v>0</v>
      </c>
    </row>
    <row r="10" spans="1:8" ht="18.75" customHeight="1">
      <c r="A10" s="30"/>
      <c r="B10" s="28"/>
      <c r="C10" s="30"/>
      <c r="D10" s="29"/>
      <c r="E10" s="29"/>
      <c r="F10" s="31"/>
      <c r="G10" s="31"/>
      <c r="H10" s="112" t="s">
        <v>0</v>
      </c>
    </row>
    <row r="11" spans="1:8" ht="18.75" customHeight="1">
      <c r="A11" s="1819" t="s">
        <v>238</v>
      </c>
      <c r="B11" s="1817" t="s">
        <v>22</v>
      </c>
      <c r="C11" s="1814" t="s">
        <v>258</v>
      </c>
      <c r="D11" s="1815"/>
      <c r="E11" s="1815"/>
      <c r="F11" s="1816"/>
      <c r="G11" s="1817" t="s">
        <v>259</v>
      </c>
      <c r="H11" s="112" t="s">
        <v>0</v>
      </c>
    </row>
    <row r="12" spans="1:8" ht="18.75" customHeight="1">
      <c r="A12" s="1820"/>
      <c r="B12" s="1818"/>
      <c r="C12" s="26" t="s">
        <v>277</v>
      </c>
      <c r="D12" s="26" t="s">
        <v>10</v>
      </c>
      <c r="E12" s="26" t="s">
        <v>49</v>
      </c>
      <c r="F12" s="27" t="s">
        <v>279</v>
      </c>
      <c r="G12" s="1818"/>
      <c r="H12" s="112" t="s">
        <v>0</v>
      </c>
    </row>
    <row r="13" spans="1:8" ht="18.75" customHeight="1">
      <c r="A13" s="60"/>
      <c r="B13" s="61"/>
      <c r="C13" s="194"/>
      <c r="D13" s="122"/>
      <c r="E13" s="122"/>
      <c r="F13" s="123"/>
      <c r="G13" s="123"/>
      <c r="H13" s="112" t="s">
        <v>0</v>
      </c>
    </row>
    <row r="14" spans="1:8" ht="27" customHeight="1">
      <c r="A14" s="1622" t="s">
        <v>801</v>
      </c>
      <c r="B14" s="39" t="s">
        <v>258</v>
      </c>
      <c r="C14" s="195"/>
      <c r="D14" s="122"/>
      <c r="E14" s="122"/>
      <c r="F14" s="123">
        <f>56178-16396</f>
        <v>39782</v>
      </c>
      <c r="G14" s="123">
        <f>+F14</f>
        <v>39782</v>
      </c>
      <c r="H14" s="112" t="s">
        <v>0</v>
      </c>
    </row>
    <row r="15" spans="1:8" ht="18.75" customHeight="1">
      <c r="A15" s="40"/>
      <c r="B15" s="63"/>
      <c r="C15" s="124"/>
      <c r="D15" s="125"/>
      <c r="E15" s="125"/>
      <c r="F15" s="126"/>
      <c r="G15" s="127"/>
      <c r="H15" s="112" t="s">
        <v>0</v>
      </c>
    </row>
    <row r="16" spans="1:8" ht="18.75" customHeight="1">
      <c r="A16" s="159" t="s">
        <v>455</v>
      </c>
      <c r="B16" s="160"/>
      <c r="C16" s="161">
        <f>SUM(C13:C15)</f>
        <v>0</v>
      </c>
      <c r="D16" s="162">
        <f>SUM(D13:D15)</f>
        <v>0</v>
      </c>
      <c r="E16" s="162">
        <f>SUM(E13:E15)</f>
        <v>0</v>
      </c>
      <c r="F16" s="163">
        <f>SUM(F13:F15)</f>
        <v>39782</v>
      </c>
      <c r="G16" s="164">
        <f>SUM(G13:G15)</f>
        <v>39782</v>
      </c>
      <c r="H16" s="112" t="s">
        <v>0</v>
      </c>
    </row>
    <row r="17" spans="1:8" ht="18.75" customHeight="1">
      <c r="A17" s="1819" t="s">
        <v>11</v>
      </c>
      <c r="B17" s="1817" t="s">
        <v>22</v>
      </c>
      <c r="C17" s="1814" t="s">
        <v>258</v>
      </c>
      <c r="D17" s="1815"/>
      <c r="E17" s="1815"/>
      <c r="F17" s="1816"/>
      <c r="G17" s="1817" t="s">
        <v>259</v>
      </c>
      <c r="H17" s="112" t="s">
        <v>0</v>
      </c>
    </row>
    <row r="18" spans="1:8" ht="18.75" customHeight="1">
      <c r="A18" s="1820"/>
      <c r="B18" s="1818"/>
      <c r="C18" s="26" t="s">
        <v>277</v>
      </c>
      <c r="D18" s="26" t="s">
        <v>10</v>
      </c>
      <c r="E18" s="26" t="s">
        <v>49</v>
      </c>
      <c r="F18" s="27" t="s">
        <v>279</v>
      </c>
      <c r="G18" s="1818"/>
      <c r="H18" s="112" t="s">
        <v>0</v>
      </c>
    </row>
    <row r="19" spans="1:8" ht="18.75" customHeight="1">
      <c r="A19" s="60"/>
      <c r="B19" s="61"/>
      <c r="C19" s="194"/>
      <c r="D19" s="122"/>
      <c r="E19" s="122"/>
      <c r="F19" s="123"/>
      <c r="G19" s="123"/>
      <c r="H19" s="112" t="s">
        <v>0</v>
      </c>
    </row>
    <row r="20" spans="1:8" ht="18.75" customHeight="1">
      <c r="A20" s="60" t="s">
        <v>370</v>
      </c>
      <c r="B20" s="39" t="s">
        <v>258</v>
      </c>
      <c r="C20" s="195"/>
      <c r="D20" s="122"/>
      <c r="E20" s="122"/>
      <c r="F20" s="123">
        <v>-118</v>
      </c>
      <c r="G20" s="123">
        <f>+F20</f>
        <v>-118</v>
      </c>
      <c r="H20" s="112" t="s">
        <v>0</v>
      </c>
    </row>
    <row r="21" spans="1:8" ht="18.75" customHeight="1">
      <c r="A21" s="62" t="s">
        <v>371</v>
      </c>
      <c r="B21" s="39" t="s">
        <v>258</v>
      </c>
      <c r="C21" s="195"/>
      <c r="D21" s="122"/>
      <c r="E21" s="122"/>
      <c r="F21" s="123">
        <v>-62</v>
      </c>
      <c r="G21" s="123">
        <f t="shared" ref="G21" si="0">+F21</f>
        <v>-62</v>
      </c>
      <c r="H21" s="112" t="s">
        <v>0</v>
      </c>
    </row>
    <row r="22" spans="1:8" ht="18.75" customHeight="1">
      <c r="A22" s="40"/>
      <c r="B22" s="63"/>
      <c r="C22" s="124"/>
      <c r="D22" s="125"/>
      <c r="E22" s="125"/>
      <c r="F22" s="126"/>
      <c r="G22" s="127"/>
      <c r="H22" s="112" t="s">
        <v>0</v>
      </c>
    </row>
    <row r="23" spans="1:8" ht="18.75" customHeight="1">
      <c r="A23" s="159" t="s">
        <v>259</v>
      </c>
      <c r="B23" s="160"/>
      <c r="C23" s="161">
        <f>SUM(C19:C22)</f>
        <v>0</v>
      </c>
      <c r="D23" s="162">
        <f t="shared" ref="D23" si="1">SUM(D19:D22)</f>
        <v>0</v>
      </c>
      <c r="E23" s="162">
        <f>SUM(E19:E22)</f>
        <v>0</v>
      </c>
      <c r="F23" s="163">
        <f>SUM(F19:F22)</f>
        <v>-180</v>
      </c>
      <c r="G23" s="164">
        <f>SUM(G19:G22)</f>
        <v>-180</v>
      </c>
      <c r="H23" s="112" t="s">
        <v>24</v>
      </c>
    </row>
    <row r="24" spans="1:8" ht="18.75" customHeight="1">
      <c r="A24" s="51"/>
      <c r="B24" s="42"/>
      <c r="C24" s="42"/>
      <c r="D24" s="42"/>
      <c r="E24" s="42"/>
      <c r="F24" s="42"/>
      <c r="G24" s="42"/>
      <c r="H24" s="112"/>
    </row>
    <row r="25" spans="1:8" ht="18.75" customHeight="1">
      <c r="H25" s="112"/>
    </row>
    <row r="26" spans="1:8" ht="18.75" customHeight="1">
      <c r="A26" s="35"/>
      <c r="B26" s="33"/>
      <c r="C26" s="128"/>
      <c r="D26" s="128"/>
      <c r="E26" s="128"/>
      <c r="F26" s="128"/>
      <c r="G26" s="128"/>
      <c r="H26" s="112"/>
    </row>
    <row r="27" spans="1:8" ht="18.75" customHeight="1">
      <c r="A27" s="35"/>
      <c r="B27" s="52"/>
      <c r="C27" s="129"/>
      <c r="D27" s="129"/>
      <c r="E27" s="129"/>
      <c r="F27" s="128"/>
      <c r="G27" s="129"/>
      <c r="H27" s="112"/>
    </row>
    <row r="28" spans="1:8" ht="18.75" customHeight="1">
      <c r="A28" s="35"/>
      <c r="B28" s="52"/>
      <c r="C28" s="58"/>
      <c r="D28" s="58"/>
      <c r="E28" s="58"/>
      <c r="F28" s="59"/>
      <c r="G28" s="53"/>
      <c r="H28" s="112"/>
    </row>
    <row r="29" spans="1:8" ht="12.75" customHeight="1">
      <c r="A29" s="77"/>
      <c r="B29" s="78"/>
      <c r="C29" s="78"/>
      <c r="D29" s="78"/>
      <c r="E29" s="78"/>
      <c r="F29" s="78"/>
    </row>
    <row r="30" spans="1:8" ht="33.75" customHeight="1">
      <c r="A30" s="1811"/>
      <c r="B30" s="1812"/>
      <c r="C30" s="1812"/>
      <c r="D30" s="1812"/>
      <c r="E30" s="1812"/>
      <c r="F30" s="1812"/>
    </row>
    <row r="31" spans="1:8" ht="12.75" customHeight="1">
      <c r="A31" s="79"/>
      <c r="B31" s="79"/>
      <c r="C31" s="79"/>
      <c r="D31" s="79"/>
      <c r="E31" s="79"/>
      <c r="F31" s="79"/>
    </row>
    <row r="32" spans="1:8" ht="57" customHeight="1">
      <c r="A32" s="1740"/>
      <c r="B32" s="1810"/>
      <c r="C32" s="1810"/>
      <c r="D32" s="1810"/>
      <c r="E32" s="1810"/>
      <c r="F32" s="1810"/>
    </row>
    <row r="33" spans="1:7" ht="15">
      <c r="A33" s="1813"/>
      <c r="B33" s="1813"/>
      <c r="C33" s="1813"/>
      <c r="D33" s="1813"/>
      <c r="E33" s="1813"/>
      <c r="F33" s="1813"/>
    </row>
    <row r="34" spans="1:7" ht="15" customHeight="1">
      <c r="A34" s="87"/>
      <c r="B34" s="88"/>
      <c r="C34" s="88"/>
      <c r="D34" s="88"/>
      <c r="E34" s="88"/>
      <c r="F34" s="88"/>
      <c r="G34" s="94"/>
    </row>
    <row r="35" spans="1:7">
      <c r="A35" s="88"/>
      <c r="B35" s="88"/>
      <c r="C35" s="88"/>
      <c r="D35" s="88"/>
      <c r="E35" s="88"/>
      <c r="F35" s="88"/>
    </row>
  </sheetData>
  <mergeCells count="20">
    <mergeCell ref="A8:G8"/>
    <mergeCell ref="A9:G9"/>
    <mergeCell ref="G17:G18"/>
    <mergeCell ref="A1:G1"/>
    <mergeCell ref="A4:G4"/>
    <mergeCell ref="A5:G5"/>
    <mergeCell ref="A7:G7"/>
    <mergeCell ref="A2:G2"/>
    <mergeCell ref="A3:G3"/>
    <mergeCell ref="A6:G6"/>
    <mergeCell ref="A11:A12"/>
    <mergeCell ref="B11:B12"/>
    <mergeCell ref="C11:F11"/>
    <mergeCell ref="G11:G12"/>
    <mergeCell ref="A32:F32"/>
    <mergeCell ref="A30:F30"/>
    <mergeCell ref="A33:F33"/>
    <mergeCell ref="C17:F17"/>
    <mergeCell ref="B17:B18"/>
    <mergeCell ref="A17:A18"/>
  </mergeCells>
  <phoneticPr fontId="21" type="noConversion"/>
  <printOptions horizontalCentered="1"/>
  <pageMargins left="0.5" right="0.4" top="0.5" bottom="0.25" header="0" footer="0"/>
  <pageSetup scale="90" firstPageNumber="8" fitToHeight="0" orientation="landscape" useFirstPageNumber="1" r:id="rId1"/>
  <headerFooter alignWithMargins="0">
    <oddFooter>&amp;C&amp;"Times New Roman,Regular"Exhibit C - Program Increases/Offsets By Decision Unit&amp;R&amp;"Times New Roman,Regular"Salaries and Expenses</oddFooter>
  </headerFooter>
</worksheet>
</file>

<file path=xl/worksheets/sheet20.xml><?xml version="1.0" encoding="utf-8"?>
<worksheet xmlns="http://schemas.openxmlformats.org/spreadsheetml/2006/main" xmlns:r="http://schemas.openxmlformats.org/officeDocument/2006/relationships">
  <sheetPr>
    <pageSetUpPr fitToPage="1"/>
  </sheetPr>
  <dimension ref="A1:AF34"/>
  <sheetViews>
    <sheetView showOutlineSymbols="0" view="pageBreakPreview" zoomScale="75" zoomScaleNormal="75" workbookViewId="0">
      <selection activeCell="N11" sqref="N11"/>
    </sheetView>
  </sheetViews>
  <sheetFormatPr defaultColWidth="9.6640625" defaultRowHeight="15.75"/>
  <cols>
    <col min="1" max="1" width="4.44140625" style="684" customWidth="1"/>
    <col min="2" max="2" width="45.6640625" style="684" customWidth="1"/>
    <col min="3" max="3" width="6.5546875" style="684" customWidth="1"/>
    <col min="4" max="4" width="5.6640625" style="684" customWidth="1"/>
    <col min="5" max="5" width="10.44140625" style="684" bestFit="1" customWidth="1"/>
    <col min="6" max="7" width="5.6640625" style="684" customWidth="1"/>
    <col min="8" max="8" width="11.77734375" style="684" customWidth="1"/>
    <col min="9" max="10" width="5.6640625" style="684" customWidth="1"/>
    <col min="11" max="11" width="10.44140625" style="684" bestFit="1" customWidth="1"/>
    <col min="12" max="13" width="5.6640625" style="684" customWidth="1"/>
    <col min="14" max="14" width="7.6640625" style="684" customWidth="1"/>
    <col min="15" max="15" width="1.21875" style="1012" customWidth="1"/>
    <col min="16" max="16" width="27.5546875" style="684" customWidth="1"/>
    <col min="17" max="20" width="7.6640625" style="684" customWidth="1"/>
    <col min="21" max="21" width="3.6640625" style="684" customWidth="1"/>
    <col min="22" max="24" width="7.6640625" style="684" customWidth="1"/>
    <col min="25" max="25" width="3.6640625" style="684" customWidth="1"/>
    <col min="26" max="28" width="7.6640625" style="684" customWidth="1"/>
    <col min="29" max="29" width="3.6640625" style="684" customWidth="1"/>
    <col min="30" max="32" width="7.6640625" style="684" customWidth="1"/>
    <col min="33" max="16384" width="9.6640625" style="684"/>
  </cols>
  <sheetData>
    <row r="1" spans="1:21" ht="20.25">
      <c r="A1" s="2061" t="s">
        <v>31</v>
      </c>
      <c r="B1" s="2240"/>
      <c r="C1" s="2240"/>
      <c r="D1" s="2240"/>
      <c r="E1" s="2240"/>
      <c r="F1" s="2240"/>
      <c r="G1" s="2240"/>
      <c r="H1" s="2240"/>
      <c r="I1" s="2240"/>
      <c r="J1" s="2240"/>
      <c r="K1" s="2240"/>
      <c r="L1" s="2240"/>
      <c r="M1" s="2240"/>
      <c r="N1" s="2240"/>
      <c r="O1" s="997" t="s">
        <v>0</v>
      </c>
      <c r="P1" s="939"/>
      <c r="Q1" s="939"/>
      <c r="R1" s="939"/>
      <c r="S1" s="939"/>
      <c r="T1" s="939"/>
      <c r="U1" s="939"/>
    </row>
    <row r="2" spans="1:21" ht="13.9" customHeight="1">
      <c r="A2" s="504"/>
      <c r="O2" s="997" t="s">
        <v>0</v>
      </c>
      <c r="P2" s="939"/>
      <c r="Q2" s="939"/>
      <c r="R2" s="939"/>
      <c r="S2" s="939"/>
      <c r="T2" s="939"/>
      <c r="U2" s="939"/>
    </row>
    <row r="3" spans="1:21" ht="18.75">
      <c r="A3" s="2241" t="s">
        <v>101</v>
      </c>
      <c r="B3" s="2242"/>
      <c r="C3" s="2242"/>
      <c r="D3" s="2242"/>
      <c r="E3" s="2242"/>
      <c r="F3" s="2242"/>
      <c r="G3" s="2242"/>
      <c r="H3" s="2242"/>
      <c r="I3" s="2242"/>
      <c r="J3" s="2242"/>
      <c r="K3" s="2242"/>
      <c r="L3" s="2242"/>
      <c r="M3" s="2242"/>
      <c r="N3" s="2242"/>
      <c r="O3" s="997" t="s">
        <v>0</v>
      </c>
      <c r="P3" s="939"/>
      <c r="Q3" s="939"/>
      <c r="R3" s="939"/>
      <c r="S3" s="939"/>
      <c r="T3" s="939"/>
      <c r="U3" s="939"/>
    </row>
    <row r="4" spans="1:21" ht="16.5">
      <c r="A4" s="2243" t="str">
        <f>+'B. Summ of Requirements  - JA'!A5</f>
        <v>Office of Justice Programs</v>
      </c>
      <c r="B4" s="2244"/>
      <c r="C4" s="2244"/>
      <c r="D4" s="2244"/>
      <c r="E4" s="2244"/>
      <c r="F4" s="2244"/>
      <c r="G4" s="2244"/>
      <c r="H4" s="2244"/>
      <c r="I4" s="2244"/>
      <c r="J4" s="2244"/>
      <c r="K4" s="2244"/>
      <c r="L4" s="2244"/>
      <c r="M4" s="2244"/>
      <c r="N4" s="2244"/>
      <c r="O4" s="997" t="s">
        <v>0</v>
      </c>
      <c r="P4" s="939"/>
      <c r="Q4" s="939"/>
      <c r="R4" s="939"/>
      <c r="S4" s="939"/>
      <c r="T4" s="939"/>
      <c r="U4" s="939"/>
    </row>
    <row r="5" spans="1:21" ht="16.5">
      <c r="A5" s="2243" t="str">
        <f>+'B. Summ of Requirements  - JA'!A6</f>
        <v>Justice Assistance</v>
      </c>
      <c r="B5" s="2242"/>
      <c r="C5" s="2242"/>
      <c r="D5" s="2242"/>
      <c r="E5" s="2242"/>
      <c r="F5" s="2242"/>
      <c r="G5" s="2242"/>
      <c r="H5" s="2242"/>
      <c r="I5" s="2242"/>
      <c r="J5" s="2242"/>
      <c r="K5" s="2242"/>
      <c r="L5" s="2242"/>
      <c r="M5" s="2242"/>
      <c r="N5" s="2242"/>
      <c r="O5" s="997" t="s">
        <v>0</v>
      </c>
      <c r="P5" s="939"/>
      <c r="Q5" s="939"/>
      <c r="R5" s="939"/>
      <c r="S5" s="939"/>
      <c r="T5" s="939"/>
      <c r="U5" s="939"/>
    </row>
    <row r="6" spans="1:21">
      <c r="A6" s="2245" t="s">
        <v>257</v>
      </c>
      <c r="B6" s="2244"/>
      <c r="C6" s="2244"/>
      <c r="D6" s="2244"/>
      <c r="E6" s="2244"/>
      <c r="F6" s="2244"/>
      <c r="G6" s="2244"/>
      <c r="H6" s="2244"/>
      <c r="I6" s="2244"/>
      <c r="J6" s="2244"/>
      <c r="K6" s="2244"/>
      <c r="L6" s="2244"/>
      <c r="M6" s="2244"/>
      <c r="N6" s="2244"/>
      <c r="O6" s="997" t="s">
        <v>0</v>
      </c>
      <c r="P6" s="939"/>
      <c r="Q6" s="939"/>
      <c r="R6" s="939"/>
      <c r="S6" s="939"/>
      <c r="T6" s="939"/>
      <c r="U6" s="939"/>
    </row>
    <row r="7" spans="1:21">
      <c r="F7" s="998"/>
      <c r="G7" s="998"/>
      <c r="H7" s="998"/>
      <c r="O7" s="997" t="s">
        <v>0</v>
      </c>
      <c r="P7" s="939"/>
      <c r="Q7" s="939"/>
      <c r="R7" s="939"/>
      <c r="S7" s="939"/>
      <c r="T7" s="939"/>
      <c r="U7" s="939"/>
    </row>
    <row r="8" spans="1:21">
      <c r="A8" s="2112" t="s">
        <v>273</v>
      </c>
      <c r="B8" s="2246"/>
      <c r="C8" s="2249" t="s">
        <v>351</v>
      </c>
      <c r="D8" s="2250"/>
      <c r="E8" s="2251"/>
      <c r="F8" s="2249" t="s">
        <v>352</v>
      </c>
      <c r="G8" s="2250"/>
      <c r="H8" s="2251"/>
      <c r="I8" s="2249" t="s">
        <v>42</v>
      </c>
      <c r="J8" s="2250"/>
      <c r="K8" s="2251"/>
      <c r="L8" s="2249" t="s">
        <v>44</v>
      </c>
      <c r="M8" s="2250"/>
      <c r="N8" s="2251"/>
      <c r="O8" s="997" t="s">
        <v>0</v>
      </c>
      <c r="P8" s="939"/>
      <c r="Q8" s="939"/>
      <c r="R8" s="939"/>
      <c r="S8" s="939"/>
      <c r="T8" s="939"/>
      <c r="U8" s="939"/>
    </row>
    <row r="9" spans="1:21" ht="16.5" thickBot="1">
      <c r="A9" s="2247"/>
      <c r="B9" s="2248"/>
      <c r="C9" s="905" t="s">
        <v>277</v>
      </c>
      <c r="D9" s="906" t="s">
        <v>49</v>
      </c>
      <c r="E9" s="909" t="s">
        <v>279</v>
      </c>
      <c r="F9" s="905" t="s">
        <v>277</v>
      </c>
      <c r="G9" s="906" t="s">
        <v>49</v>
      </c>
      <c r="H9" s="906" t="s">
        <v>279</v>
      </c>
      <c r="I9" s="905" t="s">
        <v>277</v>
      </c>
      <c r="J9" s="906" t="s">
        <v>49</v>
      </c>
      <c r="K9" s="906" t="s">
        <v>279</v>
      </c>
      <c r="L9" s="905" t="s">
        <v>277</v>
      </c>
      <c r="M9" s="906" t="s">
        <v>49</v>
      </c>
      <c r="N9" s="909" t="s">
        <v>279</v>
      </c>
      <c r="O9" s="997" t="s">
        <v>0</v>
      </c>
      <c r="P9" s="939"/>
      <c r="Q9" s="939"/>
      <c r="R9" s="939"/>
      <c r="S9" s="939"/>
      <c r="T9" s="939"/>
      <c r="U9" s="939"/>
    </row>
    <row r="10" spans="1:21">
      <c r="A10" s="2252" t="s">
        <v>376</v>
      </c>
      <c r="B10" s="2253"/>
      <c r="C10" s="738"/>
      <c r="D10" s="697"/>
      <c r="E10" s="667">
        <v>781</v>
      </c>
      <c r="F10" s="738"/>
      <c r="G10" s="697"/>
      <c r="H10" s="697">
        <v>500</v>
      </c>
      <c r="I10" s="738"/>
      <c r="J10" s="697"/>
      <c r="K10" s="697">
        <v>500</v>
      </c>
      <c r="L10" s="738"/>
      <c r="M10" s="697"/>
      <c r="N10" s="667">
        <f>K10-E10</f>
        <v>-281</v>
      </c>
      <c r="O10" s="997" t="s">
        <v>0</v>
      </c>
      <c r="P10" s="939"/>
      <c r="Q10" s="939"/>
      <c r="R10" s="939"/>
      <c r="S10" s="939"/>
      <c r="T10" s="939"/>
      <c r="U10" s="939"/>
    </row>
    <row r="11" spans="1:21">
      <c r="A11" s="2137" t="s">
        <v>473</v>
      </c>
      <c r="B11" s="2139"/>
      <c r="C11" s="738"/>
      <c r="D11" s="697"/>
      <c r="E11" s="667">
        <v>402</v>
      </c>
      <c r="F11" s="738"/>
      <c r="G11" s="697"/>
      <c r="H11" s="697">
        <v>0</v>
      </c>
      <c r="I11" s="738"/>
      <c r="J11" s="697"/>
      <c r="K11" s="697">
        <v>0</v>
      </c>
      <c r="L11" s="738"/>
      <c r="M11" s="697"/>
      <c r="N11" s="667">
        <f>K11-E11</f>
        <v>-402</v>
      </c>
      <c r="O11" s="997" t="s">
        <v>0</v>
      </c>
      <c r="P11" s="939"/>
      <c r="Q11" s="939"/>
      <c r="R11" s="939"/>
      <c r="S11" s="939"/>
      <c r="T11" s="939"/>
      <c r="U11" s="939"/>
    </row>
    <row r="12" spans="1:21">
      <c r="A12" s="2137" t="s">
        <v>374</v>
      </c>
      <c r="B12" s="2139"/>
      <c r="C12" s="738"/>
      <c r="D12" s="697"/>
      <c r="E12" s="667">
        <v>3795</v>
      </c>
      <c r="F12" s="738"/>
      <c r="G12" s="697"/>
      <c r="H12" s="697">
        <v>11300</v>
      </c>
      <c r="I12" s="738"/>
      <c r="J12" s="697"/>
      <c r="K12" s="697">
        <v>11300</v>
      </c>
      <c r="L12" s="738"/>
      <c r="M12" s="697"/>
      <c r="N12" s="667">
        <f>K12-E12</f>
        <v>7505</v>
      </c>
      <c r="O12" s="997" t="s">
        <v>0</v>
      </c>
      <c r="P12" s="939"/>
      <c r="Q12" s="939"/>
      <c r="R12" s="939"/>
      <c r="S12" s="939"/>
      <c r="T12" s="939"/>
      <c r="U12" s="939"/>
    </row>
    <row r="13" spans="1:21">
      <c r="A13" s="2137" t="s">
        <v>375</v>
      </c>
      <c r="B13" s="2139"/>
      <c r="C13" s="738"/>
      <c r="D13" s="697"/>
      <c r="E13" s="667">
        <v>452</v>
      </c>
      <c r="F13" s="738"/>
      <c r="G13" s="697"/>
      <c r="H13" s="697">
        <v>500</v>
      </c>
      <c r="I13" s="738"/>
      <c r="J13" s="697"/>
      <c r="K13" s="697">
        <v>500</v>
      </c>
      <c r="L13" s="738"/>
      <c r="M13" s="697"/>
      <c r="N13" s="667">
        <f>K13-E13</f>
        <v>48</v>
      </c>
      <c r="O13" s="997" t="s">
        <v>0</v>
      </c>
      <c r="P13" s="939"/>
      <c r="Q13" s="939"/>
      <c r="R13" s="939"/>
      <c r="S13" s="939"/>
      <c r="T13" s="939"/>
      <c r="U13" s="939"/>
    </row>
    <row r="14" spans="1:21">
      <c r="A14" s="2254" t="s">
        <v>474</v>
      </c>
      <c r="B14" s="2255"/>
      <c r="C14" s="914"/>
      <c r="D14" s="915"/>
      <c r="E14" s="999">
        <v>516</v>
      </c>
      <c r="F14" s="914"/>
      <c r="G14" s="915"/>
      <c r="H14" s="915">
        <v>12</v>
      </c>
      <c r="I14" s="914"/>
      <c r="J14" s="915"/>
      <c r="K14" s="915">
        <v>12</v>
      </c>
      <c r="L14" s="1000"/>
      <c r="M14" s="1001"/>
      <c r="N14" s="917">
        <f>K14-E14</f>
        <v>-504</v>
      </c>
      <c r="O14" s="997" t="s">
        <v>0</v>
      </c>
      <c r="P14" s="1002"/>
      <c r="Q14" s="1002"/>
      <c r="R14" s="939"/>
      <c r="S14" s="939"/>
      <c r="T14" s="939"/>
      <c r="U14" s="939"/>
    </row>
    <row r="15" spans="1:21">
      <c r="A15" s="2239"/>
      <c r="B15" s="2141"/>
      <c r="C15" s="1003"/>
      <c r="D15" s="1004"/>
      <c r="E15" s="1005"/>
      <c r="F15" s="1003"/>
      <c r="G15" s="1006"/>
      <c r="H15" s="1006"/>
      <c r="I15" s="1003"/>
      <c r="J15" s="1006"/>
      <c r="K15" s="1006"/>
      <c r="L15" s="1003"/>
      <c r="M15" s="1006"/>
      <c r="N15" s="1005"/>
      <c r="O15" s="997" t="s">
        <v>0</v>
      </c>
      <c r="P15" s="939"/>
      <c r="Q15" s="939"/>
      <c r="R15" s="939"/>
      <c r="S15" s="939"/>
      <c r="T15" s="939"/>
      <c r="U15" s="939"/>
    </row>
    <row r="16" spans="1:21">
      <c r="A16" s="2258" t="s">
        <v>274</v>
      </c>
      <c r="B16" s="2259"/>
      <c r="C16" s="919">
        <f>SUM(C10:C15)</f>
        <v>0</v>
      </c>
      <c r="D16" s="920">
        <f t="shared" ref="D16:M16" si="0">SUM(D10:D15)</f>
        <v>0</v>
      </c>
      <c r="E16" s="926">
        <f t="shared" si="0"/>
        <v>5946</v>
      </c>
      <c r="F16" s="919">
        <f t="shared" si="0"/>
        <v>0</v>
      </c>
      <c r="G16" s="920">
        <f t="shared" si="0"/>
        <v>0</v>
      </c>
      <c r="H16" s="921">
        <f>SUM(H10:H15)</f>
        <v>12312</v>
      </c>
      <c r="I16" s="919">
        <f t="shared" si="0"/>
        <v>0</v>
      </c>
      <c r="J16" s="920">
        <f t="shared" si="0"/>
        <v>0</v>
      </c>
      <c r="K16" s="921">
        <f t="shared" si="0"/>
        <v>12312</v>
      </c>
      <c r="L16" s="919">
        <f>SUM(L10:L15)</f>
        <v>0</v>
      </c>
      <c r="M16" s="920">
        <f t="shared" si="0"/>
        <v>0</v>
      </c>
      <c r="N16" s="926">
        <f>SUM(N10:N15)</f>
        <v>6366</v>
      </c>
      <c r="O16" s="997" t="s">
        <v>0</v>
      </c>
      <c r="P16" s="939"/>
      <c r="Q16" s="939"/>
      <c r="R16" s="939"/>
      <c r="S16" s="939"/>
      <c r="T16" s="939"/>
      <c r="U16" s="939"/>
    </row>
    <row r="17" spans="1:32">
      <c r="A17" s="1007"/>
      <c r="B17" s="1007"/>
      <c r="C17" s="1008"/>
      <c r="D17" s="1008"/>
      <c r="E17" s="1009"/>
      <c r="F17" s="1008"/>
      <c r="G17" s="1008"/>
      <c r="H17" s="1009"/>
      <c r="I17" s="1008"/>
      <c r="J17" s="1008"/>
      <c r="K17" s="1009"/>
      <c r="L17" s="1008"/>
      <c r="M17" s="1008"/>
      <c r="N17" s="1009"/>
      <c r="O17" s="997" t="s">
        <v>24</v>
      </c>
      <c r="P17" s="939"/>
      <c r="Q17" s="939"/>
      <c r="R17" s="939"/>
      <c r="S17" s="939"/>
      <c r="T17" s="939"/>
      <c r="U17" s="939"/>
    </row>
    <row r="18" spans="1:32">
      <c r="A18" s="1007"/>
      <c r="B18" s="1007"/>
      <c r="C18" s="1008"/>
      <c r="D18" s="1008"/>
      <c r="E18" s="1009"/>
      <c r="F18" s="1008"/>
      <c r="G18" s="1008"/>
      <c r="H18" s="1009"/>
      <c r="I18" s="1008"/>
      <c r="J18" s="1008"/>
      <c r="K18" s="1009"/>
      <c r="L18" s="1008"/>
      <c r="M18" s="1008"/>
      <c r="N18" s="1009"/>
      <c r="O18" s="997"/>
      <c r="P18" s="939"/>
      <c r="Q18" s="939"/>
      <c r="R18" s="939"/>
      <c r="S18" s="939"/>
      <c r="T18" s="939"/>
      <c r="U18" s="939"/>
    </row>
    <row r="19" spans="1:32">
      <c r="A19" s="2260"/>
      <c r="B19" s="2261"/>
      <c r="C19" s="2261"/>
      <c r="D19" s="2261"/>
      <c r="E19" s="2261"/>
      <c r="F19" s="2261"/>
      <c r="G19" s="2261"/>
      <c r="H19" s="2261"/>
      <c r="I19" s="2261"/>
      <c r="J19" s="2261"/>
      <c r="K19" s="2261"/>
      <c r="L19" s="2261"/>
      <c r="M19" s="2261"/>
      <c r="N19" s="2261"/>
      <c r="O19" s="997"/>
      <c r="P19" s="1010"/>
      <c r="Q19" s="1010"/>
      <c r="R19" s="1010"/>
      <c r="S19" s="1010"/>
      <c r="T19" s="1010"/>
      <c r="U19" s="1010"/>
      <c r="V19" s="1010"/>
      <c r="W19" s="1010"/>
      <c r="X19" s="1010"/>
      <c r="Y19" s="1010"/>
      <c r="Z19" s="1010"/>
      <c r="AA19" s="1010"/>
      <c r="AB19" s="1010"/>
      <c r="AC19" s="1010"/>
      <c r="AD19" s="1010"/>
      <c r="AE19" s="1010"/>
      <c r="AF19" s="1010"/>
    </row>
    <row r="20" spans="1:32">
      <c r="A20" s="939"/>
      <c r="B20" s="939"/>
      <c r="C20" s="1011"/>
      <c r="D20" s="1011"/>
      <c r="E20" s="1011"/>
      <c r="F20" s="1011"/>
      <c r="G20" s="1011"/>
      <c r="H20" s="1011"/>
      <c r="I20" s="1011"/>
      <c r="J20" s="1011"/>
      <c r="K20" s="1011"/>
      <c r="L20" s="1011"/>
      <c r="M20" s="1011"/>
      <c r="N20" s="1011"/>
      <c r="P20" s="1010"/>
      <c r="Q20" s="1010"/>
      <c r="R20" s="1010"/>
      <c r="S20" s="1010"/>
      <c r="T20" s="1010"/>
      <c r="U20" s="1010"/>
      <c r="V20" s="1010"/>
      <c r="W20" s="1010"/>
      <c r="X20" s="1010"/>
      <c r="Y20" s="1010"/>
      <c r="Z20" s="1010"/>
      <c r="AA20" s="1010"/>
      <c r="AB20" s="1010"/>
      <c r="AC20" s="1010"/>
      <c r="AD20" s="1010"/>
      <c r="AE20" s="1010"/>
      <c r="AF20" s="1010"/>
    </row>
    <row r="21" spans="1:32">
      <c r="A21" s="1013"/>
      <c r="B21" s="1013"/>
      <c r="C21" s="1014"/>
      <c r="D21" s="1014"/>
      <c r="E21" s="1014"/>
      <c r="F21" s="1014"/>
      <c r="G21" s="1014"/>
      <c r="H21" s="1014"/>
      <c r="I21" s="1014"/>
      <c r="J21" s="1014"/>
      <c r="K21" s="1014"/>
      <c r="L21" s="1014"/>
      <c r="M21" s="1014"/>
      <c r="N21" s="1014"/>
      <c r="P21" s="1010"/>
      <c r="Q21" s="1010"/>
      <c r="R21" s="1010"/>
      <c r="S21" s="1010"/>
      <c r="T21" s="1010"/>
      <c r="U21" s="1010"/>
      <c r="V21" s="1010"/>
      <c r="W21" s="1010"/>
      <c r="X21" s="1010"/>
      <c r="Y21" s="1010"/>
      <c r="Z21" s="1010"/>
      <c r="AA21" s="1010"/>
      <c r="AB21" s="1010"/>
      <c r="AC21" s="1010"/>
      <c r="AD21" s="1010"/>
      <c r="AE21" s="1010"/>
      <c r="AF21" s="1010"/>
    </row>
    <row r="22" spans="1:32">
      <c r="A22" s="942"/>
      <c r="B22" s="942"/>
      <c r="C22" s="942"/>
      <c r="D22" s="942"/>
      <c r="E22" s="942"/>
      <c r="F22" s="942"/>
      <c r="G22" s="942"/>
      <c r="H22" s="942"/>
      <c r="I22" s="942"/>
      <c r="J22" s="942"/>
      <c r="K22" s="942"/>
      <c r="L22" s="942"/>
      <c r="M22" s="942"/>
      <c r="N22" s="942"/>
      <c r="P22" s="1010"/>
      <c r="Q22" s="1010"/>
      <c r="R22" s="1010"/>
      <c r="S22" s="1010"/>
      <c r="T22" s="1010"/>
      <c r="U22" s="1010"/>
      <c r="V22" s="1010"/>
      <c r="W22" s="1010"/>
      <c r="X22" s="1010"/>
      <c r="Y22" s="1010"/>
      <c r="Z22" s="1010"/>
      <c r="AA22" s="1010"/>
      <c r="AB22" s="1010"/>
      <c r="AC22" s="1010"/>
      <c r="AD22" s="1010"/>
      <c r="AE22" s="1010"/>
      <c r="AF22" s="1010"/>
    </row>
    <row r="23" spans="1:32" ht="18">
      <c r="A23" s="1015"/>
      <c r="B23" s="1016"/>
      <c r="C23" s="1016"/>
      <c r="D23" s="1016"/>
      <c r="E23" s="1016"/>
      <c r="F23" s="1016"/>
      <c r="G23" s="1016"/>
      <c r="H23" s="1016"/>
      <c r="I23" s="1016"/>
      <c r="J23" s="1016"/>
      <c r="K23" s="1016"/>
      <c r="L23" s="1016"/>
      <c r="M23" s="1016"/>
      <c r="N23" s="1016"/>
      <c r="P23" s="1017"/>
      <c r="Q23" s="1018"/>
      <c r="R23" s="1018"/>
      <c r="S23" s="1018"/>
      <c r="T23" s="1018"/>
      <c r="U23" s="1018"/>
      <c r="V23" s="1018"/>
      <c r="W23" s="1018"/>
      <c r="X23" s="1018"/>
      <c r="Y23" s="1018"/>
      <c r="Z23" s="1018"/>
      <c r="AA23" s="1018"/>
      <c r="AB23" s="1018"/>
      <c r="AC23" s="1018"/>
      <c r="AD23" s="1018"/>
      <c r="AE23" s="1018"/>
      <c r="AF23" s="1018"/>
    </row>
    <row r="24" spans="1:32" ht="18">
      <c r="A24" s="1015"/>
      <c r="B24" s="1016"/>
      <c r="C24" s="1016"/>
      <c r="D24" s="1016"/>
      <c r="E24" s="1016"/>
      <c r="F24" s="1016"/>
      <c r="G24" s="1016"/>
      <c r="H24" s="1016"/>
      <c r="I24" s="1016"/>
      <c r="J24" s="1016"/>
      <c r="K24" s="1016"/>
      <c r="L24" s="1016"/>
      <c r="M24" s="1016"/>
      <c r="N24" s="1016"/>
      <c r="P24" s="1017"/>
      <c r="Q24" s="1018"/>
      <c r="R24" s="1018"/>
      <c r="S24" s="1018"/>
      <c r="T24" s="1018"/>
      <c r="U24" s="1018"/>
      <c r="V24" s="1018"/>
      <c r="W24" s="1018"/>
      <c r="X24" s="1018"/>
      <c r="Y24" s="1018"/>
      <c r="Z24" s="1018"/>
      <c r="AA24" s="1018"/>
      <c r="AB24" s="1018"/>
      <c r="AC24" s="1018"/>
      <c r="AD24" s="1018"/>
      <c r="AE24" s="1018"/>
      <c r="AF24" s="1018"/>
    </row>
    <row r="25" spans="1:32" ht="42.75" customHeight="1">
      <c r="A25" s="2256"/>
      <c r="B25" s="2256"/>
      <c r="C25" s="2256"/>
      <c r="D25" s="2256"/>
      <c r="E25" s="2256"/>
      <c r="F25" s="2256"/>
      <c r="G25" s="2256"/>
      <c r="H25" s="2256"/>
      <c r="I25" s="2256"/>
      <c r="J25" s="2256"/>
      <c r="K25" s="2256"/>
      <c r="L25" s="2256"/>
      <c r="M25" s="2256"/>
      <c r="N25" s="2257"/>
      <c r="P25" s="1017"/>
      <c r="Q25" s="1018"/>
      <c r="R25" s="1018"/>
      <c r="S25" s="1018"/>
      <c r="T25" s="1018"/>
      <c r="U25" s="1018"/>
      <c r="V25" s="1018"/>
      <c r="W25" s="1018"/>
      <c r="X25" s="1018"/>
      <c r="Y25" s="1018"/>
      <c r="Z25" s="1018"/>
      <c r="AA25" s="1018"/>
      <c r="AB25" s="1018"/>
      <c r="AC25" s="1018"/>
      <c r="AD25" s="1018"/>
      <c r="AE25" s="1018"/>
      <c r="AF25" s="1018"/>
    </row>
    <row r="26" spans="1:32">
      <c r="A26" s="752"/>
      <c r="B26" s="752"/>
      <c r="C26" s="752"/>
      <c r="D26" s="752"/>
      <c r="E26" s="752"/>
      <c r="F26" s="752"/>
      <c r="G26" s="752"/>
      <c r="H26" s="752"/>
      <c r="I26" s="752"/>
      <c r="J26" s="752"/>
      <c r="K26" s="752"/>
      <c r="L26" s="752"/>
      <c r="M26" s="752"/>
      <c r="N26" s="752"/>
      <c r="P26" s="1010"/>
      <c r="Q26" s="1010"/>
      <c r="R26" s="1010"/>
      <c r="S26" s="1010"/>
      <c r="T26" s="1010"/>
      <c r="U26" s="1010"/>
      <c r="V26" s="1010"/>
      <c r="W26" s="1010"/>
      <c r="X26" s="1010"/>
      <c r="Y26" s="1010"/>
      <c r="Z26" s="1010"/>
      <c r="AA26" s="1010"/>
      <c r="AB26" s="1010"/>
      <c r="AC26" s="1010"/>
      <c r="AD26" s="1010"/>
      <c r="AE26" s="1010"/>
      <c r="AF26" s="1010"/>
    </row>
    <row r="27" spans="1:32" ht="96.75" customHeight="1">
      <c r="A27" s="2262"/>
      <c r="B27" s="2262"/>
      <c r="C27" s="2262"/>
      <c r="D27" s="2262"/>
      <c r="E27" s="2262"/>
      <c r="F27" s="2262"/>
      <c r="G27" s="2262"/>
      <c r="H27" s="2262"/>
      <c r="I27" s="2262"/>
      <c r="J27" s="2262"/>
      <c r="K27" s="2262"/>
      <c r="L27" s="2262"/>
      <c r="M27" s="2262"/>
      <c r="N27" s="2262"/>
      <c r="P27" s="1010"/>
      <c r="Q27" s="1010"/>
      <c r="R27" s="1010"/>
      <c r="S27" s="1010"/>
      <c r="T27" s="1010"/>
      <c r="U27" s="1010"/>
      <c r="V27" s="1010"/>
      <c r="W27" s="1010"/>
      <c r="X27" s="1010"/>
      <c r="Y27" s="1010"/>
      <c r="Z27" s="1010"/>
      <c r="AA27" s="1010"/>
      <c r="AB27" s="1010"/>
      <c r="AC27" s="1010"/>
      <c r="AD27" s="1010"/>
      <c r="AE27" s="1010"/>
      <c r="AF27" s="1010"/>
    </row>
    <row r="28" spans="1:32" ht="18.75" customHeight="1">
      <c r="A28" s="1019"/>
      <c r="B28" s="1019"/>
      <c r="C28" s="1019"/>
      <c r="D28" s="1019"/>
      <c r="E28" s="1019"/>
      <c r="F28" s="1019"/>
      <c r="G28" s="1019"/>
      <c r="H28" s="1019"/>
      <c r="I28" s="1019"/>
      <c r="J28" s="1019"/>
      <c r="K28" s="1019"/>
      <c r="L28" s="1019"/>
      <c r="M28" s="1019"/>
      <c r="N28" s="1019"/>
      <c r="P28" s="1010"/>
      <c r="Q28" s="1010"/>
      <c r="R28" s="1010"/>
      <c r="S28" s="1010"/>
      <c r="T28" s="1010"/>
      <c r="U28" s="1010"/>
      <c r="V28" s="1010"/>
      <c r="W28" s="1010"/>
      <c r="X28" s="1010"/>
      <c r="Y28" s="1010"/>
      <c r="Z28" s="1010"/>
      <c r="AA28" s="1010"/>
      <c r="AB28" s="1010"/>
      <c r="AC28" s="1010"/>
      <c r="AD28" s="1010"/>
      <c r="AE28" s="1010"/>
      <c r="AF28" s="1010"/>
    </row>
    <row r="29" spans="1:32" ht="15.75" customHeight="1">
      <c r="A29" s="2263"/>
      <c r="B29" s="2263"/>
      <c r="C29" s="2263"/>
      <c r="D29" s="2263"/>
      <c r="E29" s="2263"/>
      <c r="F29" s="2263"/>
      <c r="G29" s="2263"/>
      <c r="H29" s="2263"/>
      <c r="I29" s="2263"/>
      <c r="J29" s="2263"/>
      <c r="K29" s="2263"/>
      <c r="L29" s="2263"/>
      <c r="M29" s="2263"/>
      <c r="N29" s="2263"/>
      <c r="P29" s="1010"/>
      <c r="Q29" s="1010"/>
      <c r="R29" s="1010"/>
      <c r="S29" s="1010"/>
      <c r="T29" s="1010"/>
      <c r="U29" s="1010"/>
      <c r="V29" s="1010"/>
      <c r="W29" s="1010"/>
      <c r="X29" s="1010"/>
      <c r="Y29" s="1010"/>
      <c r="Z29" s="1010"/>
      <c r="AA29" s="1010"/>
      <c r="AB29" s="1010"/>
      <c r="AC29" s="1010"/>
      <c r="AD29" s="1010"/>
      <c r="AE29" s="1010"/>
      <c r="AF29" s="1010"/>
    </row>
    <row r="30" spans="1:32" ht="24" customHeight="1">
      <c r="A30" s="2263"/>
      <c r="B30" s="2263"/>
      <c r="C30" s="2263"/>
      <c r="D30" s="2263"/>
      <c r="E30" s="2263"/>
      <c r="F30" s="2263"/>
      <c r="G30" s="2263"/>
      <c r="H30" s="2263"/>
      <c r="I30" s="2263"/>
      <c r="J30" s="2263"/>
      <c r="K30" s="2263"/>
      <c r="L30" s="2263"/>
      <c r="M30" s="2263"/>
      <c r="N30" s="2263"/>
      <c r="P30" s="1010"/>
      <c r="Q30" s="1010"/>
      <c r="R30" s="1010"/>
      <c r="S30" s="1010"/>
      <c r="T30" s="1010"/>
      <c r="U30" s="1010"/>
      <c r="V30" s="1010"/>
      <c r="W30" s="1010"/>
      <c r="X30" s="1010"/>
      <c r="Y30" s="1010"/>
      <c r="Z30" s="1010"/>
      <c r="AA30" s="1010"/>
      <c r="AB30" s="1010"/>
      <c r="AC30" s="1010"/>
      <c r="AD30" s="1010"/>
      <c r="AE30" s="1010"/>
      <c r="AF30" s="1010"/>
    </row>
    <row r="31" spans="1:32" ht="15.75" customHeight="1">
      <c r="A31" s="752"/>
      <c r="B31" s="752"/>
      <c r="C31" s="752"/>
      <c r="D31" s="752"/>
      <c r="E31" s="752"/>
      <c r="F31" s="752"/>
      <c r="G31" s="752"/>
      <c r="H31" s="752"/>
      <c r="I31" s="752"/>
      <c r="J31" s="752"/>
      <c r="K31" s="752"/>
      <c r="L31" s="752"/>
      <c r="M31" s="752"/>
      <c r="N31" s="752"/>
      <c r="P31" s="1010"/>
      <c r="Q31" s="1010"/>
      <c r="R31" s="1010"/>
      <c r="S31" s="1010"/>
      <c r="T31" s="1010"/>
      <c r="U31" s="1010"/>
      <c r="V31" s="1010"/>
      <c r="W31" s="1010"/>
      <c r="X31" s="1010"/>
      <c r="Y31" s="1010"/>
      <c r="Z31" s="1010"/>
      <c r="AA31" s="1010"/>
      <c r="AB31" s="1010"/>
      <c r="AC31" s="1010"/>
      <c r="AD31" s="1010"/>
      <c r="AE31" s="1010"/>
      <c r="AF31" s="1010"/>
    </row>
    <row r="32" spans="1:32" ht="18" customHeight="1">
      <c r="A32" s="2256"/>
      <c r="B32" s="2256"/>
      <c r="C32" s="2256"/>
      <c r="D32" s="2256"/>
      <c r="E32" s="2256"/>
      <c r="F32" s="2256"/>
      <c r="G32" s="2256"/>
      <c r="H32" s="2256"/>
      <c r="I32" s="2256"/>
      <c r="J32" s="2256"/>
      <c r="K32" s="2256"/>
      <c r="L32" s="2256"/>
      <c r="M32" s="2256"/>
      <c r="N32" s="2257"/>
      <c r="P32" s="1010"/>
      <c r="Q32" s="1010"/>
      <c r="R32" s="1010"/>
      <c r="S32" s="1010"/>
      <c r="T32" s="1010"/>
      <c r="U32" s="1010"/>
      <c r="V32" s="1010"/>
      <c r="W32" s="1010"/>
      <c r="X32" s="1010"/>
      <c r="Y32" s="1010"/>
      <c r="Z32" s="1010"/>
      <c r="AA32" s="1010"/>
      <c r="AB32" s="1010"/>
      <c r="AC32" s="1010"/>
      <c r="AD32" s="1010"/>
      <c r="AE32" s="1010"/>
      <c r="AF32" s="1010"/>
    </row>
    <row r="33" spans="1:32">
      <c r="A33" s="939"/>
      <c r="B33" s="939"/>
      <c r="C33" s="939"/>
      <c r="D33" s="939"/>
      <c r="E33" s="939"/>
      <c r="F33" s="939"/>
      <c r="G33" s="939"/>
      <c r="H33" s="939"/>
      <c r="I33" s="939"/>
      <c r="J33" s="939"/>
      <c r="K33" s="939"/>
      <c r="L33" s="939"/>
      <c r="M33" s="939"/>
      <c r="N33" s="939"/>
      <c r="P33" s="1010"/>
      <c r="Q33" s="1010"/>
      <c r="R33" s="1010"/>
      <c r="S33" s="1010"/>
      <c r="T33" s="1010"/>
      <c r="U33" s="1010"/>
      <c r="V33" s="1010"/>
      <c r="W33" s="1010"/>
      <c r="X33" s="1010"/>
      <c r="Y33" s="1010"/>
      <c r="Z33" s="1010"/>
      <c r="AA33" s="1010"/>
      <c r="AB33" s="1010"/>
      <c r="AC33" s="1010"/>
      <c r="AD33" s="1010"/>
      <c r="AE33" s="1010"/>
      <c r="AF33" s="1010"/>
    </row>
    <row r="34" spans="1:32" ht="18">
      <c r="A34" s="2256"/>
      <c r="B34" s="2256"/>
      <c r="C34" s="2256"/>
      <c r="D34" s="2256"/>
      <c r="E34" s="2256"/>
      <c r="F34" s="2256"/>
      <c r="G34" s="2256"/>
      <c r="H34" s="2256"/>
      <c r="I34" s="2256"/>
      <c r="J34" s="2256"/>
      <c r="K34" s="2256"/>
      <c r="L34" s="2256"/>
      <c r="M34" s="2256"/>
      <c r="N34" s="2257"/>
      <c r="P34" s="1010"/>
      <c r="Q34" s="1010"/>
      <c r="R34" s="1010"/>
      <c r="S34" s="1010"/>
      <c r="T34" s="1010"/>
      <c r="U34" s="1010"/>
      <c r="V34" s="1010"/>
      <c r="W34" s="1010"/>
      <c r="X34" s="1010"/>
      <c r="Y34" s="1010"/>
      <c r="Z34" s="1010"/>
      <c r="AA34" s="1010"/>
      <c r="AB34" s="1010"/>
      <c r="AC34" s="1010"/>
      <c r="AD34" s="1010"/>
      <c r="AE34" s="1010"/>
      <c r="AF34" s="1010"/>
    </row>
  </sheetData>
  <mergeCells count="23">
    <mergeCell ref="A34:N34"/>
    <mergeCell ref="A16:B16"/>
    <mergeCell ref="A19:N19"/>
    <mergeCell ref="A25:N25"/>
    <mergeCell ref="A27:N27"/>
    <mergeCell ref="A29:N30"/>
    <mergeCell ref="A32:N32"/>
    <mergeCell ref="A15:B15"/>
    <mergeCell ref="A1:N1"/>
    <mergeCell ref="A3:N3"/>
    <mergeCell ref="A4:N4"/>
    <mergeCell ref="A5:N5"/>
    <mergeCell ref="A6:N6"/>
    <mergeCell ref="A8:B9"/>
    <mergeCell ref="C8:E8"/>
    <mergeCell ref="F8:H8"/>
    <mergeCell ref="I8:K8"/>
    <mergeCell ref="L8:N8"/>
    <mergeCell ref="A10:B10"/>
    <mergeCell ref="A11:B11"/>
    <mergeCell ref="A12:B12"/>
    <mergeCell ref="A13:B13"/>
    <mergeCell ref="A14:B14"/>
  </mergeCells>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Resources&amp;R&amp;"Times New Roman,Regular"Justice Assistance</oddFooter>
  </headerFooter>
</worksheet>
</file>

<file path=xl/worksheets/sheet21.xml><?xml version="1.0" encoding="utf-8"?>
<worksheet xmlns="http://schemas.openxmlformats.org/spreadsheetml/2006/main" xmlns:r="http://schemas.openxmlformats.org/officeDocument/2006/relationships">
  <dimension ref="A1:X31"/>
  <sheetViews>
    <sheetView view="pageBreakPreview" zoomScale="70" zoomScaleNormal="75" zoomScaleSheetLayoutView="70" workbookViewId="0"/>
  </sheetViews>
  <sheetFormatPr defaultRowHeight="15"/>
  <cols>
    <col min="1" max="1" width="45.21875" style="949" customWidth="1"/>
    <col min="2" max="2" width="6.21875" style="949" customWidth="1"/>
    <col min="3" max="3" width="13" style="820" customWidth="1"/>
    <col min="4" max="4" width="6.21875" style="949" customWidth="1"/>
    <col min="5" max="5" width="13.109375" style="820" customWidth="1"/>
    <col min="6" max="6" width="6.21875" style="820" customWidth="1"/>
    <col min="7" max="7" width="13.21875" style="820" customWidth="1"/>
    <col min="8" max="8" width="6.21875" style="820" customWidth="1"/>
    <col min="9" max="9" width="15.33203125" style="820" customWidth="1"/>
    <col min="10" max="10" width="10.5546875" style="992" customWidth="1"/>
    <col min="11" max="11" width="8.88671875" style="949"/>
    <col min="12" max="12" width="8.88671875" style="2585"/>
    <col min="13" max="16384" width="8.88671875" style="949"/>
  </cols>
  <sheetData>
    <row r="1" spans="1:24" ht="20.25">
      <c r="A1" s="953" t="s">
        <v>29</v>
      </c>
      <c r="B1" s="954"/>
      <c r="C1" s="955"/>
      <c r="D1" s="954"/>
      <c r="E1" s="955"/>
      <c r="F1" s="955"/>
      <c r="G1" s="955"/>
      <c r="H1" s="955"/>
      <c r="I1" s="955"/>
      <c r="J1" s="957" t="s">
        <v>0</v>
      </c>
      <c r="L1" s="2585" t="s">
        <v>0</v>
      </c>
    </row>
    <row r="2" spans="1:24" ht="13.15" customHeight="1">
      <c r="A2" s="2285"/>
      <c r="B2" s="2285"/>
      <c r="C2" s="2285"/>
      <c r="D2" s="2285"/>
      <c r="E2" s="2285"/>
      <c r="F2" s="2285"/>
      <c r="G2" s="2285"/>
      <c r="H2" s="2285"/>
      <c r="I2" s="2285"/>
      <c r="J2" s="957" t="s">
        <v>0</v>
      </c>
      <c r="L2" s="2585" t="s">
        <v>0</v>
      </c>
    </row>
    <row r="3" spans="1:24" ht="18.75">
      <c r="A3" s="2241" t="s">
        <v>4</v>
      </c>
      <c r="B3" s="2241"/>
      <c r="C3" s="2241"/>
      <c r="D3" s="2241"/>
      <c r="E3" s="2241"/>
      <c r="F3" s="2241"/>
      <c r="G3" s="2241"/>
      <c r="H3" s="2241"/>
      <c r="I3" s="2241"/>
      <c r="J3" s="957" t="s">
        <v>0</v>
      </c>
      <c r="L3" s="2585" t="s">
        <v>0</v>
      </c>
    </row>
    <row r="4" spans="1:24" ht="16.5">
      <c r="A4" s="2243" t="str">
        <f>+'B. Summ of Requirements  - JA'!A5</f>
        <v>Office of Justice Programs</v>
      </c>
      <c r="B4" s="2243"/>
      <c r="C4" s="2243"/>
      <c r="D4" s="2243"/>
      <c r="E4" s="2243"/>
      <c r="F4" s="2243"/>
      <c r="G4" s="2243"/>
      <c r="H4" s="2243"/>
      <c r="I4" s="2243"/>
      <c r="J4" s="957" t="s">
        <v>0</v>
      </c>
      <c r="L4" s="2585" t="s">
        <v>0</v>
      </c>
    </row>
    <row r="5" spans="1:24" ht="16.5">
      <c r="A5" s="2243" t="str">
        <f>+'B. Summ of Requirements  - JA'!A6</f>
        <v>Justice Assistance</v>
      </c>
      <c r="B5" s="2243"/>
      <c r="C5" s="2243"/>
      <c r="D5" s="2243"/>
      <c r="E5" s="2243"/>
      <c r="F5" s="2243"/>
      <c r="G5" s="2243"/>
      <c r="H5" s="2243"/>
      <c r="I5" s="2243"/>
      <c r="J5" s="957" t="s">
        <v>0</v>
      </c>
      <c r="L5" s="2585" t="s">
        <v>0</v>
      </c>
    </row>
    <row r="6" spans="1:24">
      <c r="A6" s="2245" t="s">
        <v>257</v>
      </c>
      <c r="B6" s="2245"/>
      <c r="C6" s="2245"/>
      <c r="D6" s="2245"/>
      <c r="E6" s="2245"/>
      <c r="F6" s="2245"/>
      <c r="G6" s="2245"/>
      <c r="H6" s="2245"/>
      <c r="I6" s="2245"/>
      <c r="J6" s="957" t="s">
        <v>0</v>
      </c>
      <c r="L6" s="2585" t="s">
        <v>0</v>
      </c>
    </row>
    <row r="7" spans="1:24">
      <c r="A7" s="958"/>
      <c r="B7" s="958"/>
      <c r="C7" s="958"/>
      <c r="D7" s="958"/>
      <c r="E7" s="958"/>
      <c r="F7" s="958"/>
      <c r="G7" s="958"/>
      <c r="H7" s="958"/>
      <c r="I7" s="958"/>
      <c r="J7" s="957" t="s">
        <v>0</v>
      </c>
      <c r="L7" s="2585" t="s">
        <v>0</v>
      </c>
    </row>
    <row r="8" spans="1:24" ht="18.75">
      <c r="A8" s="959"/>
      <c r="B8" s="2268" t="s">
        <v>411</v>
      </c>
      <c r="C8" s="2269"/>
      <c r="D8" s="2269"/>
      <c r="E8" s="2269"/>
      <c r="F8" s="2269"/>
      <c r="G8" s="2269"/>
      <c r="H8" s="2269"/>
      <c r="I8" s="2270"/>
      <c r="J8" s="957" t="s">
        <v>0</v>
      </c>
      <c r="L8" s="2585" t="s">
        <v>0</v>
      </c>
    </row>
    <row r="9" spans="1:24" ht="18.75">
      <c r="A9" s="960"/>
      <c r="B9" s="2276" t="s">
        <v>469</v>
      </c>
      <c r="C9" s="2276"/>
      <c r="D9" s="2276" t="s">
        <v>469</v>
      </c>
      <c r="E9" s="2276"/>
      <c r="F9" s="2276" t="s">
        <v>469</v>
      </c>
      <c r="G9" s="2276"/>
      <c r="H9" s="2276" t="s">
        <v>469</v>
      </c>
      <c r="I9" s="2276"/>
      <c r="J9" s="957" t="s">
        <v>0</v>
      </c>
      <c r="L9" s="2585" t="s">
        <v>0</v>
      </c>
    </row>
    <row r="10" spans="1:24" ht="66.75" customHeight="1">
      <c r="A10" s="2282"/>
      <c r="B10" s="2277" t="s">
        <v>442</v>
      </c>
      <c r="C10" s="2284"/>
      <c r="D10" s="2286" t="s">
        <v>418</v>
      </c>
      <c r="E10" s="2287"/>
      <c r="F10" s="2277" t="s">
        <v>443</v>
      </c>
      <c r="G10" s="2284"/>
      <c r="H10" s="2277" t="s">
        <v>444</v>
      </c>
      <c r="I10" s="2281"/>
      <c r="J10" s="957" t="s">
        <v>0</v>
      </c>
      <c r="L10" s="2585" t="s">
        <v>0</v>
      </c>
    </row>
    <row r="11" spans="1:24" ht="36" customHeight="1" thickBot="1">
      <c r="A11" s="2283"/>
      <c r="B11" s="961" t="s">
        <v>277</v>
      </c>
      <c r="C11" s="962" t="s">
        <v>255</v>
      </c>
      <c r="D11" s="961" t="s">
        <v>277</v>
      </c>
      <c r="E11" s="962" t="s">
        <v>255</v>
      </c>
      <c r="F11" s="961" t="s">
        <v>277</v>
      </c>
      <c r="G11" s="962" t="s">
        <v>255</v>
      </c>
      <c r="H11" s="961" t="s">
        <v>277</v>
      </c>
      <c r="I11" s="963" t="s">
        <v>255</v>
      </c>
      <c r="J11" s="957" t="s">
        <v>0</v>
      </c>
      <c r="L11" s="2585" t="s">
        <v>0</v>
      </c>
    </row>
    <row r="12" spans="1:24" ht="20.25">
      <c r="A12" s="964"/>
      <c r="B12" s="965"/>
      <c r="C12" s="966"/>
      <c r="D12" s="965"/>
      <c r="E12" s="967"/>
      <c r="F12" s="965"/>
      <c r="G12" s="967"/>
      <c r="H12" s="968"/>
      <c r="I12" s="981"/>
      <c r="J12" s="957" t="s">
        <v>0</v>
      </c>
      <c r="L12" s="2585" t="s">
        <v>0</v>
      </c>
    </row>
    <row r="13" spans="1:24" ht="20.25">
      <c r="A13" s="969" t="s">
        <v>472</v>
      </c>
      <c r="B13" s="970">
        <v>0</v>
      </c>
      <c r="C13" s="1654" t="s">
        <v>417</v>
      </c>
      <c r="D13" s="970">
        <v>0</v>
      </c>
      <c r="E13" s="972">
        <v>7000</v>
      </c>
      <c r="F13" s="970">
        <v>0</v>
      </c>
      <c r="G13" s="972" t="s">
        <v>420</v>
      </c>
      <c r="H13" s="973">
        <v>0</v>
      </c>
      <c r="I13" s="1478" t="s">
        <v>422</v>
      </c>
      <c r="J13" s="957" t="s">
        <v>0</v>
      </c>
      <c r="L13" s="2585" t="s">
        <v>0</v>
      </c>
    </row>
    <row r="14" spans="1:24" ht="20.25">
      <c r="A14" s="974" t="s">
        <v>272</v>
      </c>
      <c r="B14" s="975">
        <f>SUM(B12:B13)</f>
        <v>0</v>
      </c>
      <c r="C14" s="1653" t="s">
        <v>417</v>
      </c>
      <c r="D14" s="975">
        <f>SUM(D12:D13)</f>
        <v>0</v>
      </c>
      <c r="E14" s="976">
        <f>SUM(E12:E13)</f>
        <v>7000</v>
      </c>
      <c r="F14" s="975">
        <f>SUM(F12:F13)</f>
        <v>0</v>
      </c>
      <c r="G14" s="976" t="s">
        <v>420</v>
      </c>
      <c r="H14" s="1649">
        <f>SUM(H12:H13)</f>
        <v>0</v>
      </c>
      <c r="I14" s="1650" t="s">
        <v>422</v>
      </c>
      <c r="J14" s="957" t="s">
        <v>0</v>
      </c>
      <c r="L14" s="2585" t="s">
        <v>0</v>
      </c>
    </row>
    <row r="15" spans="1:24" s="1644" customFormat="1">
      <c r="A15" s="2271"/>
      <c r="B15" s="2272"/>
      <c r="C15" s="2272"/>
      <c r="D15" s="2272"/>
      <c r="E15" s="2272"/>
      <c r="F15" s="2272"/>
      <c r="G15" s="2272"/>
      <c r="H15" s="2272"/>
      <c r="I15" s="2272"/>
      <c r="J15" s="957" t="s">
        <v>0</v>
      </c>
      <c r="K15" s="978"/>
      <c r="L15" s="2585" t="s">
        <v>0</v>
      </c>
      <c r="M15" s="978"/>
      <c r="N15" s="978"/>
      <c r="O15" s="978"/>
      <c r="P15" s="978"/>
      <c r="Q15" s="978"/>
      <c r="R15" s="978"/>
      <c r="S15" s="978"/>
      <c r="T15" s="978"/>
      <c r="U15" s="978"/>
      <c r="V15" s="978"/>
      <c r="W15" s="978"/>
      <c r="X15" s="978"/>
    </row>
    <row r="16" spans="1:24" s="1644" customFormat="1" ht="18.75">
      <c r="A16" s="959"/>
      <c r="B16" s="2268" t="s">
        <v>411</v>
      </c>
      <c r="C16" s="2269"/>
      <c r="D16" s="2269"/>
      <c r="E16" s="2269"/>
      <c r="F16" s="2269"/>
      <c r="G16" s="2269"/>
      <c r="H16" s="2269"/>
      <c r="I16" s="2270"/>
      <c r="J16" s="957" t="s">
        <v>0</v>
      </c>
      <c r="L16" s="2585" t="s">
        <v>0</v>
      </c>
    </row>
    <row r="17" spans="1:24" s="1644" customFormat="1" ht="18.75" customHeight="1">
      <c r="A17" s="2273"/>
      <c r="B17" s="2276" t="s">
        <v>469</v>
      </c>
      <c r="C17" s="2276"/>
      <c r="D17" s="2276" t="s">
        <v>469</v>
      </c>
      <c r="E17" s="2276"/>
      <c r="F17" s="2276" t="s">
        <v>469</v>
      </c>
      <c r="G17" s="2276"/>
      <c r="H17" s="2276" t="s">
        <v>469</v>
      </c>
      <c r="I17" s="2276"/>
      <c r="J17" s="957" t="s">
        <v>0</v>
      </c>
      <c r="K17" s="978"/>
      <c r="L17" s="2585" t="s">
        <v>0</v>
      </c>
      <c r="M17" s="978"/>
      <c r="N17" s="978"/>
      <c r="O17" s="978"/>
      <c r="P17" s="978"/>
      <c r="Q17" s="978"/>
      <c r="R17" s="978"/>
      <c r="S17" s="978"/>
      <c r="T17" s="978"/>
      <c r="U17" s="978"/>
      <c r="V17" s="978"/>
      <c r="W17" s="978"/>
      <c r="X17" s="978"/>
    </row>
    <row r="18" spans="1:24" s="1644" customFormat="1" ht="84" customHeight="1">
      <c r="A18" s="2274"/>
      <c r="B18" s="2277" t="s">
        <v>470</v>
      </c>
      <c r="C18" s="2278"/>
      <c r="D18" s="2277" t="s">
        <v>471</v>
      </c>
      <c r="E18" s="2278"/>
      <c r="F18" s="2279" t="s">
        <v>447</v>
      </c>
      <c r="G18" s="2280"/>
      <c r="H18" s="2266" t="s">
        <v>823</v>
      </c>
      <c r="I18" s="2281"/>
      <c r="J18" s="978"/>
      <c r="K18" s="957" t="s">
        <v>0</v>
      </c>
      <c r="L18" s="2585" t="s">
        <v>0</v>
      </c>
      <c r="M18" s="978"/>
      <c r="N18" s="978"/>
      <c r="O18" s="978"/>
      <c r="P18" s="978"/>
      <c r="Q18" s="978"/>
      <c r="R18" s="978"/>
      <c r="S18" s="978"/>
      <c r="T18" s="978"/>
      <c r="U18" s="978"/>
      <c r="V18" s="978"/>
    </row>
    <row r="19" spans="1:24" s="1644" customFormat="1" ht="31.5" customHeight="1" thickBot="1">
      <c r="A19" s="2275"/>
      <c r="B19" s="961" t="s">
        <v>277</v>
      </c>
      <c r="C19" s="962" t="s">
        <v>255</v>
      </c>
      <c r="D19" s="961" t="s">
        <v>277</v>
      </c>
      <c r="E19" s="962" t="s">
        <v>255</v>
      </c>
      <c r="F19" s="961" t="s">
        <v>277</v>
      </c>
      <c r="G19" s="963" t="s">
        <v>255</v>
      </c>
      <c r="H19" s="979" t="s">
        <v>277</v>
      </c>
      <c r="I19" s="963" t="s">
        <v>255</v>
      </c>
      <c r="J19" s="978"/>
      <c r="K19" s="957" t="s">
        <v>0</v>
      </c>
      <c r="L19" s="2585" t="s">
        <v>0</v>
      </c>
      <c r="M19" s="978"/>
      <c r="N19" s="978"/>
      <c r="O19" s="978"/>
      <c r="P19" s="978"/>
      <c r="Q19" s="978"/>
      <c r="R19" s="978"/>
      <c r="S19" s="978"/>
      <c r="T19" s="978"/>
      <c r="U19" s="978"/>
      <c r="V19" s="978"/>
    </row>
    <row r="20" spans="1:24" s="1644" customFormat="1" ht="20.25">
      <c r="A20" s="964"/>
      <c r="B20" s="965"/>
      <c r="C20" s="967"/>
      <c r="D20" s="965"/>
      <c r="E20" s="967"/>
      <c r="F20" s="965"/>
      <c r="G20" s="981"/>
      <c r="H20" s="980"/>
      <c r="I20" s="981"/>
      <c r="J20" s="978"/>
      <c r="K20" s="957" t="s">
        <v>0</v>
      </c>
      <c r="L20" s="2585" t="s">
        <v>0</v>
      </c>
      <c r="M20" s="978"/>
      <c r="N20" s="978"/>
      <c r="O20" s="978"/>
      <c r="P20" s="978"/>
      <c r="Q20" s="978"/>
      <c r="R20" s="978"/>
      <c r="S20" s="978"/>
      <c r="T20" s="978"/>
      <c r="U20" s="978"/>
      <c r="V20" s="978"/>
    </row>
    <row r="21" spans="1:24" s="1644" customFormat="1" ht="20.25">
      <c r="A21" s="969" t="s">
        <v>472</v>
      </c>
      <c r="B21" s="970">
        <v>0</v>
      </c>
      <c r="C21" s="972" t="s">
        <v>424</v>
      </c>
      <c r="D21" s="970">
        <v>0</v>
      </c>
      <c r="E21" s="972" t="s">
        <v>426</v>
      </c>
      <c r="F21" s="970">
        <v>0</v>
      </c>
      <c r="G21" s="1478" t="s">
        <v>420</v>
      </c>
      <c r="H21" s="1479">
        <v>0</v>
      </c>
      <c r="I21" s="1478">
        <v>6000</v>
      </c>
      <c r="J21" s="978"/>
      <c r="K21" s="957" t="s">
        <v>0</v>
      </c>
      <c r="L21" s="2585" t="s">
        <v>0</v>
      </c>
      <c r="M21" s="978"/>
      <c r="N21" s="978"/>
      <c r="O21" s="978"/>
      <c r="P21" s="978"/>
      <c r="Q21" s="978"/>
      <c r="R21" s="978"/>
      <c r="S21" s="978"/>
      <c r="T21" s="978"/>
      <c r="U21" s="978"/>
      <c r="V21" s="978"/>
    </row>
    <row r="22" spans="1:24" s="1644" customFormat="1" ht="26.25" customHeight="1" thickBot="1">
      <c r="A22" s="984" t="s">
        <v>272</v>
      </c>
      <c r="B22" s="977">
        <f>SUM(B20:B21)</f>
        <v>0</v>
      </c>
      <c r="C22" s="976" t="s">
        <v>424</v>
      </c>
      <c r="D22" s="977">
        <f>SUM(D20:D21)</f>
        <v>0</v>
      </c>
      <c r="E22" s="976" t="s">
        <v>426</v>
      </c>
      <c r="F22" s="977">
        <f>SUM(F20:F21)</f>
        <v>0</v>
      </c>
      <c r="G22" s="1629" t="s">
        <v>420</v>
      </c>
      <c r="H22" s="1651">
        <f>SUM(H20:H21)</f>
        <v>0</v>
      </c>
      <c r="I22" s="1652">
        <f>SUM(I20:I21)</f>
        <v>6000</v>
      </c>
      <c r="K22" s="957" t="s">
        <v>24</v>
      </c>
      <c r="L22" s="2585" t="s">
        <v>0</v>
      </c>
    </row>
    <row r="23" spans="1:24">
      <c r="A23" s="2271"/>
      <c r="B23" s="2272"/>
      <c r="C23" s="2272"/>
      <c r="D23" s="2272"/>
      <c r="E23" s="2272"/>
      <c r="F23" s="2272"/>
      <c r="G23" s="2272"/>
      <c r="H23" s="2288"/>
      <c r="I23" s="2288"/>
      <c r="J23" s="957" t="s">
        <v>0</v>
      </c>
      <c r="K23" s="978"/>
      <c r="L23" s="2585" t="s">
        <v>0</v>
      </c>
      <c r="M23" s="978"/>
      <c r="N23" s="978"/>
      <c r="O23" s="978"/>
      <c r="P23" s="978"/>
      <c r="Q23" s="978"/>
      <c r="R23" s="978"/>
      <c r="S23" s="978"/>
      <c r="T23" s="978"/>
      <c r="U23" s="978"/>
      <c r="V23" s="978"/>
      <c r="W23" s="978"/>
      <c r="X23" s="978"/>
    </row>
    <row r="24" spans="1:24" s="1644" customFormat="1" ht="18.75">
      <c r="A24" s="1645"/>
      <c r="B24" s="2268" t="s">
        <v>411</v>
      </c>
      <c r="C24" s="2269"/>
      <c r="D24" s="2269"/>
      <c r="E24" s="2269"/>
      <c r="F24" s="2269"/>
      <c r="G24" s="2269"/>
      <c r="H24" s="2269"/>
      <c r="I24" s="2270"/>
      <c r="J24" s="957"/>
      <c r="K24" s="978"/>
      <c r="L24" s="2585" t="s">
        <v>0</v>
      </c>
      <c r="M24" s="978"/>
      <c r="N24" s="978"/>
      <c r="O24" s="978"/>
      <c r="P24" s="978"/>
      <c r="Q24" s="978"/>
      <c r="R24" s="978"/>
      <c r="S24" s="978"/>
      <c r="T24" s="978"/>
      <c r="U24" s="978"/>
      <c r="V24" s="978"/>
      <c r="W24" s="978"/>
      <c r="X24" s="978"/>
    </row>
    <row r="25" spans="1:24" ht="18.75" customHeight="1">
      <c r="A25" s="2273"/>
      <c r="B25" s="2289" t="s">
        <v>469</v>
      </c>
      <c r="C25" s="2290"/>
      <c r="D25" s="2289" t="s">
        <v>5</v>
      </c>
      <c r="E25" s="2290"/>
      <c r="F25" s="2289" t="s">
        <v>5</v>
      </c>
      <c r="G25" s="2290"/>
      <c r="H25" s="2289" t="s">
        <v>5</v>
      </c>
      <c r="I25" s="2290"/>
      <c r="J25" s="2264" t="s">
        <v>105</v>
      </c>
      <c r="K25" s="2265"/>
      <c r="L25" s="2585" t="s">
        <v>0</v>
      </c>
      <c r="M25" s="978"/>
      <c r="N25" s="978"/>
      <c r="O25" s="978"/>
      <c r="P25" s="978"/>
      <c r="Q25" s="978"/>
      <c r="R25" s="978"/>
      <c r="S25" s="978"/>
      <c r="T25" s="978"/>
      <c r="U25" s="978"/>
      <c r="V25" s="978"/>
      <c r="W25" s="978"/>
      <c r="X25" s="978"/>
    </row>
    <row r="26" spans="1:24" ht="57" customHeight="1">
      <c r="A26" s="2274"/>
      <c r="B26" s="2279" t="s">
        <v>824</v>
      </c>
      <c r="C26" s="2292"/>
      <c r="D26" s="2279" t="s">
        <v>430</v>
      </c>
      <c r="E26" s="2292"/>
      <c r="F26" s="2279" t="s">
        <v>415</v>
      </c>
      <c r="G26" s="2292"/>
      <c r="H26" s="2279" t="s">
        <v>822</v>
      </c>
      <c r="I26" s="2293"/>
      <c r="J26" s="2266"/>
      <c r="K26" s="2267"/>
      <c r="L26" s="2585" t="s">
        <v>0</v>
      </c>
      <c r="M26" s="978"/>
      <c r="N26" s="978"/>
      <c r="O26" s="978"/>
      <c r="P26" s="978"/>
      <c r="Q26" s="978"/>
      <c r="R26" s="978"/>
      <c r="S26" s="978"/>
      <c r="T26" s="978"/>
      <c r="U26" s="978"/>
      <c r="V26" s="978"/>
    </row>
    <row r="27" spans="1:24" ht="31.5" customHeight="1" thickBot="1">
      <c r="A27" s="2275"/>
      <c r="B27" s="961" t="s">
        <v>277</v>
      </c>
      <c r="C27" s="962" t="s">
        <v>255</v>
      </c>
      <c r="D27" s="961" t="s">
        <v>277</v>
      </c>
      <c r="E27" s="962" t="s">
        <v>255</v>
      </c>
      <c r="F27" s="961" t="s">
        <v>277</v>
      </c>
      <c r="G27" s="962" t="s">
        <v>255</v>
      </c>
      <c r="H27" s="961" t="s">
        <v>277</v>
      </c>
      <c r="I27" s="962" t="s">
        <v>255</v>
      </c>
      <c r="J27" s="979" t="s">
        <v>277</v>
      </c>
      <c r="K27" s="963" t="s">
        <v>255</v>
      </c>
      <c r="L27" s="2585" t="s">
        <v>0</v>
      </c>
      <c r="M27" s="978"/>
      <c r="N27" s="978"/>
      <c r="O27" s="978"/>
      <c r="P27" s="978"/>
      <c r="Q27" s="978"/>
      <c r="R27" s="978"/>
      <c r="S27" s="978"/>
      <c r="T27" s="978"/>
      <c r="U27" s="978"/>
      <c r="V27" s="978"/>
    </row>
    <row r="28" spans="1:24" ht="20.25">
      <c r="A28" s="964"/>
      <c r="B28" s="965"/>
      <c r="C28" s="967"/>
      <c r="D28" s="965"/>
      <c r="E28" s="967"/>
      <c r="F28" s="965"/>
      <c r="G28" s="967"/>
      <c r="H28" s="965"/>
      <c r="I28" s="968"/>
      <c r="J28" s="980"/>
      <c r="K28" s="981"/>
      <c r="L28" s="2585" t="s">
        <v>0</v>
      </c>
      <c r="M28" s="978"/>
      <c r="N28" s="978"/>
      <c r="O28" s="978"/>
      <c r="P28" s="978"/>
      <c r="Q28" s="978"/>
      <c r="R28" s="978"/>
      <c r="S28" s="978"/>
      <c r="T28" s="978"/>
      <c r="U28" s="978"/>
      <c r="V28" s="978"/>
    </row>
    <row r="29" spans="1:24" ht="20.25">
      <c r="A29" s="969" t="s">
        <v>472</v>
      </c>
      <c r="B29" s="970">
        <v>0</v>
      </c>
      <c r="C29" s="972">
        <v>250000</v>
      </c>
      <c r="D29" s="970">
        <v>0</v>
      </c>
      <c r="E29" s="972">
        <v>-2500</v>
      </c>
      <c r="F29" s="970">
        <v>0</v>
      </c>
      <c r="G29" s="972">
        <v>-10000</v>
      </c>
      <c r="H29" s="970">
        <v>0</v>
      </c>
      <c r="I29" s="973">
        <v>-12000</v>
      </c>
      <c r="J29" s="982">
        <f>SUM(B13+D13+F13+H13+B21+D21+F21+H21+B29+D29+F29+H29)</f>
        <v>0</v>
      </c>
      <c r="K29" s="983">
        <f>E13+I21+C29+E29+G29+I29</f>
        <v>238500</v>
      </c>
      <c r="L29" s="2585" t="s">
        <v>0</v>
      </c>
      <c r="M29" s="978"/>
      <c r="N29" s="978"/>
      <c r="O29" s="978"/>
      <c r="P29" s="978"/>
      <c r="Q29" s="978"/>
      <c r="R29" s="978"/>
      <c r="S29" s="978"/>
      <c r="T29" s="978"/>
      <c r="U29" s="978"/>
      <c r="V29" s="978"/>
    </row>
    <row r="30" spans="1:24" ht="26.25" customHeight="1" thickBot="1">
      <c r="A30" s="984" t="s">
        <v>272</v>
      </c>
      <c r="B30" s="987">
        <f t="shared" ref="B30:I30" si="0">SUM(B28:B29)</f>
        <v>0</v>
      </c>
      <c r="C30" s="988">
        <f t="shared" si="0"/>
        <v>250000</v>
      </c>
      <c r="D30" s="987">
        <f t="shared" si="0"/>
        <v>0</v>
      </c>
      <c r="E30" s="988">
        <f t="shared" si="0"/>
        <v>-2500</v>
      </c>
      <c r="F30" s="985">
        <f t="shared" si="0"/>
        <v>0</v>
      </c>
      <c r="G30" s="988">
        <f t="shared" si="0"/>
        <v>-10000</v>
      </c>
      <c r="H30" s="985">
        <f t="shared" si="0"/>
        <v>0</v>
      </c>
      <c r="I30" s="986">
        <f t="shared" si="0"/>
        <v>-12000</v>
      </c>
      <c r="J30" s="985">
        <f>SUM(J28:J29)</f>
        <v>0</v>
      </c>
      <c r="K30" s="989">
        <f>SUM(K29)</f>
        <v>238500</v>
      </c>
      <c r="L30" s="2585" t="s">
        <v>24</v>
      </c>
    </row>
    <row r="31" spans="1:24" ht="18.75">
      <c r="A31" s="2291"/>
      <c r="B31" s="2291"/>
      <c r="C31" s="2291"/>
      <c r="D31" s="2291"/>
      <c r="E31" s="990"/>
      <c r="F31" s="990"/>
      <c r="G31" s="990"/>
      <c r="H31" s="990"/>
      <c r="I31" s="990"/>
    </row>
  </sheetData>
  <mergeCells count="39">
    <mergeCell ref="A31:D31"/>
    <mergeCell ref="B26:C26"/>
    <mergeCell ref="D26:E26"/>
    <mergeCell ref="F26:G26"/>
    <mergeCell ref="H26:I26"/>
    <mergeCell ref="A23:I23"/>
    <mergeCell ref="A25:A27"/>
    <mergeCell ref="B25:C25"/>
    <mergeCell ref="D25:E25"/>
    <mergeCell ref="F25:G25"/>
    <mergeCell ref="H25:I25"/>
    <mergeCell ref="D10:E10"/>
    <mergeCell ref="F10:G10"/>
    <mergeCell ref="H10:I10"/>
    <mergeCell ref="B9:C9"/>
    <mergeCell ref="D9:E9"/>
    <mergeCell ref="F9:G9"/>
    <mergeCell ref="H9:I9"/>
    <mergeCell ref="A2:I2"/>
    <mergeCell ref="A3:I3"/>
    <mergeCell ref="A4:I4"/>
    <mergeCell ref="A5:I5"/>
    <mergeCell ref="A6:I6"/>
    <mergeCell ref="J25:K26"/>
    <mergeCell ref="B8:I8"/>
    <mergeCell ref="B16:I16"/>
    <mergeCell ref="B24:I24"/>
    <mergeCell ref="A15:I15"/>
    <mergeCell ref="A17:A19"/>
    <mergeCell ref="B17:C17"/>
    <mergeCell ref="D17:E17"/>
    <mergeCell ref="F17:G17"/>
    <mergeCell ref="B18:C18"/>
    <mergeCell ref="D18:E18"/>
    <mergeCell ref="F18:G18"/>
    <mergeCell ref="H18:I18"/>
    <mergeCell ref="H17:I17"/>
    <mergeCell ref="A10:A11"/>
    <mergeCell ref="B10:C10"/>
  </mergeCells>
  <printOptions horizontalCentered="1"/>
  <pageMargins left="0.25" right="0.25" top="0.5" bottom="0.5" header="0.5" footer="0.5"/>
  <pageSetup scale="66" fitToHeight="0" orientation="landscape" r:id="rId1"/>
  <headerFooter alignWithMargins="0">
    <oddFooter>&amp;C&amp;"Times New Roman,Regular"&amp;14Exhibit J - Financial Analysis of Program Changes&amp;R&amp;"Times New Roman,Regular"Justice Assistance</oddFooter>
  </headerFooter>
</worksheet>
</file>

<file path=xl/worksheets/sheet22.xml><?xml version="1.0" encoding="utf-8"?>
<worksheet xmlns="http://schemas.openxmlformats.org/spreadsheetml/2006/main" xmlns:r="http://schemas.openxmlformats.org/officeDocument/2006/relationships">
  <dimension ref="A1:O204"/>
  <sheetViews>
    <sheetView view="pageBreakPreview" zoomScale="75" zoomScaleNormal="75" zoomScaleSheetLayoutView="50" workbookViewId="0">
      <selection activeCell="G40" sqref="G40"/>
    </sheetView>
  </sheetViews>
  <sheetFormatPr defaultRowHeight="15.75"/>
  <cols>
    <col min="1" max="1" width="62.6640625" style="1020" customWidth="1"/>
    <col min="2" max="2" width="8.88671875" style="1020"/>
    <col min="3" max="3" width="10.109375" style="1020" customWidth="1"/>
    <col min="4" max="4" width="8.88671875" style="1020"/>
    <col min="5" max="5" width="10.6640625" style="1020" customWidth="1"/>
    <col min="6" max="6" width="8.88671875" style="1020"/>
    <col min="7" max="7" width="10.5546875" style="1020" bestFit="1" customWidth="1"/>
    <col min="8" max="8" width="8.88671875" style="1020"/>
    <col min="9" max="9" width="10.33203125" style="1020" customWidth="1"/>
    <col min="10" max="12" width="0" style="1020" hidden="1" customWidth="1"/>
    <col min="13" max="13" width="1" style="1069" customWidth="1"/>
    <col min="14" max="14" width="8.88671875" style="949"/>
    <col min="15" max="16384" width="8.88671875" style="1020"/>
  </cols>
  <sheetData>
    <row r="1" spans="1:13" ht="19.149999999999999" customHeight="1">
      <c r="A1" s="2061" t="s">
        <v>236</v>
      </c>
      <c r="B1" s="2295"/>
      <c r="C1" s="2295"/>
      <c r="D1" s="2295"/>
      <c r="E1" s="2295"/>
      <c r="F1" s="2295"/>
      <c r="G1" s="2295"/>
      <c r="H1" s="2295"/>
      <c r="I1" s="2295"/>
      <c r="M1" s="1021" t="s">
        <v>0</v>
      </c>
    </row>
    <row r="2" spans="1:13" ht="19.149999999999999" customHeight="1">
      <c r="A2" s="2296"/>
      <c r="B2" s="2297"/>
      <c r="C2" s="2297"/>
      <c r="D2" s="2297"/>
      <c r="E2" s="2297"/>
      <c r="F2" s="2297"/>
      <c r="G2" s="2297"/>
      <c r="H2" s="2297"/>
      <c r="I2" s="2297"/>
      <c r="M2" s="1021" t="s">
        <v>0</v>
      </c>
    </row>
    <row r="3" spans="1:13" ht="18.75">
      <c r="A3" s="2298" t="s">
        <v>102</v>
      </c>
      <c r="B3" s="2295"/>
      <c r="C3" s="2295"/>
      <c r="D3" s="2295"/>
      <c r="E3" s="2295"/>
      <c r="F3" s="2295"/>
      <c r="G3" s="2295"/>
      <c r="H3" s="2295"/>
      <c r="I3" s="2295"/>
      <c r="M3" s="1021" t="s">
        <v>0</v>
      </c>
    </row>
    <row r="4" spans="1:13" ht="16.5">
      <c r="A4" s="2299" t="str">
        <f>+'B. Summ of Requirements  - JA'!A5</f>
        <v>Office of Justice Programs</v>
      </c>
      <c r="B4" s="2295"/>
      <c r="C4" s="2295"/>
      <c r="D4" s="2295"/>
      <c r="E4" s="2295"/>
      <c r="F4" s="2295"/>
      <c r="G4" s="2295"/>
      <c r="H4" s="2295"/>
      <c r="I4" s="2295"/>
      <c r="M4" s="1021" t="s">
        <v>0</v>
      </c>
    </row>
    <row r="5" spans="1:13" ht="16.5">
      <c r="A5" s="2299" t="str">
        <f>+'B. Summ of Requirements  - JA'!A6</f>
        <v>Justice Assistance</v>
      </c>
      <c r="B5" s="2295"/>
      <c r="C5" s="2295"/>
      <c r="D5" s="2295"/>
      <c r="E5" s="2295"/>
      <c r="F5" s="2295"/>
      <c r="G5" s="2295"/>
      <c r="H5" s="2295"/>
      <c r="I5" s="2295"/>
      <c r="M5" s="1021" t="s">
        <v>0</v>
      </c>
    </row>
    <row r="6" spans="1:13">
      <c r="A6" s="2294" t="s">
        <v>257</v>
      </c>
      <c r="B6" s="2295"/>
      <c r="C6" s="2295"/>
      <c r="D6" s="2295"/>
      <c r="E6" s="2295"/>
      <c r="F6" s="2295"/>
      <c r="G6" s="2295"/>
      <c r="H6" s="2295"/>
      <c r="I6" s="2295"/>
      <c r="M6" s="1021" t="s">
        <v>0</v>
      </c>
    </row>
    <row r="7" spans="1:13" ht="11.25" customHeight="1">
      <c r="A7" s="2213"/>
      <c r="B7" s="2213"/>
      <c r="C7" s="2213"/>
      <c r="D7" s="2213"/>
      <c r="E7" s="2213"/>
      <c r="F7" s="2213"/>
      <c r="G7" s="2213"/>
      <c r="H7" s="2213"/>
      <c r="I7" s="2213"/>
      <c r="M7" s="1021" t="s">
        <v>0</v>
      </c>
    </row>
    <row r="8" spans="1:13" ht="44.25" customHeight="1">
      <c r="A8" s="2302" t="s">
        <v>99</v>
      </c>
      <c r="B8" s="2304" t="s">
        <v>808</v>
      </c>
      <c r="C8" s="2305"/>
      <c r="D8" s="2306" t="s">
        <v>330</v>
      </c>
      <c r="E8" s="2307"/>
      <c r="F8" s="2308" t="s">
        <v>42</v>
      </c>
      <c r="G8" s="2309"/>
      <c r="H8" s="2308" t="s">
        <v>361</v>
      </c>
      <c r="I8" s="2310"/>
      <c r="J8" s="684"/>
      <c r="M8" s="1021" t="s">
        <v>0</v>
      </c>
    </row>
    <row r="9" spans="1:13" ht="25.5" customHeight="1" thickBot="1">
      <c r="A9" s="2303"/>
      <c r="B9" s="1022" t="s">
        <v>49</v>
      </c>
      <c r="C9" s="1023" t="s">
        <v>279</v>
      </c>
      <c r="D9" s="1022" t="s">
        <v>49</v>
      </c>
      <c r="E9" s="1023" t="s">
        <v>279</v>
      </c>
      <c r="F9" s="1022" t="s">
        <v>49</v>
      </c>
      <c r="G9" s="1023" t="s">
        <v>279</v>
      </c>
      <c r="H9" s="1022" t="s">
        <v>49</v>
      </c>
      <c r="I9" s="1024" t="s">
        <v>279</v>
      </c>
      <c r="J9" s="684"/>
      <c r="M9" s="1021" t="s">
        <v>0</v>
      </c>
    </row>
    <row r="10" spans="1:13">
      <c r="A10" s="1025" t="s">
        <v>15</v>
      </c>
      <c r="B10" s="1026"/>
      <c r="C10" s="1027"/>
      <c r="D10" s="1026"/>
      <c r="E10" s="1027"/>
      <c r="F10" s="1026"/>
      <c r="G10" s="1027"/>
      <c r="H10" s="1026"/>
      <c r="I10" s="1028"/>
      <c r="J10" s="684"/>
      <c r="M10" s="1021" t="s">
        <v>0</v>
      </c>
    </row>
    <row r="11" spans="1:13">
      <c r="A11" s="1029" t="s">
        <v>71</v>
      </c>
      <c r="B11" s="1026"/>
      <c r="C11" s="1030"/>
      <c r="D11" s="1026"/>
      <c r="E11" s="1030"/>
      <c r="F11" s="1026"/>
      <c r="G11" s="1030"/>
      <c r="H11" s="1026"/>
      <c r="I11" s="1031"/>
      <c r="J11" s="1032" t="s">
        <v>47</v>
      </c>
      <c r="K11" s="1020" t="s">
        <v>48</v>
      </c>
      <c r="M11" s="1021" t="s">
        <v>0</v>
      </c>
    </row>
    <row r="12" spans="1:13">
      <c r="A12" s="1029" t="s">
        <v>56</v>
      </c>
      <c r="B12" s="1033"/>
      <c r="C12" s="1030"/>
      <c r="D12" s="1033"/>
      <c r="E12" s="1030"/>
      <c r="F12" s="1033"/>
      <c r="G12" s="1030"/>
      <c r="H12" s="1026"/>
      <c r="I12" s="1031"/>
      <c r="J12" s="684">
        <v>93</v>
      </c>
      <c r="M12" s="1021" t="s">
        <v>0</v>
      </c>
    </row>
    <row r="13" spans="1:13">
      <c r="A13" s="1034" t="s">
        <v>58</v>
      </c>
      <c r="B13" s="1035"/>
      <c r="C13" s="1036"/>
      <c r="D13" s="1035"/>
      <c r="E13" s="1036"/>
      <c r="F13" s="1035"/>
      <c r="G13" s="1036"/>
      <c r="H13" s="1035"/>
      <c r="I13" s="1037"/>
      <c r="J13" s="684"/>
      <c r="M13" s="1021" t="s">
        <v>0</v>
      </c>
    </row>
    <row r="14" spans="1:13">
      <c r="A14" s="1034" t="s">
        <v>57</v>
      </c>
      <c r="B14" s="1035"/>
      <c r="C14" s="1036"/>
      <c r="D14" s="1035"/>
      <c r="E14" s="1036"/>
      <c r="F14" s="1035"/>
      <c r="G14" s="1036"/>
      <c r="H14" s="1035"/>
      <c r="I14" s="1037"/>
      <c r="J14" s="684"/>
      <c r="M14" s="1021" t="s">
        <v>0</v>
      </c>
    </row>
    <row r="15" spans="1:13">
      <c r="A15" s="1038" t="s">
        <v>59</v>
      </c>
      <c r="B15" s="1039"/>
      <c r="C15" s="1040"/>
      <c r="D15" s="1039"/>
      <c r="E15" s="1040"/>
      <c r="F15" s="1039"/>
      <c r="G15" s="1040"/>
      <c r="H15" s="1039"/>
      <c r="I15" s="1041"/>
      <c r="J15" s="684"/>
      <c r="M15" s="1021" t="s">
        <v>0</v>
      </c>
    </row>
    <row r="16" spans="1:13">
      <c r="A16" s="1042" t="s">
        <v>16</v>
      </c>
      <c r="B16" s="1043">
        <f>+B10+B11+B12+B15</f>
        <v>0</v>
      </c>
      <c r="C16" s="1044">
        <f t="shared" ref="C16:I16" si="0">+C10+C11+C12+C15</f>
        <v>0</v>
      </c>
      <c r="D16" s="1043">
        <f>+D10+D11+D12+D15</f>
        <v>0</v>
      </c>
      <c r="E16" s="1044">
        <f t="shared" si="0"/>
        <v>0</v>
      </c>
      <c r="F16" s="1043">
        <f t="shared" si="0"/>
        <v>0</v>
      </c>
      <c r="G16" s="1045">
        <f t="shared" si="0"/>
        <v>0</v>
      </c>
      <c r="H16" s="1044">
        <f>+H10+H11+H12+H15</f>
        <v>0</v>
      </c>
      <c r="I16" s="1045">
        <f t="shared" si="0"/>
        <v>0</v>
      </c>
      <c r="J16" s="1046">
        <f>697+630+957+2333</f>
        <v>4617</v>
      </c>
      <c r="K16" s="1020">
        <f>2451-93</f>
        <v>2358</v>
      </c>
      <c r="L16" s="1020">
        <f>+E16-G16</f>
        <v>0</v>
      </c>
      <c r="M16" s="1021" t="s">
        <v>0</v>
      </c>
    </row>
    <row r="17" spans="1:15">
      <c r="A17" s="1029" t="s">
        <v>100</v>
      </c>
      <c r="B17" s="1026"/>
      <c r="C17" s="1030"/>
      <c r="D17" s="1026"/>
      <c r="E17" s="1030"/>
      <c r="F17" s="1026"/>
      <c r="G17" s="1030"/>
      <c r="H17" s="1026"/>
      <c r="I17" s="1031"/>
      <c r="J17" s="684"/>
      <c r="M17" s="1021" t="s">
        <v>0</v>
      </c>
    </row>
    <row r="18" spans="1:15">
      <c r="A18" s="1047" t="s">
        <v>61</v>
      </c>
      <c r="B18" s="1026"/>
      <c r="C18" s="1030"/>
      <c r="D18" s="1026"/>
      <c r="E18" s="1030"/>
      <c r="F18" s="1026"/>
      <c r="G18" s="1030"/>
      <c r="H18" s="1026"/>
      <c r="I18" s="1031"/>
      <c r="J18" s="684">
        <v>359</v>
      </c>
      <c r="K18" s="1020">
        <f>1171+93</f>
        <v>1264</v>
      </c>
      <c r="L18" s="1020">
        <f t="shared" ref="L18:L35" si="1">+E18-G18</f>
        <v>0</v>
      </c>
      <c r="M18" s="1021" t="s">
        <v>0</v>
      </c>
    </row>
    <row r="19" spans="1:15">
      <c r="A19" s="1047" t="s">
        <v>62</v>
      </c>
      <c r="B19" s="1026"/>
      <c r="C19" s="1030"/>
      <c r="D19" s="1026"/>
      <c r="E19" s="1030"/>
      <c r="F19" s="1026"/>
      <c r="G19" s="1030"/>
      <c r="H19" s="1026"/>
      <c r="I19" s="1031"/>
      <c r="J19" s="684"/>
      <c r="K19" s="1020">
        <v>110</v>
      </c>
      <c r="L19" s="1020">
        <f t="shared" si="1"/>
        <v>0</v>
      </c>
      <c r="M19" s="1021" t="s">
        <v>0</v>
      </c>
    </row>
    <row r="20" spans="1:15">
      <c r="A20" s="1047" t="s">
        <v>63</v>
      </c>
      <c r="B20" s="1026"/>
      <c r="C20" s="1030"/>
      <c r="D20" s="1026"/>
      <c r="E20" s="1030"/>
      <c r="F20" s="1026"/>
      <c r="G20" s="1030"/>
      <c r="H20" s="1026"/>
      <c r="I20" s="1031"/>
      <c r="J20" s="684"/>
      <c r="K20" s="1020">
        <v>0</v>
      </c>
      <c r="L20" s="1020">
        <f t="shared" si="1"/>
        <v>0</v>
      </c>
      <c r="M20" s="1021" t="s">
        <v>0</v>
      </c>
    </row>
    <row r="21" spans="1:15">
      <c r="A21" s="1047" t="s">
        <v>234</v>
      </c>
      <c r="B21" s="1026"/>
      <c r="C21" s="1030"/>
      <c r="D21" s="1026"/>
      <c r="E21" s="1030"/>
      <c r="F21" s="1026"/>
      <c r="G21" s="1030"/>
      <c r="H21" s="1026"/>
      <c r="I21" s="1031"/>
      <c r="J21" s="684">
        <f>4220-576</f>
        <v>3644</v>
      </c>
      <c r="L21" s="1020">
        <f t="shared" si="1"/>
        <v>0</v>
      </c>
      <c r="M21" s="1021" t="s">
        <v>0</v>
      </c>
    </row>
    <row r="22" spans="1:15">
      <c r="A22" s="1047" t="s">
        <v>36</v>
      </c>
      <c r="B22" s="1026"/>
      <c r="C22" s="1030"/>
      <c r="D22" s="1026"/>
      <c r="E22" s="1030"/>
      <c r="F22" s="1026"/>
      <c r="G22" s="1030"/>
      <c r="H22" s="1026"/>
      <c r="I22" s="1031"/>
      <c r="J22" s="684"/>
      <c r="L22" s="1020">
        <f t="shared" si="1"/>
        <v>0</v>
      </c>
      <c r="M22" s="1021" t="s">
        <v>0</v>
      </c>
    </row>
    <row r="23" spans="1:15">
      <c r="A23" s="1047" t="s">
        <v>64</v>
      </c>
      <c r="B23" s="1026"/>
      <c r="C23" s="1030"/>
      <c r="D23" s="1026"/>
      <c r="E23" s="1030"/>
      <c r="F23" s="1026"/>
      <c r="G23" s="1030"/>
      <c r="H23" s="1026"/>
      <c r="I23" s="1031"/>
      <c r="J23" s="684">
        <v>332</v>
      </c>
      <c r="K23" s="1020">
        <v>175</v>
      </c>
      <c r="L23" s="1020">
        <f t="shared" si="1"/>
        <v>0</v>
      </c>
      <c r="M23" s="1021" t="s">
        <v>0</v>
      </c>
    </row>
    <row r="24" spans="1:15">
      <c r="A24" s="1047" t="s">
        <v>65</v>
      </c>
      <c r="B24" s="1026"/>
      <c r="C24" s="1030">
        <f>1342+128</f>
        <v>1470</v>
      </c>
      <c r="D24" s="1026"/>
      <c r="E24" s="1030">
        <v>1000</v>
      </c>
      <c r="F24" s="1026"/>
      <c r="G24" s="1030">
        <v>1000</v>
      </c>
      <c r="H24" s="1026"/>
      <c r="I24" s="1031">
        <f t="shared" ref="I24:I39" si="2">G24-C24</f>
        <v>-470</v>
      </c>
      <c r="J24" s="684"/>
      <c r="L24" s="1020">
        <f t="shared" si="1"/>
        <v>0</v>
      </c>
      <c r="M24" s="1021" t="s">
        <v>0</v>
      </c>
    </row>
    <row r="25" spans="1:15">
      <c r="A25" s="1047" t="s">
        <v>66</v>
      </c>
      <c r="B25" s="1026"/>
      <c r="C25" s="1030">
        <v>18000</v>
      </c>
      <c r="D25" s="1026"/>
      <c r="E25" s="1030">
        <v>15000</v>
      </c>
      <c r="F25" s="1026"/>
      <c r="G25" s="1030">
        <v>13000</v>
      </c>
      <c r="H25" s="1026"/>
      <c r="I25" s="1031">
        <f t="shared" si="2"/>
        <v>-5000</v>
      </c>
      <c r="J25" s="684"/>
      <c r="K25" s="1020">
        <v>14918</v>
      </c>
      <c r="L25" s="1020">
        <f t="shared" si="1"/>
        <v>2000</v>
      </c>
      <c r="M25" s="1021" t="s">
        <v>0</v>
      </c>
    </row>
    <row r="26" spans="1:15">
      <c r="A26" s="1047" t="s">
        <v>67</v>
      </c>
      <c r="B26" s="1026"/>
      <c r="C26" s="1030">
        <v>5000</v>
      </c>
      <c r="D26" s="1026"/>
      <c r="E26" s="1030">
        <v>10000</v>
      </c>
      <c r="F26" s="1026"/>
      <c r="G26" s="1030">
        <v>3000</v>
      </c>
      <c r="H26" s="1026"/>
      <c r="I26" s="1031">
        <f t="shared" si="2"/>
        <v>-2000</v>
      </c>
      <c r="J26" s="684">
        <v>276</v>
      </c>
      <c r="K26" s="1020">
        <v>14853</v>
      </c>
      <c r="L26" s="1020">
        <f t="shared" si="1"/>
        <v>7000</v>
      </c>
      <c r="M26" s="1021" t="s">
        <v>0</v>
      </c>
    </row>
    <row r="27" spans="1:15">
      <c r="A27" s="1047" t="s">
        <v>475</v>
      </c>
      <c r="B27" s="1026"/>
      <c r="C27" s="1030">
        <v>36000</v>
      </c>
      <c r="D27" s="1026"/>
      <c r="E27" s="1030">
        <v>30000</v>
      </c>
      <c r="F27" s="1026"/>
      <c r="G27" s="1030">
        <v>24000</v>
      </c>
      <c r="H27" s="1026"/>
      <c r="I27" s="1031">
        <f t="shared" si="2"/>
        <v>-12000</v>
      </c>
      <c r="J27" s="684"/>
      <c r="K27" s="1020">
        <v>135</v>
      </c>
      <c r="L27" s="1020">
        <f t="shared" si="1"/>
        <v>6000</v>
      </c>
      <c r="M27" s="1021" t="s">
        <v>0</v>
      </c>
    </row>
    <row r="28" spans="1:15">
      <c r="A28" s="1047" t="s">
        <v>235</v>
      </c>
      <c r="B28" s="1026"/>
      <c r="C28" s="1030"/>
      <c r="D28" s="1026"/>
      <c r="E28" s="1030"/>
      <c r="F28" s="1026"/>
      <c r="G28" s="1030"/>
      <c r="H28" s="1026"/>
      <c r="I28" s="1031"/>
      <c r="J28" s="684"/>
      <c r="L28" s="1020">
        <f t="shared" si="1"/>
        <v>0</v>
      </c>
      <c r="M28" s="1021" t="s">
        <v>0</v>
      </c>
      <c r="O28" s="1046"/>
    </row>
    <row r="29" spans="1:15">
      <c r="A29" s="1047" t="s">
        <v>476</v>
      </c>
      <c r="B29" s="1026"/>
      <c r="C29" s="1030"/>
      <c r="D29" s="1026"/>
      <c r="E29" s="1030"/>
      <c r="F29" s="1026"/>
      <c r="G29" s="1030"/>
      <c r="H29" s="1026"/>
      <c r="I29" s="1031"/>
      <c r="J29" s="684"/>
      <c r="L29" s="1020">
        <f t="shared" si="1"/>
        <v>0</v>
      </c>
      <c r="M29" s="1021" t="s">
        <v>0</v>
      </c>
    </row>
    <row r="30" spans="1:15">
      <c r="A30" s="1047" t="s">
        <v>241</v>
      </c>
      <c r="B30" s="1026"/>
      <c r="C30" s="1030"/>
      <c r="D30" s="1026"/>
      <c r="E30" s="1030"/>
      <c r="F30" s="1026"/>
      <c r="G30" s="1030"/>
      <c r="H30" s="1026"/>
      <c r="I30" s="1031"/>
      <c r="J30" s="684"/>
      <c r="K30" s="1020">
        <v>10</v>
      </c>
      <c r="L30" s="1020">
        <f t="shared" si="1"/>
        <v>0</v>
      </c>
      <c r="M30" s="1021" t="s">
        <v>0</v>
      </c>
      <c r="O30" s="1046"/>
    </row>
    <row r="31" spans="1:15">
      <c r="A31" s="1047" t="s">
        <v>68</v>
      </c>
      <c r="B31" s="1026"/>
      <c r="C31" s="1030"/>
      <c r="D31" s="1026"/>
      <c r="E31" s="1030"/>
      <c r="F31" s="1026"/>
      <c r="G31" s="1030"/>
      <c r="H31" s="1026"/>
      <c r="I31" s="1031"/>
      <c r="J31" s="684"/>
      <c r="K31" s="1020">
        <v>85</v>
      </c>
      <c r="L31" s="1020">
        <f t="shared" si="1"/>
        <v>0</v>
      </c>
      <c r="M31" s="1021" t="s">
        <v>0</v>
      </c>
      <c r="O31" s="1046"/>
    </row>
    <row r="32" spans="1:15">
      <c r="A32" s="1047" t="s">
        <v>69</v>
      </c>
      <c r="B32" s="1026"/>
      <c r="C32" s="1030"/>
      <c r="D32" s="1026"/>
      <c r="E32" s="1030"/>
      <c r="F32" s="1026"/>
      <c r="G32" s="1030"/>
      <c r="H32" s="1026"/>
      <c r="I32" s="1031"/>
      <c r="J32" s="684"/>
      <c r="K32" s="1020">
        <v>37758</v>
      </c>
      <c r="L32" s="1020">
        <f t="shared" si="1"/>
        <v>0</v>
      </c>
      <c r="M32" s="1021" t="s">
        <v>0</v>
      </c>
    </row>
    <row r="33" spans="1:13">
      <c r="A33" s="1047" t="s">
        <v>477</v>
      </c>
      <c r="B33" s="1026"/>
      <c r="C33" s="1030">
        <v>172000</v>
      </c>
      <c r="D33" s="1026"/>
      <c r="E33" s="1030">
        <f>188676-3269</f>
        <v>185407</v>
      </c>
      <c r="F33" s="1026"/>
      <c r="G33" s="1030">
        <f>137500+250000</f>
        <v>387500</v>
      </c>
      <c r="H33" s="1026"/>
      <c r="I33" s="1031">
        <f t="shared" si="2"/>
        <v>215500</v>
      </c>
      <c r="J33" s="684"/>
      <c r="M33" s="1021" t="s">
        <v>0</v>
      </c>
    </row>
    <row r="34" spans="1:13">
      <c r="A34" s="1048" t="s">
        <v>70</v>
      </c>
      <c r="B34" s="1026"/>
      <c r="C34" s="1049">
        <f>SUM(C16:C33)</f>
        <v>232470</v>
      </c>
      <c r="D34" s="1026"/>
      <c r="E34" s="1049">
        <f>SUM(E16:E33)</f>
        <v>241407</v>
      </c>
      <c r="F34" s="1026"/>
      <c r="G34" s="1049">
        <f>SUM(G16:G33)</f>
        <v>428500</v>
      </c>
      <c r="H34" s="1026"/>
      <c r="I34" s="1050">
        <f>SUM(I16:I33)</f>
        <v>196030</v>
      </c>
      <c r="J34" s="684"/>
      <c r="M34" s="1021" t="s">
        <v>0</v>
      </c>
    </row>
    <row r="35" spans="1:13">
      <c r="A35" s="1051" t="s">
        <v>478</v>
      </c>
      <c r="B35" s="1052"/>
      <c r="C35" s="1030">
        <v>-4035</v>
      </c>
      <c r="D35" s="1647"/>
      <c r="E35" s="1030">
        <v>-9676</v>
      </c>
      <c r="F35" s="1026"/>
      <c r="G35" s="1030">
        <v>0</v>
      </c>
      <c r="H35" s="1648"/>
      <c r="I35" s="1031">
        <f t="shared" si="2"/>
        <v>4035</v>
      </c>
      <c r="J35" s="684">
        <f>SUM(J12:J32)</f>
        <v>9321</v>
      </c>
      <c r="K35" s="1020">
        <f>SUM(K16:K32)</f>
        <v>71666</v>
      </c>
      <c r="L35" s="1020">
        <f t="shared" si="1"/>
        <v>-9676</v>
      </c>
      <c r="M35" s="1021" t="s">
        <v>0</v>
      </c>
    </row>
    <row r="36" spans="1:13" ht="16.899999999999999" customHeight="1">
      <c r="A36" s="1051" t="s">
        <v>479</v>
      </c>
      <c r="B36" s="1052"/>
      <c r="C36" s="1030">
        <v>9676</v>
      </c>
      <c r="D36" s="1647"/>
      <c r="E36" s="1030">
        <v>0</v>
      </c>
      <c r="F36" s="1026"/>
      <c r="G36" s="1030">
        <v>0</v>
      </c>
      <c r="H36" s="1648"/>
      <c r="I36" s="1031">
        <f t="shared" si="2"/>
        <v>-9676</v>
      </c>
      <c r="J36" s="684"/>
      <c r="M36" s="1021" t="s">
        <v>0</v>
      </c>
    </row>
    <row r="37" spans="1:13" ht="16.899999999999999" customHeight="1">
      <c r="A37" s="1051" t="s">
        <v>480</v>
      </c>
      <c r="B37" s="1052"/>
      <c r="C37" s="1030">
        <v>3263</v>
      </c>
      <c r="D37" s="1647"/>
      <c r="E37" s="1655">
        <v>4000</v>
      </c>
      <c r="F37" s="1656"/>
      <c r="G37" s="1655">
        <v>4000</v>
      </c>
      <c r="H37" s="1648"/>
      <c r="I37" s="1031">
        <f t="shared" si="2"/>
        <v>737</v>
      </c>
      <c r="J37" s="684"/>
      <c r="M37" s="1021" t="s">
        <v>0</v>
      </c>
    </row>
    <row r="38" spans="1:13">
      <c r="A38" s="1051" t="s">
        <v>412</v>
      </c>
      <c r="B38" s="1052"/>
      <c r="C38" s="1030">
        <v>4858</v>
      </c>
      <c r="D38" s="1647"/>
      <c r="E38" s="1030">
        <v>0</v>
      </c>
      <c r="F38" s="1026"/>
      <c r="G38" s="1030">
        <v>0</v>
      </c>
      <c r="H38" s="1648"/>
      <c r="I38" s="1031">
        <f t="shared" si="2"/>
        <v>-4858</v>
      </c>
      <c r="J38" s="684"/>
      <c r="M38" s="1021" t="s">
        <v>0</v>
      </c>
    </row>
    <row r="39" spans="1:13">
      <c r="A39" s="1051" t="s">
        <v>481</v>
      </c>
      <c r="B39" s="1052"/>
      <c r="C39" s="1030">
        <v>-11232</v>
      </c>
      <c r="D39" s="1647"/>
      <c r="E39" s="1655">
        <v>-731</v>
      </c>
      <c r="F39" s="1656"/>
      <c r="G39" s="1655">
        <v>-4000</v>
      </c>
      <c r="H39" s="1648"/>
      <c r="I39" s="1031">
        <f t="shared" si="2"/>
        <v>7232</v>
      </c>
      <c r="J39" s="684"/>
      <c r="M39" s="1021" t="s">
        <v>0</v>
      </c>
    </row>
    <row r="40" spans="1:13" ht="16.5" thickBot="1">
      <c r="A40" s="1054" t="s">
        <v>1</v>
      </c>
      <c r="B40" s="1052"/>
      <c r="C40" s="1053">
        <f>SUM(C34:C39)</f>
        <v>235000</v>
      </c>
      <c r="D40" s="1052"/>
      <c r="E40" s="1049">
        <f>SUM(E34:E39)</f>
        <v>235000</v>
      </c>
      <c r="F40" s="1052"/>
      <c r="G40" s="1049">
        <f>SUM(G34:G39)</f>
        <v>428500</v>
      </c>
      <c r="H40" s="1052"/>
      <c r="I40" s="1055">
        <f>SUM(I34:I39)</f>
        <v>193500</v>
      </c>
      <c r="J40" s="684"/>
      <c r="M40" s="1021" t="s">
        <v>0</v>
      </c>
    </row>
    <row r="41" spans="1:13">
      <c r="A41" s="1056"/>
      <c r="B41" s="1057"/>
      <c r="C41" s="1058"/>
      <c r="D41" s="1057"/>
      <c r="E41" s="1058"/>
      <c r="F41" s="1057"/>
      <c r="G41" s="1058"/>
      <c r="H41" s="1057"/>
      <c r="I41" s="1059"/>
      <c r="J41" s="684"/>
      <c r="M41" s="1021" t="s">
        <v>0</v>
      </c>
    </row>
    <row r="42" spans="1:13">
      <c r="A42" s="1060" t="s">
        <v>268</v>
      </c>
      <c r="B42" s="1026"/>
      <c r="C42" s="1030"/>
      <c r="D42" s="1026"/>
      <c r="E42" s="1030"/>
      <c r="F42" s="1026"/>
      <c r="G42" s="1030"/>
      <c r="H42" s="1026"/>
      <c r="I42" s="1031"/>
      <c r="J42" s="684"/>
      <c r="M42" s="1021" t="s">
        <v>0</v>
      </c>
    </row>
    <row r="43" spans="1:13">
      <c r="A43" s="1047" t="s">
        <v>60</v>
      </c>
      <c r="B43" s="1061"/>
      <c r="C43" s="1027"/>
      <c r="D43" s="1061"/>
      <c r="E43" s="1027"/>
      <c r="F43" s="1061"/>
      <c r="G43" s="1027"/>
      <c r="H43" s="1062"/>
      <c r="I43" s="1028"/>
      <c r="J43" s="684"/>
      <c r="M43" s="1021" t="s">
        <v>0</v>
      </c>
    </row>
    <row r="44" spans="1:13">
      <c r="A44" s="1029" t="s">
        <v>2</v>
      </c>
      <c r="B44" s="1026"/>
      <c r="C44" s="1027">
        <v>0</v>
      </c>
      <c r="D44" s="1026"/>
      <c r="E44" s="1027">
        <v>0</v>
      </c>
      <c r="F44" s="1026"/>
      <c r="G44" s="1027">
        <v>0</v>
      </c>
      <c r="H44" s="1062"/>
      <c r="I44" s="1028">
        <f>C44+G44</f>
        <v>0</v>
      </c>
      <c r="J44" s="684"/>
      <c r="M44" s="1021" t="s">
        <v>0</v>
      </c>
    </row>
    <row r="45" spans="1:13">
      <c r="A45" s="1038" t="s">
        <v>3</v>
      </c>
      <c r="B45" s="1063"/>
      <c r="C45" s="1064">
        <v>0</v>
      </c>
      <c r="D45" s="1063"/>
      <c r="E45" s="1064">
        <v>0</v>
      </c>
      <c r="F45" s="1063"/>
      <c r="G45" s="1064">
        <v>0</v>
      </c>
      <c r="H45" s="1065"/>
      <c r="I45" s="1066">
        <f>C45+G45</f>
        <v>0</v>
      </c>
      <c r="J45" s="684"/>
      <c r="M45" s="1021" t="s">
        <v>0</v>
      </c>
    </row>
    <row r="46" spans="1:13">
      <c r="A46" s="928"/>
      <c r="B46" s="1067"/>
      <c r="C46" s="1067"/>
      <c r="D46" s="1067"/>
      <c r="E46" s="1067"/>
      <c r="F46" s="1067"/>
      <c r="G46" s="1067"/>
      <c r="H46" s="1067"/>
      <c r="I46" s="1067"/>
      <c r="J46" s="684"/>
      <c r="M46" s="1021" t="s">
        <v>24</v>
      </c>
    </row>
    <row r="47" spans="1:13">
      <c r="A47" s="2311"/>
      <c r="B47" s="2312"/>
      <c r="C47" s="2312"/>
      <c r="D47" s="2312"/>
      <c r="E47" s="2312"/>
      <c r="F47" s="2312"/>
      <c r="G47" s="2312"/>
      <c r="H47" s="2312"/>
      <c r="I47" s="2312"/>
      <c r="J47" s="2312"/>
      <c r="K47" s="2312"/>
      <c r="L47" s="2312"/>
      <c r="M47" s="2312"/>
    </row>
    <row r="48" spans="1:13">
      <c r="H48" s="1068"/>
      <c r="I48" s="1068"/>
      <c r="J48" s="684"/>
    </row>
    <row r="49" spans="1:14">
      <c r="A49" s="2313"/>
      <c r="B49" s="2313"/>
      <c r="C49" s="2313"/>
      <c r="D49" s="2313"/>
      <c r="E49" s="2313"/>
      <c r="F49" s="2313"/>
      <c r="G49" s="2313"/>
      <c r="H49" s="1067"/>
      <c r="I49" s="1067"/>
      <c r="J49" s="684"/>
    </row>
    <row r="50" spans="1:14">
      <c r="A50" s="1070"/>
      <c r="B50" s="1071"/>
      <c r="C50" s="1071"/>
      <c r="D50" s="1071"/>
      <c r="E50" s="1071"/>
      <c r="F50" s="1071"/>
      <c r="G50" s="1071"/>
      <c r="H50" s="1067"/>
      <c r="I50" s="1067"/>
      <c r="J50" s="684"/>
    </row>
    <row r="51" spans="1:14" ht="41.25" customHeight="1">
      <c r="A51" s="2314"/>
      <c r="B51" s="2315"/>
      <c r="C51" s="2315"/>
      <c r="D51" s="2315"/>
      <c r="E51" s="2315"/>
      <c r="F51" s="2315"/>
      <c r="G51" s="2315"/>
      <c r="H51" s="995"/>
      <c r="I51" s="1072"/>
      <c r="J51" s="684"/>
    </row>
    <row r="52" spans="1:14" ht="14.25" customHeight="1">
      <c r="A52" s="1070"/>
      <c r="B52" s="1073"/>
      <c r="C52" s="1073"/>
      <c r="D52" s="1073"/>
      <c r="E52" s="1073"/>
      <c r="F52" s="1073"/>
      <c r="G52" s="1073"/>
      <c r="H52" s="995"/>
      <c r="I52" s="995"/>
      <c r="J52" s="684"/>
    </row>
    <row r="53" spans="1:14" ht="77.25" customHeight="1">
      <c r="A53" s="2147"/>
      <c r="B53" s="2147"/>
      <c r="C53" s="2147"/>
      <c r="D53" s="2147"/>
      <c r="E53" s="2147"/>
      <c r="F53" s="2147"/>
      <c r="G53" s="2147"/>
      <c r="H53" s="1074"/>
      <c r="I53" s="1072"/>
      <c r="J53" s="684"/>
    </row>
    <row r="54" spans="1:14" ht="12.75" customHeight="1">
      <c r="A54" s="1070"/>
      <c r="B54" s="1073"/>
      <c r="C54" s="1073"/>
      <c r="D54" s="1073"/>
      <c r="E54" s="1073"/>
      <c r="F54" s="1073"/>
      <c r="G54" s="1073"/>
      <c r="H54" s="995"/>
      <c r="I54" s="995"/>
      <c r="J54" s="684"/>
    </row>
    <row r="55" spans="1:14" ht="54" customHeight="1">
      <c r="A55" s="2147"/>
      <c r="B55" s="2301"/>
      <c r="C55" s="2301"/>
      <c r="D55" s="2301"/>
      <c r="E55" s="2301"/>
      <c r="F55" s="2301"/>
      <c r="G55" s="2301"/>
      <c r="H55" s="1074"/>
      <c r="I55" s="1072"/>
      <c r="J55" s="684"/>
    </row>
    <row r="56" spans="1:14" ht="43.5" customHeight="1">
      <c r="A56" s="2300"/>
      <c r="B56" s="2301"/>
      <c r="C56" s="2301"/>
      <c r="D56" s="2301"/>
      <c r="E56" s="2301"/>
      <c r="F56" s="2301"/>
      <c r="G56" s="2301"/>
      <c r="H56" s="995"/>
      <c r="I56" s="995"/>
      <c r="J56" s="684"/>
    </row>
    <row r="57" spans="1:14" ht="62.25" customHeight="1">
      <c r="A57" s="1075"/>
      <c r="B57" s="2147"/>
      <c r="C57" s="2147"/>
      <c r="D57" s="2147"/>
      <c r="E57" s="2147"/>
      <c r="F57" s="2147"/>
      <c r="G57" s="2147"/>
      <c r="H57" s="995"/>
      <c r="I57" s="995"/>
      <c r="J57" s="684"/>
    </row>
    <row r="58" spans="1:14" ht="12" customHeight="1">
      <c r="A58" s="1075"/>
      <c r="B58" s="1073"/>
      <c r="C58" s="1073"/>
      <c r="D58" s="1073"/>
      <c r="E58" s="1073"/>
      <c r="F58" s="1073"/>
      <c r="G58" s="1073"/>
      <c r="H58" s="995"/>
      <c r="I58" s="995"/>
      <c r="J58" s="684"/>
    </row>
    <row r="59" spans="1:14" ht="64.5" customHeight="1">
      <c r="A59" s="2317"/>
      <c r="B59" s="2318"/>
      <c r="C59" s="2318"/>
      <c r="D59" s="2318"/>
      <c r="E59" s="2318"/>
      <c r="F59" s="2318"/>
      <c r="G59" s="2318"/>
      <c r="H59" s="995"/>
      <c r="I59" s="995"/>
      <c r="J59" s="684"/>
    </row>
    <row r="60" spans="1:14" ht="47.25" customHeight="1">
      <c r="A60" s="2317"/>
      <c r="B60" s="2301"/>
      <c r="C60" s="2301"/>
      <c r="D60" s="2301"/>
      <c r="E60" s="2301"/>
      <c r="F60" s="2301"/>
      <c r="G60" s="2301"/>
      <c r="H60" s="995"/>
      <c r="I60" s="995"/>
      <c r="J60" s="684"/>
    </row>
    <row r="61" spans="1:14" ht="60" customHeight="1">
      <c r="A61" s="2317"/>
      <c r="B61" s="2301"/>
      <c r="C61" s="2301"/>
      <c r="D61" s="2301"/>
      <c r="E61" s="2301"/>
      <c r="F61" s="2301"/>
      <c r="G61" s="2301"/>
      <c r="H61" s="995"/>
      <c r="I61" s="995"/>
      <c r="J61" s="684"/>
    </row>
    <row r="62" spans="1:14" ht="15" customHeight="1">
      <c r="A62" s="2256"/>
      <c r="B62" s="2256"/>
      <c r="C62" s="2256"/>
      <c r="D62" s="2256"/>
      <c r="E62" s="2256"/>
      <c r="F62" s="2256"/>
      <c r="G62" s="2256"/>
      <c r="H62" s="2256"/>
      <c r="I62" s="2256"/>
      <c r="J62" s="2256"/>
      <c r="K62" s="2256"/>
      <c r="L62" s="2256"/>
      <c r="M62" s="2256"/>
      <c r="N62" s="2257"/>
    </row>
    <row r="63" spans="1:14" ht="22.9" customHeight="1">
      <c r="A63" s="1076"/>
      <c r="B63" s="2316"/>
      <c r="C63" s="2316"/>
      <c r="D63" s="2316"/>
      <c r="E63" s="2316"/>
      <c r="F63" s="2316"/>
      <c r="G63" s="2316"/>
      <c r="H63" s="2316"/>
      <c r="I63" s="2316"/>
      <c r="J63" s="684"/>
    </row>
    <row r="64" spans="1:14">
      <c r="A64" s="1076"/>
      <c r="B64" s="1076"/>
      <c r="C64" s="1076"/>
      <c r="D64" s="1076"/>
      <c r="E64" s="1076"/>
      <c r="F64" s="1076"/>
      <c r="G64" s="1076"/>
      <c r="H64" s="1077"/>
      <c r="I64" s="1078"/>
      <c r="J64" s="684"/>
    </row>
    <row r="65" spans="1:10">
      <c r="A65" s="1076"/>
      <c r="B65" s="1076"/>
      <c r="C65" s="1076"/>
      <c r="D65" s="1076"/>
      <c r="E65" s="1076"/>
      <c r="F65" s="1076"/>
      <c r="G65" s="1076"/>
      <c r="H65" s="1078"/>
      <c r="I65" s="1078"/>
      <c r="J65" s="684"/>
    </row>
    <row r="66" spans="1:10">
      <c r="A66" s="1076"/>
      <c r="B66" s="1076"/>
      <c r="C66" s="1076"/>
      <c r="D66" s="1076"/>
      <c r="E66" s="1076"/>
      <c r="F66" s="1076"/>
      <c r="G66" s="1076"/>
      <c r="H66" s="1078"/>
      <c r="I66" s="1078"/>
      <c r="J66" s="684"/>
    </row>
    <row r="67" spans="1:10" ht="65.45" customHeight="1">
      <c r="A67" s="1076"/>
      <c r="B67" s="2316"/>
      <c r="C67" s="2316"/>
      <c r="D67" s="2316"/>
      <c r="E67" s="2316"/>
      <c r="F67" s="2316"/>
      <c r="G67" s="2316"/>
      <c r="H67" s="2316"/>
      <c r="I67" s="2316"/>
      <c r="J67" s="684"/>
    </row>
    <row r="68" spans="1:10">
      <c r="H68" s="1079"/>
      <c r="I68" s="1079"/>
      <c r="J68" s="684"/>
    </row>
    <row r="69" spans="1:10">
      <c r="H69" s="1079"/>
      <c r="I69" s="1080"/>
      <c r="J69" s="684"/>
    </row>
    <row r="70" spans="1:10">
      <c r="H70" s="1079"/>
      <c r="I70" s="1079"/>
      <c r="J70" s="684"/>
    </row>
    <row r="71" spans="1:10">
      <c r="H71" s="1079"/>
      <c r="I71" s="1079"/>
      <c r="J71" s="684"/>
    </row>
    <row r="72" spans="1:10">
      <c r="H72" s="1079"/>
      <c r="I72" s="1079"/>
      <c r="J72" s="684"/>
    </row>
    <row r="73" spans="1:10">
      <c r="H73" s="1079"/>
      <c r="I73" s="1079"/>
      <c r="J73" s="684"/>
    </row>
    <row r="74" spans="1:10">
      <c r="H74" s="1079"/>
      <c r="I74" s="1079"/>
      <c r="J74" s="684"/>
    </row>
    <row r="75" spans="1:10">
      <c r="H75" s="1079"/>
      <c r="I75" s="1079"/>
      <c r="J75" s="684"/>
    </row>
    <row r="76" spans="1:10">
      <c r="H76" s="1079"/>
      <c r="I76" s="1079"/>
      <c r="J76" s="684"/>
    </row>
    <row r="77" spans="1:10">
      <c r="H77" s="1079"/>
      <c r="I77" s="1079"/>
      <c r="J77" s="684"/>
    </row>
    <row r="78" spans="1:10">
      <c r="H78" s="1079"/>
      <c r="I78" s="1079"/>
      <c r="J78" s="684"/>
    </row>
    <row r="79" spans="1:10">
      <c r="H79" s="1079"/>
      <c r="I79" s="1079"/>
      <c r="J79" s="684"/>
    </row>
    <row r="80" spans="1:10">
      <c r="H80" s="1079"/>
      <c r="I80" s="1081"/>
      <c r="J80" s="684"/>
    </row>
    <row r="81" spans="8:10">
      <c r="H81" s="1079"/>
      <c r="I81" s="1081"/>
      <c r="J81" s="684"/>
    </row>
    <row r="82" spans="8:10">
      <c r="H82" s="1079"/>
      <c r="I82" s="1079"/>
      <c r="J82" s="684"/>
    </row>
    <row r="83" spans="8:10">
      <c r="H83" s="1079"/>
      <c r="I83" s="1079"/>
      <c r="J83" s="684"/>
    </row>
    <row r="84" spans="8:10">
      <c r="H84" s="1079"/>
      <c r="I84" s="1079"/>
      <c r="J84" s="684"/>
    </row>
    <row r="85" spans="8:10">
      <c r="H85" s="1079"/>
      <c r="I85" s="1079"/>
      <c r="J85" s="684"/>
    </row>
    <row r="86" spans="8:10">
      <c r="H86" s="1079"/>
      <c r="I86" s="1079"/>
      <c r="J86" s="684"/>
    </row>
    <row r="87" spans="8:10">
      <c r="H87" s="1079"/>
      <c r="I87" s="1079"/>
      <c r="J87" s="684"/>
    </row>
    <row r="88" spans="8:10">
      <c r="H88" s="1079"/>
      <c r="I88" s="1079"/>
      <c r="J88" s="684"/>
    </row>
    <row r="89" spans="8:10">
      <c r="H89" s="1079"/>
      <c r="I89" s="1079"/>
      <c r="J89" s="684"/>
    </row>
    <row r="90" spans="8:10">
      <c r="H90" s="1079"/>
      <c r="I90" s="1079"/>
      <c r="J90" s="684"/>
    </row>
    <row r="91" spans="8:10">
      <c r="H91" s="1079"/>
      <c r="I91" s="1079"/>
      <c r="J91" s="684"/>
    </row>
    <row r="92" spans="8:10">
      <c r="H92" s="1079"/>
      <c r="I92" s="1079"/>
      <c r="J92" s="684"/>
    </row>
    <row r="93" spans="8:10">
      <c r="H93" s="1079"/>
      <c r="I93" s="1079"/>
      <c r="J93" s="684"/>
    </row>
    <row r="94" spans="8:10">
      <c r="H94" s="1079"/>
      <c r="I94" s="1079"/>
      <c r="J94" s="684"/>
    </row>
    <row r="95" spans="8:10">
      <c r="H95" s="1082"/>
      <c r="I95" s="1079"/>
      <c r="J95" s="684"/>
    </row>
    <row r="96" spans="8:10">
      <c r="H96" s="684"/>
      <c r="I96" s="684"/>
      <c r="J96" s="684"/>
    </row>
    <row r="97" spans="8:10">
      <c r="H97" s="1083"/>
      <c r="I97" s="1083"/>
      <c r="J97" s="684"/>
    </row>
    <row r="98" spans="8:10">
      <c r="H98" s="1083"/>
      <c r="I98" s="1083"/>
      <c r="J98" s="684"/>
    </row>
    <row r="99" spans="8:10">
      <c r="H99" s="1083"/>
      <c r="I99" s="1083"/>
      <c r="J99" s="684"/>
    </row>
    <row r="100" spans="8:10">
      <c r="H100" s="1083"/>
      <c r="I100" s="1083"/>
      <c r="J100" s="684"/>
    </row>
    <row r="101" spans="8:10">
      <c r="J101" s="684"/>
    </row>
    <row r="102" spans="8:10">
      <c r="J102" s="684"/>
    </row>
    <row r="204" spans="1:1">
      <c r="A204" s="1020" t="s">
        <v>232</v>
      </c>
    </row>
  </sheetData>
  <mergeCells count="25">
    <mergeCell ref="B67:I67"/>
    <mergeCell ref="B57:G57"/>
    <mergeCell ref="A59:G59"/>
    <mergeCell ref="A60:G60"/>
    <mergeCell ref="A61:G61"/>
    <mergeCell ref="A62:N62"/>
    <mergeCell ref="B63:I63"/>
    <mergeCell ref="A56:G56"/>
    <mergeCell ref="A7:I7"/>
    <mergeCell ref="A8:A9"/>
    <mergeCell ref="B8:C8"/>
    <mergeCell ref="D8:E8"/>
    <mergeCell ref="F8:G8"/>
    <mergeCell ref="H8:I8"/>
    <mergeCell ref="A47:M47"/>
    <mergeCell ref="A49:G49"/>
    <mergeCell ref="A51:G51"/>
    <mergeCell ref="A53:G53"/>
    <mergeCell ref="A55:G55"/>
    <mergeCell ref="A6:I6"/>
    <mergeCell ref="A1:I1"/>
    <mergeCell ref="A2:I2"/>
    <mergeCell ref="A3:I3"/>
    <mergeCell ref="A4:I4"/>
    <mergeCell ref="A5:I5"/>
  </mergeCells>
  <printOptions horizontalCentered="1"/>
  <pageMargins left="0.5" right="0.5" top="0.5" bottom="0.25" header="0.5" footer="0.5"/>
  <pageSetup scale="70" orientation="landscape" r:id="rId1"/>
  <headerFooter alignWithMargins="0">
    <oddFooter>&amp;C&amp;"Times New Roman,Regular"Exhibit L - Summary of Requirements by Object Class&amp;R&amp;"Times New Roman,Regular"Justice Assistance</oddFooter>
  </headerFooter>
</worksheet>
</file>

<file path=xl/worksheets/sheet23.xml><?xml version="1.0" encoding="utf-8"?>
<worksheet xmlns="http://schemas.openxmlformats.org/spreadsheetml/2006/main" xmlns:r="http://schemas.openxmlformats.org/officeDocument/2006/relationships">
  <sheetPr>
    <pageSetUpPr fitToPage="1"/>
  </sheetPr>
  <dimension ref="A1:Y199"/>
  <sheetViews>
    <sheetView showGridLines="0" showOutlineSymbols="0" view="pageBreakPreview" zoomScale="60" zoomScaleNormal="100" workbookViewId="0">
      <selection sqref="A1:X1"/>
    </sheetView>
  </sheetViews>
  <sheetFormatPr defaultColWidth="9.6640625" defaultRowHeight="15.75"/>
  <cols>
    <col min="1" max="2" width="2.5546875" style="663" customWidth="1"/>
    <col min="3" max="3" width="56.77734375" style="663" customWidth="1"/>
    <col min="4" max="4" width="6.88671875" style="684" customWidth="1"/>
    <col min="5" max="5" width="6.21875" style="684" customWidth="1"/>
    <col min="6" max="6" width="12.5546875" style="684" bestFit="1" customWidth="1"/>
    <col min="7" max="7" width="8.44140625" style="684" bestFit="1" customWidth="1"/>
    <col min="8" max="8" width="6.21875" style="684" customWidth="1"/>
    <col min="9" max="9" width="12.5546875" style="684" bestFit="1" customWidth="1"/>
    <col min="10" max="10" width="6.21875" style="684" bestFit="1" customWidth="1"/>
    <col min="11" max="11" width="5.6640625" style="684" customWidth="1"/>
    <col min="12" max="12" width="10.88671875" style="684" bestFit="1" customWidth="1"/>
    <col min="13" max="13" width="7" style="684" bestFit="1" customWidth="1"/>
    <col min="14" max="14" width="6.109375" style="684" customWidth="1"/>
    <col min="15" max="15" width="12.109375" style="684" bestFit="1" customWidth="1"/>
    <col min="16" max="17" width="5.6640625" style="684" customWidth="1"/>
    <col min="18" max="18" width="10.44140625" style="684" bestFit="1" customWidth="1"/>
    <col min="19" max="19" width="6.109375" style="684" customWidth="1"/>
    <col min="20" max="20" width="5.6640625" style="684" customWidth="1"/>
    <col min="21" max="21" width="11.5546875" style="684" bestFit="1" customWidth="1"/>
    <col min="22" max="22" width="9.5546875" style="684" customWidth="1"/>
    <col min="23" max="23" width="9.77734375" style="684" bestFit="1" customWidth="1"/>
    <col min="24" max="24" width="13.21875" style="684" bestFit="1" customWidth="1"/>
    <col min="25" max="25" width="6.5546875" style="745" customWidth="1"/>
    <col min="26" max="26" width="6.5546875" style="663" customWidth="1"/>
    <col min="27" max="27" width="7.6640625" style="663" customWidth="1"/>
    <col min="28" max="16384" width="9.6640625" style="663"/>
  </cols>
  <sheetData>
    <row r="1" spans="1:25" ht="20.25">
      <c r="A1" s="2061" t="s">
        <v>34</v>
      </c>
      <c r="B1" s="2062"/>
      <c r="C1" s="2062"/>
      <c r="D1" s="2062"/>
      <c r="E1" s="2062"/>
      <c r="F1" s="2062"/>
      <c r="G1" s="2062"/>
      <c r="H1" s="2062"/>
      <c r="I1" s="2062"/>
      <c r="J1" s="2062"/>
      <c r="K1" s="2062"/>
      <c r="L1" s="2062"/>
      <c r="M1" s="2062"/>
      <c r="N1" s="2062"/>
      <c r="O1" s="2062"/>
      <c r="P1" s="2062"/>
      <c r="Q1" s="2062"/>
      <c r="R1" s="2062"/>
      <c r="S1" s="2062"/>
      <c r="T1" s="2062"/>
      <c r="U1" s="2062"/>
      <c r="V1" s="2062"/>
      <c r="W1" s="2062"/>
      <c r="X1" s="2062"/>
      <c r="Y1" s="662" t="s">
        <v>0</v>
      </c>
    </row>
    <row r="2" spans="1:25">
      <c r="A2" s="2063"/>
      <c r="B2" s="2063"/>
      <c r="C2" s="2063"/>
      <c r="D2" s="2063"/>
      <c r="E2" s="2063"/>
      <c r="F2" s="2063"/>
      <c r="G2" s="2063"/>
      <c r="H2" s="2063"/>
      <c r="I2" s="2063"/>
      <c r="J2" s="2063"/>
      <c r="K2" s="2063"/>
      <c r="L2" s="2063"/>
      <c r="M2" s="2063"/>
      <c r="N2" s="2063"/>
      <c r="O2" s="2063"/>
      <c r="P2" s="2063"/>
      <c r="Q2" s="2063"/>
      <c r="R2" s="2063"/>
      <c r="S2" s="2063"/>
      <c r="T2" s="2063"/>
      <c r="U2" s="2063"/>
      <c r="V2" s="2063"/>
      <c r="W2" s="2063"/>
      <c r="X2" s="2063"/>
      <c r="Y2" s="662" t="s">
        <v>0</v>
      </c>
    </row>
    <row r="3" spans="1:25">
      <c r="A3" s="2064"/>
      <c r="B3" s="2064"/>
      <c r="C3" s="2064"/>
      <c r="D3" s="2064"/>
      <c r="E3" s="2064"/>
      <c r="F3" s="2064"/>
      <c r="G3" s="2064"/>
      <c r="H3" s="2064"/>
      <c r="I3" s="2064"/>
      <c r="J3" s="2064"/>
      <c r="K3" s="2064"/>
      <c r="L3" s="2064"/>
      <c r="M3" s="2064"/>
      <c r="N3" s="2064"/>
      <c r="O3" s="2064"/>
      <c r="P3" s="2064"/>
      <c r="Q3" s="2064"/>
      <c r="R3" s="2064"/>
      <c r="S3" s="2064"/>
      <c r="T3" s="2064"/>
      <c r="U3" s="2064"/>
      <c r="V3" s="2064"/>
      <c r="W3" s="2064"/>
      <c r="X3" s="2064"/>
      <c r="Y3" s="662" t="s">
        <v>0</v>
      </c>
    </row>
    <row r="4" spans="1:25" ht="22.5">
      <c r="A4" s="2065" t="s">
        <v>267</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662" t="s">
        <v>0</v>
      </c>
    </row>
    <row r="5" spans="1:25" ht="23.25">
      <c r="A5" s="2059" t="s">
        <v>362</v>
      </c>
      <c r="B5" s="2066"/>
      <c r="C5" s="2066"/>
      <c r="D5" s="2066"/>
      <c r="E5" s="2066"/>
      <c r="F5" s="2066"/>
      <c r="G5" s="2066"/>
      <c r="H5" s="2066"/>
      <c r="I5" s="2066"/>
      <c r="J5" s="2066"/>
      <c r="K5" s="2066"/>
      <c r="L5" s="2066"/>
      <c r="M5" s="2066"/>
      <c r="N5" s="2066"/>
      <c r="O5" s="2066"/>
      <c r="P5" s="2066"/>
      <c r="Q5" s="2066"/>
      <c r="R5" s="2066"/>
      <c r="S5" s="2066"/>
      <c r="T5" s="2066"/>
      <c r="U5" s="2066"/>
      <c r="V5" s="2066"/>
      <c r="W5" s="2066"/>
      <c r="X5" s="2066"/>
      <c r="Y5" s="662" t="s">
        <v>0</v>
      </c>
    </row>
    <row r="6" spans="1:25" ht="23.25">
      <c r="A6" s="2059" t="s">
        <v>482</v>
      </c>
      <c r="B6" s="2060"/>
      <c r="C6" s="2060"/>
      <c r="D6" s="2060"/>
      <c r="E6" s="2060"/>
      <c r="F6" s="2060"/>
      <c r="G6" s="2060"/>
      <c r="H6" s="2060"/>
      <c r="I6" s="2060"/>
      <c r="J6" s="2060"/>
      <c r="K6" s="2060"/>
      <c r="L6" s="2060"/>
      <c r="M6" s="2060"/>
      <c r="N6" s="2060"/>
      <c r="O6" s="2060"/>
      <c r="P6" s="2060"/>
      <c r="Q6" s="2060"/>
      <c r="R6" s="2060"/>
      <c r="S6" s="2060"/>
      <c r="T6" s="2060"/>
      <c r="U6" s="2060"/>
      <c r="V6" s="2060"/>
      <c r="W6" s="2060"/>
      <c r="X6" s="2060"/>
      <c r="Y6" s="662" t="s">
        <v>0</v>
      </c>
    </row>
    <row r="7" spans="1:25" ht="23.25">
      <c r="A7" s="2059" t="s">
        <v>257</v>
      </c>
      <c r="B7" s="2066"/>
      <c r="C7" s="2066"/>
      <c r="D7" s="2066"/>
      <c r="E7" s="2066"/>
      <c r="F7" s="2066"/>
      <c r="G7" s="2066"/>
      <c r="H7" s="2066"/>
      <c r="I7" s="2066"/>
      <c r="J7" s="2066"/>
      <c r="K7" s="2066"/>
      <c r="L7" s="2066"/>
      <c r="M7" s="2066"/>
      <c r="N7" s="2066"/>
      <c r="O7" s="2066"/>
      <c r="P7" s="2066"/>
      <c r="Q7" s="2066"/>
      <c r="R7" s="2066"/>
      <c r="S7" s="2066"/>
      <c r="T7" s="2066"/>
      <c r="U7" s="2066"/>
      <c r="V7" s="2066"/>
      <c r="W7" s="2066"/>
      <c r="X7" s="2066"/>
      <c r="Y7" s="662" t="s">
        <v>0</v>
      </c>
    </row>
    <row r="8" spans="1:25" ht="23.25">
      <c r="A8" s="2067"/>
      <c r="B8" s="2067"/>
      <c r="C8" s="2067"/>
      <c r="D8" s="2067"/>
      <c r="E8" s="2067"/>
      <c r="F8" s="2067"/>
      <c r="G8" s="2067"/>
      <c r="H8" s="2067"/>
      <c r="I8" s="2067"/>
      <c r="J8" s="2067"/>
      <c r="K8" s="2067"/>
      <c r="L8" s="2067"/>
      <c r="M8" s="2067"/>
      <c r="N8" s="2067"/>
      <c r="O8" s="2067"/>
      <c r="P8" s="2067"/>
      <c r="Q8" s="2067"/>
      <c r="R8" s="2067"/>
      <c r="S8" s="2067"/>
      <c r="T8" s="2067"/>
      <c r="U8" s="2067"/>
      <c r="V8" s="2067"/>
      <c r="W8" s="2067"/>
      <c r="X8" s="2067"/>
      <c r="Y8" s="662" t="s">
        <v>0</v>
      </c>
    </row>
    <row r="9" spans="1:25" ht="15" customHeight="1">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662" t="s">
        <v>0</v>
      </c>
    </row>
    <row r="10" spans="1:25">
      <c r="A10" s="2064"/>
      <c r="B10" s="2064"/>
      <c r="C10" s="2064"/>
      <c r="D10" s="2064"/>
      <c r="E10" s="2064"/>
      <c r="F10" s="2064"/>
      <c r="G10" s="2064"/>
      <c r="H10" s="2064"/>
      <c r="I10" s="2064"/>
      <c r="J10" s="2064"/>
      <c r="K10" s="2064"/>
      <c r="L10" s="2064"/>
      <c r="M10" s="2064"/>
      <c r="N10" s="2064"/>
      <c r="O10" s="2064"/>
      <c r="P10" s="2064"/>
      <c r="Q10" s="2064"/>
      <c r="R10" s="2064"/>
      <c r="S10" s="2064"/>
      <c r="T10" s="2064"/>
      <c r="U10" s="2068"/>
      <c r="V10" s="2071" t="s">
        <v>40</v>
      </c>
      <c r="W10" s="2072"/>
      <c r="X10" s="2073"/>
      <c r="Y10" s="662" t="s">
        <v>0</v>
      </c>
    </row>
    <row r="11" spans="1:25">
      <c r="A11" s="2064"/>
      <c r="B11" s="2064"/>
      <c r="C11" s="2064"/>
      <c r="D11" s="2064"/>
      <c r="E11" s="2064"/>
      <c r="F11" s="2064"/>
      <c r="G11" s="2064"/>
      <c r="H11" s="2064"/>
      <c r="I11" s="2064"/>
      <c r="J11" s="2064"/>
      <c r="K11" s="2064"/>
      <c r="L11" s="2064"/>
      <c r="M11" s="2064"/>
      <c r="N11" s="2064"/>
      <c r="O11" s="2064"/>
      <c r="P11" s="2064"/>
      <c r="Q11" s="2064"/>
      <c r="R11" s="2064"/>
      <c r="S11" s="2064"/>
      <c r="T11" s="2064"/>
      <c r="U11" s="2068"/>
      <c r="V11" s="2074" t="s">
        <v>21</v>
      </c>
      <c r="W11" s="2076" t="s">
        <v>49</v>
      </c>
      <c r="X11" s="2078" t="s">
        <v>279</v>
      </c>
      <c r="Y11" s="662" t="s">
        <v>0</v>
      </c>
    </row>
    <row r="12" spans="1:25" ht="16.5" thickBot="1">
      <c r="A12" s="2069"/>
      <c r="B12" s="2069"/>
      <c r="C12" s="2069"/>
      <c r="D12" s="2069"/>
      <c r="E12" s="2069"/>
      <c r="F12" s="2069"/>
      <c r="G12" s="2069"/>
      <c r="H12" s="2069"/>
      <c r="I12" s="2069"/>
      <c r="J12" s="2069"/>
      <c r="K12" s="2069"/>
      <c r="L12" s="2069"/>
      <c r="M12" s="2069"/>
      <c r="N12" s="2069"/>
      <c r="O12" s="2069"/>
      <c r="P12" s="2069"/>
      <c r="Q12" s="2069"/>
      <c r="R12" s="2069"/>
      <c r="S12" s="2069"/>
      <c r="T12" s="2069"/>
      <c r="U12" s="2070"/>
      <c r="V12" s="2075"/>
      <c r="W12" s="2077"/>
      <c r="X12" s="2077"/>
      <c r="Y12" s="662" t="s">
        <v>0</v>
      </c>
    </row>
    <row r="13" spans="1:25" s="1087" customFormat="1">
      <c r="A13" s="2325" t="s">
        <v>116</v>
      </c>
      <c r="B13" s="2326"/>
      <c r="C13" s="2326"/>
      <c r="D13" s="2326"/>
      <c r="E13" s="2326"/>
      <c r="F13" s="2326"/>
      <c r="G13" s="2326"/>
      <c r="H13" s="2326"/>
      <c r="I13" s="2326"/>
      <c r="J13" s="2326"/>
      <c r="K13" s="2326"/>
      <c r="L13" s="2326"/>
      <c r="M13" s="2326"/>
      <c r="N13" s="2326"/>
      <c r="O13" s="2326"/>
      <c r="P13" s="2326"/>
      <c r="Q13" s="2326"/>
      <c r="R13" s="2326"/>
      <c r="S13" s="2326"/>
      <c r="T13" s="2326"/>
      <c r="U13" s="2326"/>
      <c r="V13" s="1084">
        <v>0</v>
      </c>
      <c r="W13" s="1084">
        <v>0</v>
      </c>
      <c r="X13" s="1085">
        <v>1492492</v>
      </c>
      <c r="Y13" s="1086" t="s">
        <v>0</v>
      </c>
    </row>
    <row r="14" spans="1:25" s="1087" customFormat="1">
      <c r="A14" s="2327" t="s">
        <v>483</v>
      </c>
      <c r="B14" s="2328"/>
      <c r="C14" s="2328"/>
      <c r="D14" s="2328"/>
      <c r="E14" s="2328"/>
      <c r="F14" s="2328"/>
      <c r="G14" s="2328"/>
      <c r="H14" s="2328"/>
      <c r="I14" s="2328"/>
      <c r="J14" s="2328"/>
      <c r="K14" s="2328"/>
      <c r="L14" s="2328"/>
      <c r="M14" s="2328"/>
      <c r="N14" s="2328"/>
      <c r="O14" s="2328"/>
      <c r="P14" s="2328"/>
      <c r="Q14" s="2328"/>
      <c r="R14" s="2328"/>
      <c r="S14" s="2328"/>
      <c r="T14" s="2328"/>
      <c r="U14" s="2329"/>
      <c r="V14" s="1088"/>
      <c r="W14" s="1088"/>
      <c r="X14" s="1089">
        <v>203000</v>
      </c>
      <c r="Y14" s="1086" t="s">
        <v>0</v>
      </c>
    </row>
    <row r="15" spans="1:25" s="1087" customFormat="1">
      <c r="A15" s="2330" t="s">
        <v>484</v>
      </c>
      <c r="B15" s="2331"/>
      <c r="C15" s="2331"/>
      <c r="D15" s="2331"/>
      <c r="E15" s="2331"/>
      <c r="F15" s="2331"/>
      <c r="G15" s="2331"/>
      <c r="H15" s="2331"/>
      <c r="I15" s="2331"/>
      <c r="J15" s="2331"/>
      <c r="K15" s="2331"/>
      <c r="L15" s="2331"/>
      <c r="M15" s="2331"/>
      <c r="N15" s="2331"/>
      <c r="O15" s="2331"/>
      <c r="P15" s="2331"/>
      <c r="Q15" s="2331"/>
      <c r="R15" s="2331"/>
      <c r="S15" s="2331"/>
      <c r="T15" s="2331"/>
      <c r="U15" s="2332"/>
      <c r="V15" s="1090"/>
      <c r="W15" s="1090"/>
      <c r="X15" s="1091">
        <v>3000</v>
      </c>
      <c r="Y15" s="1086" t="s">
        <v>0</v>
      </c>
    </row>
    <row r="16" spans="1:25" s="1087" customFormat="1">
      <c r="A16" s="2330" t="s">
        <v>485</v>
      </c>
      <c r="B16" s="2331"/>
      <c r="C16" s="2331"/>
      <c r="D16" s="2331"/>
      <c r="E16" s="2331"/>
      <c r="F16" s="2331"/>
      <c r="G16" s="2331"/>
      <c r="H16" s="2331"/>
      <c r="I16" s="2331"/>
      <c r="J16" s="2331"/>
      <c r="K16" s="2331"/>
      <c r="L16" s="2331"/>
      <c r="M16" s="2331"/>
      <c r="N16" s="2331"/>
      <c r="O16" s="2331"/>
      <c r="P16" s="2331"/>
      <c r="Q16" s="2331"/>
      <c r="R16" s="2331"/>
      <c r="S16" s="2331"/>
      <c r="T16" s="2331"/>
      <c r="U16" s="2332"/>
      <c r="V16" s="1090"/>
      <c r="W16" s="1090"/>
      <c r="X16" s="1091">
        <v>1500</v>
      </c>
      <c r="Y16" s="1086" t="s">
        <v>0</v>
      </c>
    </row>
    <row r="17" spans="1:25" s="1087" customFormat="1">
      <c r="A17" s="1092" t="s">
        <v>412</v>
      </c>
      <c r="B17" s="1093"/>
      <c r="C17" s="1093"/>
      <c r="D17" s="1093"/>
      <c r="E17" s="1093"/>
      <c r="F17" s="1093"/>
      <c r="G17" s="1093"/>
      <c r="H17" s="1093"/>
      <c r="I17" s="1093"/>
      <c r="J17" s="1093"/>
      <c r="K17" s="1093"/>
      <c r="L17" s="1093"/>
      <c r="M17" s="1093"/>
      <c r="N17" s="1093"/>
      <c r="O17" s="1093"/>
      <c r="P17" s="1093"/>
      <c r="Q17" s="1093"/>
      <c r="R17" s="1093"/>
      <c r="S17" s="1093"/>
      <c r="T17" s="1093"/>
      <c r="U17" s="1093"/>
      <c r="V17" s="1090"/>
      <c r="W17" s="1090"/>
      <c r="X17" s="1091">
        <v>-19818</v>
      </c>
      <c r="Y17" s="1086" t="s">
        <v>0</v>
      </c>
    </row>
    <row r="18" spans="1:25" s="1087" customFormat="1" ht="20.25" customHeight="1">
      <c r="A18" s="2333" t="s">
        <v>242</v>
      </c>
      <c r="B18" s="2334"/>
      <c r="C18" s="2334"/>
      <c r="D18" s="2334"/>
      <c r="E18" s="2334"/>
      <c r="F18" s="2334"/>
      <c r="G18" s="2334"/>
      <c r="H18" s="2334"/>
      <c r="I18" s="2334"/>
      <c r="J18" s="2334"/>
      <c r="K18" s="2334"/>
      <c r="L18" s="2334"/>
      <c r="M18" s="2334"/>
      <c r="N18" s="2334"/>
      <c r="O18" s="2334"/>
      <c r="P18" s="2334"/>
      <c r="Q18" s="2334"/>
      <c r="R18" s="2334"/>
      <c r="S18" s="2334"/>
      <c r="T18" s="2334"/>
      <c r="U18" s="2334"/>
      <c r="V18" s="1094"/>
      <c r="W18" s="1094"/>
      <c r="X18" s="1095">
        <v>0</v>
      </c>
      <c r="Y18" s="1086" t="s">
        <v>0</v>
      </c>
    </row>
    <row r="19" spans="1:25" s="1087" customFormat="1">
      <c r="A19" s="2335" t="s">
        <v>117</v>
      </c>
      <c r="B19" s="2336"/>
      <c r="C19" s="2336"/>
      <c r="D19" s="2336"/>
      <c r="E19" s="2336"/>
      <c r="F19" s="2336"/>
      <c r="G19" s="2336"/>
      <c r="H19" s="2336"/>
      <c r="I19" s="2336"/>
      <c r="J19" s="2336"/>
      <c r="K19" s="2336"/>
      <c r="L19" s="2336"/>
      <c r="M19" s="2336"/>
      <c r="N19" s="2336"/>
      <c r="O19" s="2336"/>
      <c r="P19" s="2336"/>
      <c r="Q19" s="2336"/>
      <c r="R19" s="2336"/>
      <c r="S19" s="2336"/>
      <c r="T19" s="2336"/>
      <c r="U19" s="2336"/>
      <c r="V19" s="1096">
        <f>+V18+V13</f>
        <v>0</v>
      </c>
      <c r="W19" s="1096">
        <f>+W18+W13</f>
        <v>0</v>
      </c>
      <c r="X19" s="1097">
        <f>SUM(X13:X18)</f>
        <v>1680174</v>
      </c>
      <c r="Y19" s="1086" t="s">
        <v>0</v>
      </c>
    </row>
    <row r="20" spans="1:25" s="1087" customFormat="1">
      <c r="A20" s="2325" t="s">
        <v>353</v>
      </c>
      <c r="B20" s="2326"/>
      <c r="C20" s="2326"/>
      <c r="D20" s="2326"/>
      <c r="E20" s="2326"/>
      <c r="F20" s="2326"/>
      <c r="G20" s="2326"/>
      <c r="H20" s="2326"/>
      <c r="I20" s="2326"/>
      <c r="J20" s="2326"/>
      <c r="K20" s="2326"/>
      <c r="L20" s="2326"/>
      <c r="M20" s="2326"/>
      <c r="N20" s="2326"/>
      <c r="O20" s="2326"/>
      <c r="P20" s="2326"/>
      <c r="Q20" s="2326"/>
      <c r="R20" s="2326"/>
      <c r="S20" s="2326"/>
      <c r="T20" s="2326"/>
      <c r="U20" s="2326"/>
      <c r="V20" s="1098">
        <v>0</v>
      </c>
      <c r="W20" s="1098">
        <v>0</v>
      </c>
      <c r="X20" s="1099">
        <v>1490768</v>
      </c>
      <c r="Y20" s="1086" t="s">
        <v>0</v>
      </c>
    </row>
    <row r="21" spans="1:25" s="1087" customFormat="1" ht="18.75" customHeight="1">
      <c r="A21" s="2337" t="s">
        <v>41</v>
      </c>
      <c r="B21" s="2338"/>
      <c r="C21" s="2338"/>
      <c r="D21" s="2338"/>
      <c r="E21" s="2338"/>
      <c r="F21" s="2338"/>
      <c r="G21" s="2338"/>
      <c r="H21" s="2338"/>
      <c r="I21" s="2338"/>
      <c r="J21" s="2338"/>
      <c r="K21" s="2338"/>
      <c r="L21" s="2338"/>
      <c r="M21" s="2338"/>
      <c r="N21" s="2338"/>
      <c r="O21" s="2338"/>
      <c r="P21" s="2338"/>
      <c r="Q21" s="2338"/>
      <c r="R21" s="2338"/>
      <c r="S21" s="2338"/>
      <c r="T21" s="2338"/>
      <c r="U21" s="2338"/>
      <c r="V21" s="1100"/>
      <c r="W21" s="1100"/>
      <c r="X21" s="1101">
        <v>0</v>
      </c>
      <c r="Y21" s="1086" t="s">
        <v>0</v>
      </c>
    </row>
    <row r="22" spans="1:25" s="1087" customFormat="1">
      <c r="A22" s="2339" t="s">
        <v>354</v>
      </c>
      <c r="B22" s="2340"/>
      <c r="C22" s="2340"/>
      <c r="D22" s="2340"/>
      <c r="E22" s="2340"/>
      <c r="F22" s="2340"/>
      <c r="G22" s="2340"/>
      <c r="H22" s="2340"/>
      <c r="I22" s="2340"/>
      <c r="J22" s="2340"/>
      <c r="K22" s="2340"/>
      <c r="L22" s="2340"/>
      <c r="M22" s="2340"/>
      <c r="N22" s="2340"/>
      <c r="O22" s="2340"/>
      <c r="P22" s="2340"/>
      <c r="Q22" s="2340"/>
      <c r="R22" s="2340"/>
      <c r="S22" s="2340"/>
      <c r="T22" s="2340"/>
      <c r="U22" s="2340"/>
      <c r="V22" s="1102">
        <f>+V21+V20</f>
        <v>0</v>
      </c>
      <c r="W22" s="1102">
        <f>+W21+W20</f>
        <v>0</v>
      </c>
      <c r="X22" s="1103">
        <f>+X21+X20</f>
        <v>1490768</v>
      </c>
      <c r="Y22" s="1086" t="s">
        <v>0</v>
      </c>
    </row>
    <row r="23" spans="1:25" s="1087" customFormat="1">
      <c r="A23" s="2333" t="s">
        <v>104</v>
      </c>
      <c r="B23" s="2334"/>
      <c r="C23" s="2334"/>
      <c r="D23" s="2334"/>
      <c r="E23" s="2334"/>
      <c r="F23" s="2334"/>
      <c r="G23" s="2334"/>
      <c r="H23" s="2334"/>
      <c r="I23" s="2334"/>
      <c r="J23" s="2334"/>
      <c r="K23" s="2334"/>
      <c r="L23" s="2334"/>
      <c r="M23" s="2334"/>
      <c r="N23" s="2334"/>
      <c r="O23" s="2334"/>
      <c r="P23" s="2334"/>
      <c r="Q23" s="2334"/>
      <c r="R23" s="2334"/>
      <c r="S23" s="2334"/>
      <c r="T23" s="2334"/>
      <c r="U23" s="2334"/>
      <c r="V23" s="1104"/>
      <c r="W23" s="1104"/>
      <c r="X23" s="1095"/>
      <c r="Y23" s="1086" t="s">
        <v>0</v>
      </c>
    </row>
    <row r="24" spans="1:25" s="1087" customFormat="1">
      <c r="A24" s="2098" t="s">
        <v>431</v>
      </c>
      <c r="B24" s="2319"/>
      <c r="C24" s="2319"/>
      <c r="D24" s="2319"/>
      <c r="E24" s="2319"/>
      <c r="F24" s="2319"/>
      <c r="G24" s="2319"/>
      <c r="H24" s="2319"/>
      <c r="I24" s="2319"/>
      <c r="J24" s="2319"/>
      <c r="K24" s="2319"/>
      <c r="L24" s="2319"/>
      <c r="M24" s="2319"/>
      <c r="N24" s="2319"/>
      <c r="O24" s="2319"/>
      <c r="P24" s="2319"/>
      <c r="Q24" s="2319"/>
      <c r="R24" s="2319"/>
      <c r="S24" s="2319"/>
      <c r="T24" s="2319"/>
      <c r="U24" s="2319"/>
      <c r="V24" s="1104"/>
      <c r="W24" s="1104"/>
      <c r="X24" s="1095">
        <v>45000</v>
      </c>
      <c r="Y24" s="1086" t="s">
        <v>0</v>
      </c>
    </row>
    <row r="25" spans="1:25" s="1087" customFormat="1">
      <c r="A25" s="2098" t="s">
        <v>490</v>
      </c>
      <c r="B25" s="2319"/>
      <c r="C25" s="2319"/>
      <c r="D25" s="2319"/>
      <c r="E25" s="2319"/>
      <c r="F25" s="2319"/>
      <c r="G25" s="2319"/>
      <c r="H25" s="2319"/>
      <c r="I25" s="2319"/>
      <c r="J25" s="2319"/>
      <c r="K25" s="2319"/>
      <c r="L25" s="2319"/>
      <c r="M25" s="2319"/>
      <c r="N25" s="2319"/>
      <c r="O25" s="2319"/>
      <c r="P25" s="2319"/>
      <c r="Q25" s="2319"/>
      <c r="R25" s="2319"/>
      <c r="S25" s="2319"/>
      <c r="T25" s="2319"/>
      <c r="U25" s="2319"/>
      <c r="V25" s="1104"/>
      <c r="W25" s="1104"/>
      <c r="X25" s="1095">
        <v>161000</v>
      </c>
      <c r="Y25" s="1086" t="s">
        <v>0</v>
      </c>
    </row>
    <row r="26" spans="1:25" s="1087" customFormat="1">
      <c r="A26" s="2098" t="s">
        <v>806</v>
      </c>
      <c r="B26" s="2319"/>
      <c r="C26" s="2319"/>
      <c r="D26" s="2319"/>
      <c r="E26" s="2319"/>
      <c r="F26" s="2319"/>
      <c r="G26" s="2319"/>
      <c r="H26" s="2319"/>
      <c r="I26" s="2319"/>
      <c r="J26" s="2319"/>
      <c r="K26" s="2319"/>
      <c r="L26" s="2319"/>
      <c r="M26" s="2319"/>
      <c r="N26" s="2319"/>
      <c r="O26" s="2319"/>
      <c r="P26" s="2319"/>
      <c r="Q26" s="2319"/>
      <c r="R26" s="2319"/>
      <c r="S26" s="2319"/>
      <c r="T26" s="2319"/>
      <c r="U26" s="2319"/>
      <c r="V26" s="1104"/>
      <c r="W26" s="1104"/>
      <c r="X26" s="1095">
        <v>1000</v>
      </c>
      <c r="Y26" s="1086" t="s">
        <v>0</v>
      </c>
    </row>
    <row r="27" spans="1:25" s="1087" customFormat="1">
      <c r="A27" s="2098" t="s">
        <v>486</v>
      </c>
      <c r="B27" s="2319"/>
      <c r="C27" s="2319"/>
      <c r="D27" s="2319"/>
      <c r="E27" s="2319"/>
      <c r="F27" s="2319"/>
      <c r="G27" s="2319"/>
      <c r="H27" s="2319"/>
      <c r="I27" s="2319"/>
      <c r="J27" s="2319"/>
      <c r="K27" s="2319"/>
      <c r="L27" s="2319"/>
      <c r="M27" s="2319"/>
      <c r="N27" s="2319"/>
      <c r="O27" s="2319"/>
      <c r="P27" s="2319"/>
      <c r="Q27" s="2319"/>
      <c r="R27" s="2319"/>
      <c r="S27" s="2319"/>
      <c r="T27" s="2319"/>
      <c r="U27" s="2319"/>
      <c r="V27" s="1104"/>
      <c r="W27" s="1104"/>
      <c r="X27" s="1095">
        <v>44000</v>
      </c>
      <c r="Y27" s="1086" t="s">
        <v>0</v>
      </c>
    </row>
    <row r="28" spans="1:25" s="1087" customFormat="1">
      <c r="A28" s="2322" t="s">
        <v>38</v>
      </c>
      <c r="B28" s="2323"/>
      <c r="C28" s="2323"/>
      <c r="D28" s="2323"/>
      <c r="E28" s="2323"/>
      <c r="F28" s="2323"/>
      <c r="G28" s="2323"/>
      <c r="H28" s="2323"/>
      <c r="I28" s="2323"/>
      <c r="J28" s="2323"/>
      <c r="K28" s="2323"/>
      <c r="L28" s="2323"/>
      <c r="M28" s="2323"/>
      <c r="N28" s="2323"/>
      <c r="O28" s="2323"/>
      <c r="P28" s="2323"/>
      <c r="Q28" s="2323"/>
      <c r="R28" s="2323"/>
      <c r="S28" s="2323"/>
      <c r="T28" s="2323"/>
      <c r="U28" s="2324"/>
      <c r="V28" s="1104"/>
      <c r="W28" s="1104"/>
      <c r="X28" s="1104">
        <f>SUM(X24:X27)</f>
        <v>251000</v>
      </c>
      <c r="Y28" s="1086" t="s">
        <v>0</v>
      </c>
    </row>
    <row r="29" spans="1:25" s="1087" customFormat="1">
      <c r="A29" s="2341" t="s">
        <v>244</v>
      </c>
      <c r="B29" s="2342"/>
      <c r="C29" s="2342"/>
      <c r="D29" s="2342"/>
      <c r="E29" s="2342"/>
      <c r="F29" s="2342"/>
      <c r="G29" s="2342"/>
      <c r="H29" s="2342"/>
      <c r="I29" s="2342"/>
      <c r="J29" s="2342"/>
      <c r="K29" s="2342"/>
      <c r="L29" s="2342"/>
      <c r="M29" s="2342"/>
      <c r="N29" s="2342"/>
      <c r="O29" s="2342"/>
      <c r="P29" s="2342"/>
      <c r="Q29" s="2342"/>
      <c r="R29" s="2342"/>
      <c r="S29" s="2342"/>
      <c r="T29" s="2342"/>
      <c r="U29" s="2343"/>
      <c r="V29" s="1105">
        <f>+V28+V22</f>
        <v>0</v>
      </c>
      <c r="W29" s="1105">
        <f>+W28+W22</f>
        <v>0</v>
      </c>
      <c r="X29" s="1105">
        <f>+X28+X22</f>
        <v>1741768</v>
      </c>
      <c r="Y29" s="1086" t="s">
        <v>0</v>
      </c>
    </row>
    <row r="30" spans="1:25" s="1087" customFormat="1">
      <c r="A30" s="2320" t="s">
        <v>105</v>
      </c>
      <c r="B30" s="2321"/>
      <c r="C30" s="2321"/>
      <c r="D30" s="2321"/>
      <c r="E30" s="2321"/>
      <c r="F30" s="2321"/>
      <c r="G30" s="2321"/>
      <c r="H30" s="2321"/>
      <c r="I30" s="2321"/>
      <c r="J30" s="2321"/>
      <c r="K30" s="2321"/>
      <c r="L30" s="2321"/>
      <c r="M30" s="2321"/>
      <c r="N30" s="2321"/>
      <c r="O30" s="2321"/>
      <c r="P30" s="2321"/>
      <c r="Q30" s="2321"/>
      <c r="R30" s="2321"/>
      <c r="S30" s="2321"/>
      <c r="T30" s="2321"/>
      <c r="U30" s="2321"/>
      <c r="V30" s="1104"/>
      <c r="W30" s="1104"/>
      <c r="X30" s="1095"/>
      <c r="Y30" s="1086" t="s">
        <v>0</v>
      </c>
    </row>
    <row r="31" spans="1:25" s="1087" customFormat="1">
      <c r="A31" s="2322" t="s">
        <v>280</v>
      </c>
      <c r="B31" s="2344"/>
      <c r="C31" s="2344"/>
      <c r="D31" s="2344"/>
      <c r="E31" s="2344"/>
      <c r="F31" s="2344"/>
      <c r="G31" s="2344"/>
      <c r="H31" s="2344"/>
      <c r="I31" s="2344"/>
      <c r="J31" s="2344"/>
      <c r="K31" s="2344"/>
      <c r="L31" s="2344"/>
      <c r="M31" s="2344"/>
      <c r="N31" s="2344"/>
      <c r="O31" s="2344"/>
      <c r="P31" s="2344"/>
      <c r="Q31" s="2344"/>
      <c r="R31" s="2344"/>
      <c r="S31" s="2344"/>
      <c r="T31" s="2344"/>
      <c r="U31" s="2344"/>
      <c r="V31" s="1104" t="s">
        <v>278</v>
      </c>
      <c r="W31" s="1104"/>
      <c r="X31" s="1095"/>
      <c r="Y31" s="1086" t="s">
        <v>0</v>
      </c>
    </row>
    <row r="32" spans="1:25" s="1087" customFormat="1">
      <c r="A32" s="2098" t="s">
        <v>487</v>
      </c>
      <c r="B32" s="2345"/>
      <c r="C32" s="2345"/>
      <c r="D32" s="2345"/>
      <c r="E32" s="2345"/>
      <c r="F32" s="2345"/>
      <c r="G32" s="2345"/>
      <c r="H32" s="2345"/>
      <c r="I32" s="2345"/>
      <c r="J32" s="2345"/>
      <c r="K32" s="2345"/>
      <c r="L32" s="2345"/>
      <c r="M32" s="2345"/>
      <c r="N32" s="2345"/>
      <c r="O32" s="2345"/>
      <c r="P32" s="2345"/>
      <c r="Q32" s="2345"/>
      <c r="R32" s="2345"/>
      <c r="S32" s="2345"/>
      <c r="T32" s="2345"/>
      <c r="U32" s="2346"/>
      <c r="V32" s="1104"/>
      <c r="W32" s="1104"/>
      <c r="X32" s="1095">
        <v>30000</v>
      </c>
      <c r="Y32" s="1086" t="s">
        <v>0</v>
      </c>
    </row>
    <row r="33" spans="1:25" s="1087" customFormat="1">
      <c r="A33" s="1106" t="s">
        <v>488</v>
      </c>
      <c r="B33" s="1107"/>
      <c r="C33" s="1107"/>
      <c r="D33" s="1107"/>
      <c r="E33" s="1107"/>
      <c r="F33" s="1107"/>
      <c r="G33" s="1107"/>
      <c r="H33" s="1107"/>
      <c r="I33" s="1107"/>
      <c r="J33" s="1107"/>
      <c r="K33" s="1107"/>
      <c r="L33" s="1107"/>
      <c r="M33" s="1107"/>
      <c r="N33" s="1107"/>
      <c r="O33" s="1107"/>
      <c r="P33" s="1107"/>
      <c r="Q33" s="1107"/>
      <c r="R33" s="1107"/>
      <c r="S33" s="1107"/>
      <c r="T33" s="1107"/>
      <c r="U33" s="1108"/>
      <c r="V33" s="1104"/>
      <c r="W33" s="1104"/>
      <c r="X33" s="1095">
        <v>25000</v>
      </c>
      <c r="Y33" s="1086" t="s">
        <v>0</v>
      </c>
    </row>
    <row r="34" spans="1:25" s="1087" customFormat="1">
      <c r="A34" s="1106" t="s">
        <v>489</v>
      </c>
      <c r="B34" s="1107"/>
      <c r="C34" s="1107"/>
      <c r="D34" s="1107"/>
      <c r="E34" s="1107"/>
      <c r="F34" s="1107"/>
      <c r="G34" s="1107"/>
      <c r="H34" s="1107"/>
      <c r="I34" s="1107"/>
      <c r="J34" s="1107"/>
      <c r="K34" s="1107"/>
      <c r="L34" s="1107"/>
      <c r="M34" s="1107"/>
      <c r="N34" s="1107"/>
      <c r="O34" s="1107"/>
      <c r="P34" s="1107"/>
      <c r="Q34" s="1107"/>
      <c r="R34" s="1107"/>
      <c r="S34" s="1107"/>
      <c r="T34" s="1107"/>
      <c r="U34" s="1108"/>
      <c r="V34" s="1104"/>
      <c r="W34" s="1104"/>
      <c r="X34" s="1095">
        <v>2500</v>
      </c>
      <c r="Y34" s="1086" t="s">
        <v>0</v>
      </c>
    </row>
    <row r="35" spans="1:25" s="1087" customFormat="1">
      <c r="A35" s="1106" t="s">
        <v>491</v>
      </c>
      <c r="B35" s="1107"/>
      <c r="C35" s="1107"/>
      <c r="D35" s="1107"/>
      <c r="E35" s="1107"/>
      <c r="F35" s="1107"/>
      <c r="G35" s="1107"/>
      <c r="H35" s="1107"/>
      <c r="I35" s="1107"/>
      <c r="J35" s="1107"/>
      <c r="K35" s="1107"/>
      <c r="L35" s="1107"/>
      <c r="M35" s="1107"/>
      <c r="N35" s="1107"/>
      <c r="O35" s="1107"/>
      <c r="P35" s="1107"/>
      <c r="Q35" s="1107"/>
      <c r="R35" s="1107"/>
      <c r="S35" s="1107"/>
      <c r="T35" s="1107"/>
      <c r="U35" s="1108"/>
      <c r="V35" s="1104"/>
      <c r="W35" s="1104"/>
      <c r="X35" s="1095">
        <v>8000</v>
      </c>
      <c r="Y35" s="1086" t="s">
        <v>0</v>
      </c>
    </row>
    <row r="36" spans="1:25" s="1087" customFormat="1">
      <c r="A36" s="1106" t="s">
        <v>492</v>
      </c>
      <c r="B36" s="1107"/>
      <c r="C36" s="1107"/>
      <c r="D36" s="1107"/>
      <c r="E36" s="1107"/>
      <c r="F36" s="1107"/>
      <c r="G36" s="1107"/>
      <c r="H36" s="1107"/>
      <c r="I36" s="1107"/>
      <c r="J36" s="1107"/>
      <c r="K36" s="1107"/>
      <c r="L36" s="1107"/>
      <c r="M36" s="1107"/>
      <c r="N36" s="1107"/>
      <c r="O36" s="1107"/>
      <c r="P36" s="1107"/>
      <c r="Q36" s="1107"/>
      <c r="R36" s="1107"/>
      <c r="S36" s="1107"/>
      <c r="T36" s="1107"/>
      <c r="U36" s="1108"/>
      <c r="V36" s="1104"/>
      <c r="W36" s="1104"/>
      <c r="X36" s="1095">
        <v>30000</v>
      </c>
      <c r="Y36" s="1086" t="s">
        <v>0</v>
      </c>
    </row>
    <row r="37" spans="1:25" s="1087" customFormat="1">
      <c r="A37" s="1106" t="s">
        <v>493</v>
      </c>
      <c r="B37" s="1107"/>
      <c r="C37" s="1107"/>
      <c r="D37" s="1107"/>
      <c r="E37" s="1107"/>
      <c r="F37" s="1107"/>
      <c r="G37" s="1107"/>
      <c r="H37" s="1107"/>
      <c r="I37" s="1107"/>
      <c r="J37" s="1107"/>
      <c r="K37" s="1107"/>
      <c r="L37" s="1107"/>
      <c r="M37" s="1107"/>
      <c r="N37" s="1107"/>
      <c r="O37" s="1107"/>
      <c r="P37" s="1107"/>
      <c r="Q37" s="1107"/>
      <c r="R37" s="1107"/>
      <c r="S37" s="1107"/>
      <c r="T37" s="1107"/>
      <c r="U37" s="1108"/>
      <c r="V37" s="1104"/>
      <c r="W37" s="1104"/>
      <c r="X37" s="1095">
        <v>12000</v>
      </c>
      <c r="Y37" s="1086" t="s">
        <v>0</v>
      </c>
    </row>
    <row r="38" spans="1:25" s="1087" customFormat="1">
      <c r="A38" s="1109" t="s">
        <v>494</v>
      </c>
      <c r="B38" s="1107"/>
      <c r="C38" s="1107"/>
      <c r="D38" s="1107"/>
      <c r="E38" s="1107"/>
      <c r="F38" s="1107"/>
      <c r="G38" s="1107"/>
      <c r="H38" s="1107"/>
      <c r="I38" s="1107"/>
      <c r="J38" s="1107"/>
      <c r="K38" s="1107"/>
      <c r="L38" s="1107"/>
      <c r="M38" s="1107"/>
      <c r="N38" s="1107"/>
      <c r="O38" s="1107"/>
      <c r="P38" s="1107"/>
      <c r="Q38" s="1107"/>
      <c r="R38" s="1107"/>
      <c r="S38" s="1107"/>
      <c r="T38" s="1107"/>
      <c r="U38" s="1108"/>
      <c r="V38" s="1104"/>
      <c r="W38" s="1104"/>
      <c r="X38" s="1095">
        <v>500</v>
      </c>
      <c r="Y38" s="662" t="s">
        <v>0</v>
      </c>
    </row>
    <row r="39" spans="1:25" s="1087" customFormat="1">
      <c r="A39" s="1106" t="s">
        <v>495</v>
      </c>
      <c r="B39" s="1107"/>
      <c r="C39" s="1107"/>
      <c r="D39" s="1107"/>
      <c r="E39" s="1107"/>
      <c r="F39" s="1107"/>
      <c r="G39" s="1107"/>
      <c r="H39" s="1107"/>
      <c r="I39" s="1107"/>
      <c r="J39" s="1107"/>
      <c r="K39" s="1107"/>
      <c r="L39" s="1107"/>
      <c r="M39" s="1107"/>
      <c r="N39" s="1107"/>
      <c r="O39" s="1107"/>
      <c r="P39" s="1107"/>
      <c r="Q39" s="1107"/>
      <c r="R39" s="1107"/>
      <c r="S39" s="1107"/>
      <c r="T39" s="1107"/>
      <c r="U39" s="1108"/>
      <c r="V39" s="1104"/>
      <c r="W39" s="1104"/>
      <c r="X39" s="1095">
        <v>3500</v>
      </c>
      <c r="Y39" s="1086" t="s">
        <v>0</v>
      </c>
    </row>
    <row r="40" spans="1:25" s="1087" customFormat="1">
      <c r="A40" s="1106" t="s">
        <v>496</v>
      </c>
      <c r="B40" s="1107"/>
      <c r="C40" s="1107"/>
      <c r="D40" s="1107"/>
      <c r="E40" s="1107"/>
      <c r="F40" s="1107"/>
      <c r="G40" s="1107"/>
      <c r="H40" s="1107"/>
      <c r="I40" s="1107"/>
      <c r="J40" s="1107"/>
      <c r="K40" s="1107"/>
      <c r="L40" s="1107"/>
      <c r="M40" s="1107"/>
      <c r="N40" s="1107"/>
      <c r="O40" s="1107"/>
      <c r="P40" s="1107"/>
      <c r="Q40" s="1107"/>
      <c r="R40" s="1107"/>
      <c r="S40" s="1107"/>
      <c r="T40" s="1107"/>
      <c r="U40" s="1108"/>
      <c r="V40" s="1104"/>
      <c r="W40" s="1104"/>
      <c r="X40" s="1095">
        <v>57000</v>
      </c>
      <c r="Y40" s="1086" t="s">
        <v>0</v>
      </c>
    </row>
    <row r="41" spans="1:25" s="1087" customFormat="1">
      <c r="A41" s="2098" t="s">
        <v>497</v>
      </c>
      <c r="B41" s="2345"/>
      <c r="C41" s="2345"/>
      <c r="D41" s="2345"/>
      <c r="E41" s="2345"/>
      <c r="F41" s="2345"/>
      <c r="G41" s="2345"/>
      <c r="H41" s="2345"/>
      <c r="I41" s="2345"/>
      <c r="J41" s="2345"/>
      <c r="K41" s="2345"/>
      <c r="L41" s="2345"/>
      <c r="M41" s="2345"/>
      <c r="N41" s="2345"/>
      <c r="O41" s="2345"/>
      <c r="P41" s="2345"/>
      <c r="Q41" s="2345"/>
      <c r="R41" s="2345"/>
      <c r="S41" s="2345"/>
      <c r="T41" s="2345"/>
      <c r="U41" s="2346"/>
      <c r="V41" s="1104"/>
      <c r="W41" s="1104"/>
      <c r="X41" s="1095">
        <v>10000</v>
      </c>
      <c r="Y41" s="1086" t="s">
        <v>0</v>
      </c>
    </row>
    <row r="42" spans="1:25" s="1087" customFormat="1">
      <c r="A42" s="2347" t="s">
        <v>107</v>
      </c>
      <c r="B42" s="2348"/>
      <c r="C42" s="2348"/>
      <c r="D42" s="2348"/>
      <c r="E42" s="2348"/>
      <c r="F42" s="2348"/>
      <c r="G42" s="2348"/>
      <c r="H42" s="2348"/>
      <c r="I42" s="2348"/>
      <c r="J42" s="2348"/>
      <c r="K42" s="2348"/>
      <c r="L42" s="2348"/>
      <c r="M42" s="2348"/>
      <c r="N42" s="2348"/>
      <c r="O42" s="2348"/>
      <c r="P42" s="2348"/>
      <c r="Q42" s="2348"/>
      <c r="R42" s="2348"/>
      <c r="S42" s="2348"/>
      <c r="T42" s="2348"/>
      <c r="U42" s="2348"/>
      <c r="V42" s="1110">
        <f>SUM(V32:V41)</f>
        <v>0</v>
      </c>
      <c r="W42" s="1111">
        <f>SUM(W32:W41)</f>
        <v>0</v>
      </c>
      <c r="X42" s="1111">
        <f>SUM(X32:X41)</f>
        <v>178500</v>
      </c>
      <c r="Y42" s="1086" t="s">
        <v>0</v>
      </c>
    </row>
    <row r="43" spans="1:25" ht="20.25">
      <c r="A43" s="2061" t="s">
        <v>34</v>
      </c>
      <c r="B43" s="2062"/>
      <c r="C43" s="2062"/>
      <c r="D43" s="2062"/>
      <c r="E43" s="2062"/>
      <c r="F43" s="2062"/>
      <c r="G43" s="2062"/>
      <c r="H43" s="2062"/>
      <c r="I43" s="2062"/>
      <c r="J43" s="2062"/>
      <c r="K43" s="2062"/>
      <c r="L43" s="2062"/>
      <c r="M43" s="2062"/>
      <c r="N43" s="2062"/>
      <c r="O43" s="2062"/>
      <c r="P43" s="2062"/>
      <c r="Q43" s="2062"/>
      <c r="R43" s="2062"/>
      <c r="S43" s="2062"/>
      <c r="T43" s="2062"/>
      <c r="U43" s="2062"/>
      <c r="V43" s="2062"/>
      <c r="W43" s="2062"/>
      <c r="X43" s="2062"/>
      <c r="Y43" s="662" t="s">
        <v>0</v>
      </c>
    </row>
    <row r="44" spans="1:25">
      <c r="A44" s="2063"/>
      <c r="B44" s="2063"/>
      <c r="C44" s="2063"/>
      <c r="D44" s="2063"/>
      <c r="E44" s="2063"/>
      <c r="F44" s="2063"/>
      <c r="G44" s="2063"/>
      <c r="H44" s="2063"/>
      <c r="I44" s="2063"/>
      <c r="J44" s="2063"/>
      <c r="K44" s="2063"/>
      <c r="L44" s="2063"/>
      <c r="M44" s="2063"/>
      <c r="N44" s="2063"/>
      <c r="O44" s="2063"/>
      <c r="P44" s="2063"/>
      <c r="Q44" s="2063"/>
      <c r="R44" s="2063"/>
      <c r="S44" s="2063"/>
      <c r="T44" s="2063"/>
      <c r="U44" s="2063"/>
      <c r="V44" s="2063"/>
      <c r="W44" s="2063"/>
      <c r="X44" s="2063"/>
      <c r="Y44" s="662" t="s">
        <v>0</v>
      </c>
    </row>
    <row r="45" spans="1:25">
      <c r="A45" s="2064"/>
      <c r="B45" s="2064"/>
      <c r="C45" s="2064"/>
      <c r="D45" s="2064"/>
      <c r="E45" s="2064"/>
      <c r="F45" s="2064"/>
      <c r="G45" s="2064"/>
      <c r="H45" s="2064"/>
      <c r="I45" s="2064"/>
      <c r="J45" s="2064"/>
      <c r="K45" s="2064"/>
      <c r="L45" s="2064"/>
      <c r="M45" s="2064"/>
      <c r="N45" s="2064"/>
      <c r="O45" s="2064"/>
      <c r="P45" s="2064"/>
      <c r="Q45" s="2064"/>
      <c r="R45" s="2064"/>
      <c r="S45" s="2064"/>
      <c r="T45" s="2064"/>
      <c r="U45" s="2064"/>
      <c r="V45" s="2064"/>
      <c r="W45" s="2064"/>
      <c r="X45" s="2064"/>
      <c r="Y45" s="662" t="s">
        <v>0</v>
      </c>
    </row>
    <row r="46" spans="1:25" ht="22.5">
      <c r="A46" s="2065" t="s">
        <v>267</v>
      </c>
      <c r="B46" s="2060"/>
      <c r="C46" s="2060"/>
      <c r="D46" s="2060"/>
      <c r="E46" s="2060"/>
      <c r="F46" s="2060"/>
      <c r="G46" s="2060"/>
      <c r="H46" s="2060"/>
      <c r="I46" s="2060"/>
      <c r="J46" s="2060"/>
      <c r="K46" s="2060"/>
      <c r="L46" s="2060"/>
      <c r="M46" s="2060"/>
      <c r="N46" s="2060"/>
      <c r="O46" s="2060"/>
      <c r="P46" s="2060"/>
      <c r="Q46" s="2060"/>
      <c r="R46" s="2060"/>
      <c r="S46" s="2060"/>
      <c r="T46" s="2060"/>
      <c r="U46" s="2060"/>
      <c r="V46" s="2060"/>
      <c r="W46" s="2060"/>
      <c r="X46" s="2060"/>
      <c r="Y46" s="662" t="s">
        <v>0</v>
      </c>
    </row>
    <row r="47" spans="1:25" ht="23.25">
      <c r="A47" s="2059" t="s">
        <v>362</v>
      </c>
      <c r="B47" s="2066"/>
      <c r="C47" s="2066"/>
      <c r="D47" s="2066"/>
      <c r="E47" s="2066"/>
      <c r="F47" s="2066"/>
      <c r="G47" s="2066"/>
      <c r="H47" s="2066"/>
      <c r="I47" s="2066"/>
      <c r="J47" s="2066"/>
      <c r="K47" s="2066"/>
      <c r="L47" s="2066"/>
      <c r="M47" s="2066"/>
      <c r="N47" s="2066"/>
      <c r="O47" s="2066"/>
      <c r="P47" s="2066"/>
      <c r="Q47" s="2066"/>
      <c r="R47" s="2066"/>
      <c r="S47" s="2066"/>
      <c r="T47" s="2066"/>
      <c r="U47" s="2066"/>
      <c r="V47" s="2066"/>
      <c r="W47" s="2066"/>
      <c r="X47" s="2066"/>
      <c r="Y47" s="662" t="s">
        <v>0</v>
      </c>
    </row>
    <row r="48" spans="1:25" ht="23.25">
      <c r="A48" s="2059" t="s">
        <v>482</v>
      </c>
      <c r="B48" s="2060"/>
      <c r="C48" s="2060"/>
      <c r="D48" s="2060"/>
      <c r="E48" s="2060"/>
      <c r="F48" s="2060"/>
      <c r="G48" s="2060"/>
      <c r="H48" s="2060"/>
      <c r="I48" s="2060"/>
      <c r="J48" s="2060"/>
      <c r="K48" s="2060"/>
      <c r="L48" s="2060"/>
      <c r="M48" s="2060"/>
      <c r="N48" s="2060"/>
      <c r="O48" s="2060"/>
      <c r="P48" s="2060"/>
      <c r="Q48" s="2060"/>
      <c r="R48" s="2060"/>
      <c r="S48" s="2060"/>
      <c r="T48" s="2060"/>
      <c r="U48" s="2060"/>
      <c r="V48" s="2060"/>
      <c r="W48" s="2060"/>
      <c r="X48" s="2060"/>
      <c r="Y48" s="662" t="s">
        <v>0</v>
      </c>
    </row>
    <row r="49" spans="1:25" ht="23.25">
      <c r="A49" s="2059" t="s">
        <v>257</v>
      </c>
      <c r="B49" s="2066"/>
      <c r="C49" s="2066"/>
      <c r="D49" s="2066"/>
      <c r="E49" s="2066"/>
      <c r="F49" s="2066"/>
      <c r="G49" s="2066"/>
      <c r="H49" s="2066"/>
      <c r="I49" s="2066"/>
      <c r="J49" s="2066"/>
      <c r="K49" s="2066"/>
      <c r="L49" s="2066"/>
      <c r="M49" s="2066"/>
      <c r="N49" s="2066"/>
      <c r="O49" s="2066"/>
      <c r="P49" s="2066"/>
      <c r="Q49" s="2066"/>
      <c r="R49" s="2066"/>
      <c r="S49" s="2066"/>
      <c r="T49" s="2066"/>
      <c r="U49" s="2066"/>
      <c r="V49" s="2066"/>
      <c r="W49" s="2066"/>
      <c r="X49" s="2066"/>
      <c r="Y49" s="662" t="s">
        <v>0</v>
      </c>
    </row>
    <row r="50" spans="1:25" ht="23.25">
      <c r="A50" s="2067"/>
      <c r="B50" s="2067"/>
      <c r="C50" s="2067"/>
      <c r="D50" s="2067"/>
      <c r="E50" s="2067"/>
      <c r="F50" s="2067"/>
      <c r="G50" s="2067"/>
      <c r="H50" s="2067"/>
      <c r="I50" s="2067"/>
      <c r="J50" s="2067"/>
      <c r="K50" s="2067"/>
      <c r="L50" s="2067"/>
      <c r="M50" s="2067"/>
      <c r="N50" s="2067"/>
      <c r="O50" s="2067"/>
      <c r="P50" s="2067"/>
      <c r="Q50" s="2067"/>
      <c r="R50" s="2067"/>
      <c r="S50" s="2067"/>
      <c r="T50" s="2067"/>
      <c r="U50" s="2067"/>
      <c r="V50" s="2067"/>
      <c r="W50" s="2067"/>
      <c r="X50" s="2067"/>
      <c r="Y50" s="662" t="s">
        <v>0</v>
      </c>
    </row>
    <row r="51" spans="1:25">
      <c r="A51" s="2064"/>
      <c r="B51" s="2064"/>
      <c r="C51" s="2064"/>
      <c r="D51" s="2064"/>
      <c r="E51" s="2064"/>
      <c r="F51" s="2064"/>
      <c r="G51" s="2064"/>
      <c r="H51" s="2064"/>
      <c r="I51" s="2064"/>
      <c r="J51" s="2064"/>
      <c r="K51" s="2064"/>
      <c r="L51" s="2064"/>
      <c r="M51" s="2064"/>
      <c r="N51" s="2064"/>
      <c r="O51" s="2064"/>
      <c r="P51" s="2064"/>
      <c r="Q51" s="2064"/>
      <c r="R51" s="2064"/>
      <c r="S51" s="2064"/>
      <c r="T51" s="2064"/>
      <c r="U51" s="2068"/>
      <c r="V51" s="2071" t="s">
        <v>40</v>
      </c>
      <c r="W51" s="2072"/>
      <c r="X51" s="2073"/>
      <c r="Y51" s="662" t="s">
        <v>0</v>
      </c>
    </row>
    <row r="52" spans="1:25">
      <c r="A52" s="2064"/>
      <c r="B52" s="2064"/>
      <c r="C52" s="2064"/>
      <c r="D52" s="2064"/>
      <c r="E52" s="2064"/>
      <c r="F52" s="2064"/>
      <c r="G52" s="2064"/>
      <c r="H52" s="2064"/>
      <c r="I52" s="2064"/>
      <c r="J52" s="2064"/>
      <c r="K52" s="2064"/>
      <c r="L52" s="2064"/>
      <c r="M52" s="2064"/>
      <c r="N52" s="2064"/>
      <c r="O52" s="2064"/>
      <c r="P52" s="2064"/>
      <c r="Q52" s="2064"/>
      <c r="R52" s="2064"/>
      <c r="S52" s="2064"/>
      <c r="T52" s="2064"/>
      <c r="U52" s="2068"/>
      <c r="V52" s="2074" t="s">
        <v>21</v>
      </c>
      <c r="W52" s="2076" t="s">
        <v>49</v>
      </c>
      <c r="X52" s="2078" t="s">
        <v>279</v>
      </c>
      <c r="Y52" s="662" t="s">
        <v>0</v>
      </c>
    </row>
    <row r="53" spans="1:25" ht="16.5" thickBot="1">
      <c r="A53" s="2069"/>
      <c r="B53" s="2069"/>
      <c r="C53" s="2069"/>
      <c r="D53" s="2069"/>
      <c r="E53" s="2069"/>
      <c r="F53" s="2069"/>
      <c r="G53" s="2069"/>
      <c r="H53" s="2069"/>
      <c r="I53" s="2069"/>
      <c r="J53" s="2069"/>
      <c r="K53" s="2069"/>
      <c r="L53" s="2069"/>
      <c r="M53" s="2069"/>
      <c r="N53" s="2069"/>
      <c r="O53" s="2069"/>
      <c r="P53" s="2069"/>
      <c r="Q53" s="2069"/>
      <c r="R53" s="2069"/>
      <c r="S53" s="2069"/>
      <c r="T53" s="2069"/>
      <c r="U53" s="2070"/>
      <c r="V53" s="2075"/>
      <c r="W53" s="2077"/>
      <c r="X53" s="2077"/>
      <c r="Y53" s="662" t="s">
        <v>0</v>
      </c>
    </row>
    <row r="54" spans="1:25" s="1087" customFormat="1">
      <c r="A54" s="2320" t="s">
        <v>105</v>
      </c>
      <c r="B54" s="2321"/>
      <c r="C54" s="2321"/>
      <c r="D54" s="2321"/>
      <c r="E54" s="2321"/>
      <c r="F54" s="2321"/>
      <c r="G54" s="2321"/>
      <c r="H54" s="2321"/>
      <c r="I54" s="2321"/>
      <c r="J54" s="2321"/>
      <c r="K54" s="2321"/>
      <c r="L54" s="2321"/>
      <c r="M54" s="2321"/>
      <c r="N54" s="2321"/>
      <c r="O54" s="2321"/>
      <c r="P54" s="2321"/>
      <c r="Q54" s="2321"/>
      <c r="R54" s="2321"/>
      <c r="S54" s="2321"/>
      <c r="T54" s="2321"/>
      <c r="U54" s="2321"/>
      <c r="V54" s="1104"/>
      <c r="W54" s="1104"/>
      <c r="X54" s="1095"/>
      <c r="Y54" s="1086" t="s">
        <v>0</v>
      </c>
    </row>
    <row r="55" spans="1:25">
      <c r="A55" s="2349" t="s">
        <v>289</v>
      </c>
      <c r="B55" s="2350"/>
      <c r="C55" s="2350"/>
      <c r="D55" s="2350"/>
      <c r="E55" s="2350"/>
      <c r="F55" s="2350"/>
      <c r="G55" s="2350"/>
      <c r="H55" s="2350"/>
      <c r="I55" s="2350"/>
      <c r="J55" s="2350"/>
      <c r="K55" s="2350"/>
      <c r="L55" s="2350"/>
      <c r="M55" s="2350"/>
      <c r="N55" s="2350"/>
      <c r="O55" s="2350"/>
      <c r="P55" s="2350"/>
      <c r="Q55" s="2350"/>
      <c r="R55" s="2350"/>
      <c r="S55" s="2350"/>
      <c r="T55" s="2350"/>
      <c r="U55" s="2350"/>
      <c r="V55" s="1112"/>
      <c r="W55" s="1112"/>
      <c r="X55" s="1113"/>
      <c r="Y55" s="662" t="s">
        <v>0</v>
      </c>
    </row>
    <row r="56" spans="1:25">
      <c r="A56" s="1109" t="s">
        <v>498</v>
      </c>
      <c r="B56" s="1114"/>
      <c r="C56" s="1114"/>
      <c r="D56" s="1114"/>
      <c r="E56" s="1114"/>
      <c r="F56" s="1114"/>
      <c r="G56" s="1114"/>
      <c r="H56" s="1114"/>
      <c r="I56" s="1114"/>
      <c r="J56" s="1114"/>
      <c r="K56" s="1114"/>
      <c r="L56" s="1114"/>
      <c r="M56" s="1114"/>
      <c r="N56" s="1114"/>
      <c r="O56" s="1114"/>
      <c r="P56" s="1114"/>
      <c r="Q56" s="1114"/>
      <c r="R56" s="1114"/>
      <c r="S56" s="1114"/>
      <c r="T56" s="1114"/>
      <c r="U56" s="1114"/>
      <c r="V56" s="676"/>
      <c r="W56" s="676"/>
      <c r="X56" s="667">
        <v>-15000</v>
      </c>
      <c r="Y56" s="662" t="s">
        <v>0</v>
      </c>
    </row>
    <row r="57" spans="1:25">
      <c r="A57" s="1109" t="s">
        <v>499</v>
      </c>
      <c r="B57" s="1114"/>
      <c r="C57" s="1114"/>
      <c r="D57" s="1114"/>
      <c r="E57" s="1114"/>
      <c r="F57" s="1114"/>
      <c r="G57" s="1114"/>
      <c r="H57" s="1114"/>
      <c r="I57" s="1114"/>
      <c r="J57" s="1114"/>
      <c r="K57" s="1114"/>
      <c r="L57" s="1114"/>
      <c r="M57" s="1114"/>
      <c r="N57" s="1114"/>
      <c r="O57" s="1114"/>
      <c r="P57" s="1114"/>
      <c r="Q57" s="1114"/>
      <c r="R57" s="1114"/>
      <c r="S57" s="1114"/>
      <c r="T57" s="1114"/>
      <c r="U57" s="1114"/>
      <c r="V57" s="676"/>
      <c r="W57" s="676"/>
      <c r="X57" s="667">
        <v>-185268</v>
      </c>
      <c r="Y57" s="662" t="s">
        <v>0</v>
      </c>
    </row>
    <row r="58" spans="1:25">
      <c r="A58" s="1109" t="s">
        <v>500</v>
      </c>
      <c r="B58" s="1114"/>
      <c r="C58" s="1114"/>
      <c r="D58" s="1114"/>
      <c r="E58" s="1114"/>
      <c r="F58" s="1114"/>
      <c r="G58" s="1114"/>
      <c r="H58" s="1114"/>
      <c r="I58" s="1114"/>
      <c r="J58" s="1114"/>
      <c r="K58" s="1114"/>
      <c r="L58" s="1114"/>
      <c r="M58" s="1114"/>
      <c r="N58" s="1114"/>
      <c r="O58" s="1114"/>
      <c r="P58" s="1114"/>
      <c r="Q58" s="1114"/>
      <c r="R58" s="1114"/>
      <c r="S58" s="1114"/>
      <c r="T58" s="1114"/>
      <c r="U58" s="1114"/>
      <c r="V58" s="676"/>
      <c r="W58" s="676"/>
      <c r="X58" s="667">
        <v>-2500</v>
      </c>
      <c r="Y58" s="662" t="s">
        <v>0</v>
      </c>
    </row>
    <row r="59" spans="1:25">
      <c r="A59" s="1109" t="s">
        <v>501</v>
      </c>
      <c r="B59" s="1114"/>
      <c r="C59" s="1114"/>
      <c r="D59" s="1114"/>
      <c r="E59" s="1114"/>
      <c r="F59" s="1114"/>
      <c r="G59" s="1114"/>
      <c r="H59" s="1114"/>
      <c r="I59" s="1114"/>
      <c r="J59" s="1114"/>
      <c r="K59" s="1114"/>
      <c r="L59" s="1114"/>
      <c r="M59" s="1114"/>
      <c r="N59" s="1114"/>
      <c r="O59" s="1114"/>
      <c r="P59" s="1114"/>
      <c r="Q59" s="1114"/>
      <c r="R59" s="1114"/>
      <c r="S59" s="1114"/>
      <c r="T59" s="1114"/>
      <c r="U59" s="1114"/>
      <c r="V59" s="676"/>
      <c r="W59" s="676"/>
      <c r="X59" s="667">
        <v>-15000</v>
      </c>
      <c r="Y59" s="662" t="s">
        <v>0</v>
      </c>
    </row>
    <row r="60" spans="1:25" s="1087" customFormat="1">
      <c r="A60" s="1637" t="s">
        <v>490</v>
      </c>
      <c r="B60" s="1107"/>
      <c r="C60" s="1107"/>
      <c r="D60" s="1107"/>
      <c r="E60" s="1107"/>
      <c r="F60" s="1107"/>
      <c r="G60" s="1107"/>
      <c r="H60" s="1107"/>
      <c r="I60" s="1107"/>
      <c r="J60" s="1107"/>
      <c r="K60" s="1107"/>
      <c r="L60" s="1107"/>
      <c r="M60" s="1107"/>
      <c r="N60" s="1107"/>
      <c r="O60" s="1107"/>
      <c r="P60" s="1107"/>
      <c r="Q60" s="1107"/>
      <c r="R60" s="1107"/>
      <c r="S60" s="1107"/>
      <c r="T60" s="1107"/>
      <c r="U60" s="1108"/>
      <c r="V60" s="1104"/>
      <c r="W60" s="1104"/>
      <c r="X60" s="1095">
        <v>-51000</v>
      </c>
      <c r="Y60" s="1086" t="s">
        <v>0</v>
      </c>
    </row>
    <row r="61" spans="1:25">
      <c r="A61" s="1109" t="s">
        <v>502</v>
      </c>
      <c r="B61" s="1114"/>
      <c r="C61" s="1114"/>
      <c r="D61" s="1114"/>
      <c r="E61" s="1114"/>
      <c r="F61" s="1114"/>
      <c r="G61" s="1114"/>
      <c r="H61" s="1114"/>
      <c r="I61" s="1114"/>
      <c r="J61" s="1114"/>
      <c r="K61" s="1114"/>
      <c r="L61" s="1114"/>
      <c r="M61" s="1114"/>
      <c r="N61" s="1114"/>
      <c r="O61" s="1114"/>
      <c r="P61" s="1114"/>
      <c r="Q61" s="1114"/>
      <c r="R61" s="1114"/>
      <c r="S61" s="1114"/>
      <c r="T61" s="1114"/>
      <c r="U61" s="1114"/>
      <c r="V61" s="676"/>
      <c r="W61" s="676"/>
      <c r="X61" s="667">
        <v>-45000</v>
      </c>
      <c r="Y61" s="662" t="s">
        <v>0</v>
      </c>
    </row>
    <row r="62" spans="1:25">
      <c r="A62" s="1109" t="s">
        <v>503</v>
      </c>
      <c r="B62" s="1114"/>
      <c r="C62" s="1114"/>
      <c r="D62" s="1114"/>
      <c r="E62" s="1114"/>
      <c r="F62" s="1114"/>
      <c r="G62" s="1114"/>
      <c r="H62" s="1114"/>
      <c r="I62" s="1114"/>
      <c r="J62" s="1114"/>
      <c r="K62" s="1114"/>
      <c r="L62" s="1114"/>
      <c r="M62" s="1114"/>
      <c r="N62" s="1114"/>
      <c r="O62" s="1114"/>
      <c r="P62" s="1114"/>
      <c r="Q62" s="1114"/>
      <c r="R62" s="1114"/>
      <c r="S62" s="1114"/>
      <c r="T62" s="1114"/>
      <c r="U62" s="1114"/>
      <c r="V62" s="676"/>
      <c r="W62" s="676"/>
      <c r="X62" s="667">
        <v>-20000</v>
      </c>
      <c r="Y62" s="662" t="s">
        <v>0</v>
      </c>
    </row>
    <row r="63" spans="1:25">
      <c r="A63" s="1109" t="s">
        <v>504</v>
      </c>
      <c r="B63" s="1114"/>
      <c r="C63" s="1114"/>
      <c r="D63" s="1114"/>
      <c r="E63" s="1114"/>
      <c r="F63" s="1114"/>
      <c r="G63" s="1114"/>
      <c r="H63" s="1114"/>
      <c r="I63" s="1114"/>
      <c r="J63" s="1114"/>
      <c r="K63" s="1114"/>
      <c r="L63" s="1114"/>
      <c r="M63" s="1114"/>
      <c r="N63" s="1114"/>
      <c r="O63" s="1114"/>
      <c r="P63" s="1114"/>
      <c r="Q63" s="1114"/>
      <c r="R63" s="1114"/>
      <c r="S63" s="1114"/>
      <c r="T63" s="1114"/>
      <c r="U63" s="1114"/>
      <c r="V63" s="676"/>
      <c r="W63" s="676"/>
      <c r="X63" s="667">
        <v>-1000</v>
      </c>
      <c r="Y63" s="662" t="s">
        <v>0</v>
      </c>
    </row>
    <row r="64" spans="1:25">
      <c r="A64" s="1109" t="s">
        <v>505</v>
      </c>
      <c r="B64" s="1114"/>
      <c r="C64" s="1114"/>
      <c r="D64" s="1114"/>
      <c r="E64" s="1114"/>
      <c r="F64" s="1114"/>
      <c r="G64" s="1114"/>
      <c r="H64" s="1114"/>
      <c r="I64" s="1114"/>
      <c r="J64" s="1114"/>
      <c r="K64" s="1114"/>
      <c r="L64" s="1114"/>
      <c r="M64" s="1114"/>
      <c r="N64" s="1114"/>
      <c r="O64" s="1114"/>
      <c r="P64" s="1114"/>
      <c r="Q64" s="1114"/>
      <c r="R64" s="1114"/>
      <c r="S64" s="1114"/>
      <c r="T64" s="1114"/>
      <c r="U64" s="1114"/>
      <c r="V64" s="676"/>
      <c r="W64" s="676"/>
      <c r="X64" s="667">
        <v>-50000</v>
      </c>
      <c r="Y64" s="662" t="s">
        <v>0</v>
      </c>
    </row>
    <row r="65" spans="1:25">
      <c r="A65" s="1109" t="s">
        <v>506</v>
      </c>
      <c r="B65" s="1114"/>
      <c r="C65" s="1114"/>
      <c r="D65" s="1114"/>
      <c r="E65" s="1114"/>
      <c r="F65" s="1114"/>
      <c r="G65" s="1114"/>
      <c r="H65" s="1114"/>
      <c r="I65" s="1114"/>
      <c r="J65" s="1114"/>
      <c r="K65" s="1114"/>
      <c r="L65" s="1114"/>
      <c r="M65" s="1114"/>
      <c r="N65" s="1114"/>
      <c r="O65" s="1114"/>
      <c r="P65" s="1114"/>
      <c r="Q65" s="1114"/>
      <c r="R65" s="1114"/>
      <c r="S65" s="1114"/>
      <c r="T65" s="1114"/>
      <c r="U65" s="1114"/>
      <c r="V65" s="676"/>
      <c r="W65" s="676"/>
      <c r="X65" s="667">
        <v>-10000</v>
      </c>
      <c r="Y65" s="662" t="s">
        <v>0</v>
      </c>
    </row>
    <row r="66" spans="1:25">
      <c r="A66" s="1109" t="s">
        <v>507</v>
      </c>
      <c r="B66" s="1114"/>
      <c r="C66" s="1114"/>
      <c r="D66" s="1114"/>
      <c r="E66" s="1114"/>
      <c r="F66" s="1114"/>
      <c r="G66" s="1114"/>
      <c r="H66" s="1114"/>
      <c r="I66" s="1114"/>
      <c r="J66" s="1114"/>
      <c r="K66" s="1114"/>
      <c r="L66" s="1114"/>
      <c r="M66" s="1114"/>
      <c r="N66" s="1114"/>
      <c r="O66" s="1114"/>
      <c r="P66" s="1114"/>
      <c r="Q66" s="1114"/>
      <c r="R66" s="1114"/>
      <c r="S66" s="1114"/>
      <c r="T66" s="1114"/>
      <c r="U66" s="1114"/>
      <c r="V66" s="676"/>
      <c r="W66" s="676"/>
      <c r="X66" s="667">
        <v>-12000</v>
      </c>
      <c r="Y66" s="662" t="s">
        <v>0</v>
      </c>
    </row>
    <row r="67" spans="1:25">
      <c r="A67" s="1109" t="s">
        <v>508</v>
      </c>
      <c r="B67" s="1114"/>
      <c r="C67" s="1114"/>
      <c r="D67" s="1114"/>
      <c r="E67" s="1114"/>
      <c r="F67" s="1114"/>
      <c r="G67" s="1114"/>
      <c r="H67" s="1114"/>
      <c r="I67" s="1114"/>
      <c r="J67" s="1114"/>
      <c r="K67" s="1114"/>
      <c r="L67" s="1114"/>
      <c r="M67" s="1114"/>
      <c r="N67" s="1114"/>
      <c r="O67" s="1114"/>
      <c r="P67" s="1114"/>
      <c r="Q67" s="1114"/>
      <c r="R67" s="1114"/>
      <c r="S67" s="1114"/>
      <c r="T67" s="1114"/>
      <c r="U67" s="1114"/>
      <c r="V67" s="676"/>
      <c r="W67" s="676"/>
      <c r="X67" s="667">
        <v>-2000</v>
      </c>
      <c r="Y67" s="662" t="s">
        <v>0</v>
      </c>
    </row>
    <row r="68" spans="1:25">
      <c r="A68" s="1109" t="s">
        <v>509</v>
      </c>
      <c r="B68" s="1114"/>
      <c r="C68" s="1114"/>
      <c r="D68" s="1114"/>
      <c r="E68" s="1114"/>
      <c r="F68" s="1114"/>
      <c r="G68" s="1114"/>
      <c r="H68" s="1114"/>
      <c r="I68" s="1114"/>
      <c r="J68" s="1114"/>
      <c r="K68" s="1114"/>
      <c r="L68" s="1114"/>
      <c r="M68" s="1114"/>
      <c r="N68" s="1114"/>
      <c r="O68" s="1114"/>
      <c r="P68" s="1114"/>
      <c r="Q68" s="1114"/>
      <c r="R68" s="1114"/>
      <c r="S68" s="1114"/>
      <c r="T68" s="1114"/>
      <c r="U68" s="1114"/>
      <c r="V68" s="676"/>
      <c r="W68" s="676"/>
      <c r="X68" s="667">
        <v>-8000</v>
      </c>
      <c r="Y68" s="662" t="s">
        <v>0</v>
      </c>
    </row>
    <row r="69" spans="1:25">
      <c r="A69" s="1109" t="s">
        <v>510</v>
      </c>
      <c r="B69" s="1114"/>
      <c r="C69" s="1114"/>
      <c r="D69" s="1114"/>
      <c r="E69" s="1114"/>
      <c r="F69" s="1114"/>
      <c r="G69" s="1114"/>
      <c r="H69" s="1114"/>
      <c r="I69" s="1114"/>
      <c r="J69" s="1114"/>
      <c r="K69" s="1114"/>
      <c r="L69" s="1114"/>
      <c r="M69" s="1114"/>
      <c r="N69" s="1114"/>
      <c r="O69" s="1114"/>
      <c r="P69" s="1114"/>
      <c r="Q69" s="1114"/>
      <c r="R69" s="1114"/>
      <c r="S69" s="1114"/>
      <c r="T69" s="1114"/>
      <c r="U69" s="1114"/>
      <c r="V69" s="676"/>
      <c r="W69" s="676"/>
      <c r="X69" s="667">
        <v>-3000</v>
      </c>
      <c r="Y69" s="662" t="s">
        <v>0</v>
      </c>
    </row>
    <row r="70" spans="1:25">
      <c r="A70" s="1109" t="s">
        <v>511</v>
      </c>
      <c r="B70" s="1114"/>
      <c r="C70" s="1114"/>
      <c r="D70" s="1114"/>
      <c r="E70" s="1114"/>
      <c r="F70" s="1114"/>
      <c r="G70" s="1114"/>
      <c r="H70" s="1114"/>
      <c r="I70" s="1114"/>
      <c r="J70" s="1114"/>
      <c r="K70" s="1114"/>
      <c r="L70" s="1114"/>
      <c r="M70" s="1114"/>
      <c r="N70" s="1114"/>
      <c r="O70" s="1114"/>
      <c r="P70" s="1114"/>
      <c r="Q70" s="1114"/>
      <c r="R70" s="1114"/>
      <c r="S70" s="1114"/>
      <c r="T70" s="1114"/>
      <c r="U70" s="1114"/>
      <c r="V70" s="676"/>
      <c r="W70" s="676"/>
      <c r="X70" s="667">
        <v>-35000</v>
      </c>
      <c r="Y70" s="662" t="s">
        <v>0</v>
      </c>
    </row>
    <row r="71" spans="1:25">
      <c r="A71" s="1109" t="s">
        <v>512</v>
      </c>
      <c r="B71" s="1114"/>
      <c r="C71" s="1114"/>
      <c r="D71" s="1114"/>
      <c r="E71" s="1114"/>
      <c r="F71" s="1114"/>
      <c r="G71" s="1114"/>
      <c r="H71" s="1114"/>
      <c r="I71" s="1114"/>
      <c r="J71" s="1114"/>
      <c r="K71" s="1114"/>
      <c r="L71" s="1114"/>
      <c r="M71" s="1114"/>
      <c r="N71" s="1114"/>
      <c r="O71" s="1114"/>
      <c r="P71" s="1114"/>
      <c r="Q71" s="1114"/>
      <c r="R71" s="1114"/>
      <c r="S71" s="1114"/>
      <c r="T71" s="1114"/>
      <c r="U71" s="1114"/>
      <c r="V71" s="676"/>
      <c r="W71" s="676"/>
      <c r="X71" s="667">
        <v>-7000</v>
      </c>
      <c r="Y71" s="662" t="s">
        <v>0</v>
      </c>
    </row>
    <row r="72" spans="1:25">
      <c r="A72" s="1109" t="s">
        <v>513</v>
      </c>
      <c r="B72" s="1114"/>
      <c r="C72" s="1114"/>
      <c r="D72" s="1114"/>
      <c r="E72" s="1114"/>
      <c r="F72" s="1114"/>
      <c r="G72" s="1114"/>
      <c r="H72" s="1114"/>
      <c r="I72" s="1114"/>
      <c r="J72" s="1114"/>
      <c r="K72" s="1114"/>
      <c r="L72" s="1114"/>
      <c r="M72" s="1114"/>
      <c r="N72" s="1114"/>
      <c r="O72" s="1114"/>
      <c r="P72" s="1114"/>
      <c r="Q72" s="1114"/>
      <c r="R72" s="1114"/>
      <c r="S72" s="1114"/>
      <c r="T72" s="1114"/>
      <c r="U72" s="1114"/>
      <c r="V72" s="676"/>
      <c r="W72" s="676"/>
      <c r="X72" s="667">
        <v>-10000</v>
      </c>
      <c r="Y72" s="662" t="s">
        <v>0</v>
      </c>
    </row>
    <row r="73" spans="1:25" s="1087" customFormat="1">
      <c r="A73" s="1637" t="s">
        <v>431</v>
      </c>
      <c r="B73" s="1107"/>
      <c r="C73" s="1107"/>
      <c r="D73" s="1107"/>
      <c r="E73" s="1107"/>
      <c r="F73" s="1107"/>
      <c r="G73" s="1107"/>
      <c r="H73" s="1107"/>
      <c r="I73" s="1107"/>
      <c r="J73" s="1107"/>
      <c r="K73" s="1107"/>
      <c r="L73" s="1107"/>
      <c r="M73" s="1107"/>
      <c r="N73" s="1107"/>
      <c r="O73" s="1107"/>
      <c r="P73" s="1107"/>
      <c r="Q73" s="1107"/>
      <c r="R73" s="1107"/>
      <c r="S73" s="1107"/>
      <c r="T73" s="1107"/>
      <c r="U73" s="1108"/>
      <c r="V73" s="1104"/>
      <c r="W73" s="1104"/>
      <c r="X73" s="1095">
        <v>-27500</v>
      </c>
      <c r="Y73" s="1086" t="s">
        <v>0</v>
      </c>
    </row>
    <row r="74" spans="1:25">
      <c r="A74" s="1521" t="s">
        <v>514</v>
      </c>
      <c r="B74" s="1114"/>
      <c r="C74" s="704"/>
      <c r="D74" s="1114"/>
      <c r="E74" s="1114"/>
      <c r="F74" s="1114"/>
      <c r="G74" s="1114"/>
      <c r="H74" s="1114"/>
      <c r="I74" s="1114"/>
      <c r="J74" s="1114"/>
      <c r="K74" s="1114"/>
      <c r="L74" s="1114"/>
      <c r="M74" s="1114"/>
      <c r="N74" s="1114"/>
      <c r="O74" s="1114"/>
      <c r="P74" s="1114"/>
      <c r="Q74" s="1114"/>
      <c r="R74" s="1114"/>
      <c r="S74" s="1114"/>
      <c r="T74" s="1114"/>
      <c r="U74" s="1114"/>
      <c r="V74" s="676"/>
      <c r="W74" s="676"/>
      <c r="X74" s="667">
        <v>-1000</v>
      </c>
      <c r="Y74" s="662" t="s">
        <v>0</v>
      </c>
    </row>
    <row r="75" spans="1:25">
      <c r="A75" s="1109" t="s">
        <v>515</v>
      </c>
      <c r="B75" s="1114"/>
      <c r="C75" s="1114"/>
      <c r="D75" s="1114"/>
      <c r="E75" s="1114"/>
      <c r="F75" s="1114"/>
      <c r="G75" s="1114"/>
      <c r="H75" s="1114"/>
      <c r="I75" s="1114"/>
      <c r="J75" s="1114"/>
      <c r="K75" s="1114"/>
      <c r="L75" s="1114"/>
      <c r="M75" s="1114"/>
      <c r="N75" s="1114"/>
      <c r="O75" s="1114"/>
      <c r="P75" s="1114"/>
      <c r="Q75" s="1114"/>
      <c r="R75" s="1114"/>
      <c r="S75" s="1114"/>
      <c r="T75" s="1114"/>
      <c r="U75" s="1114"/>
      <c r="V75" s="676"/>
      <c r="W75" s="676"/>
      <c r="X75" s="667">
        <v>-31000</v>
      </c>
      <c r="Y75" s="662" t="s">
        <v>0</v>
      </c>
    </row>
    <row r="76" spans="1:25">
      <c r="A76" s="1109" t="s">
        <v>516</v>
      </c>
      <c r="B76" s="1114"/>
      <c r="C76" s="1114"/>
      <c r="D76" s="1114"/>
      <c r="E76" s="1114"/>
      <c r="F76" s="1114"/>
      <c r="G76" s="1114"/>
      <c r="H76" s="1114"/>
      <c r="I76" s="1114"/>
      <c r="J76" s="1114"/>
      <c r="K76" s="1114"/>
      <c r="L76" s="1114"/>
      <c r="M76" s="1114"/>
      <c r="N76" s="1114"/>
      <c r="O76" s="1114"/>
      <c r="P76" s="1114"/>
      <c r="Q76" s="1114"/>
      <c r="R76" s="1114"/>
      <c r="S76" s="1114"/>
      <c r="T76" s="1114"/>
      <c r="U76" s="1114"/>
      <c r="V76" s="676"/>
      <c r="W76" s="676"/>
      <c r="X76" s="667">
        <v>-2500</v>
      </c>
      <c r="Y76" s="662" t="s">
        <v>0</v>
      </c>
    </row>
    <row r="77" spans="1:25">
      <c r="A77" s="1109" t="s">
        <v>517</v>
      </c>
      <c r="B77" s="1114"/>
      <c r="C77" s="1114"/>
      <c r="D77" s="1114"/>
      <c r="E77" s="1114"/>
      <c r="F77" s="1114"/>
      <c r="G77" s="1114"/>
      <c r="H77" s="1114"/>
      <c r="I77" s="1114"/>
      <c r="J77" s="1114"/>
      <c r="K77" s="1114"/>
      <c r="L77" s="1114"/>
      <c r="M77" s="1114"/>
      <c r="N77" s="1114"/>
      <c r="O77" s="1114"/>
      <c r="P77" s="1114"/>
      <c r="Q77" s="1114"/>
      <c r="R77" s="1114"/>
      <c r="S77" s="1114"/>
      <c r="T77" s="1114"/>
      <c r="U77" s="1114"/>
      <c r="V77" s="676"/>
      <c r="W77" s="676"/>
      <c r="X77" s="667">
        <v>-194000</v>
      </c>
      <c r="Y77" s="662" t="s">
        <v>0</v>
      </c>
    </row>
    <row r="78" spans="1:25">
      <c r="A78" s="1109" t="s">
        <v>518</v>
      </c>
      <c r="B78" s="1114"/>
      <c r="C78" s="1114"/>
      <c r="D78" s="1114"/>
      <c r="E78" s="1114"/>
      <c r="F78" s="1114"/>
      <c r="G78" s="1114"/>
      <c r="H78" s="1114"/>
      <c r="I78" s="1114"/>
      <c r="J78" s="1114"/>
      <c r="K78" s="1114"/>
      <c r="L78" s="1114"/>
      <c r="M78" s="1114"/>
      <c r="N78" s="1114"/>
      <c r="O78" s="1114"/>
      <c r="P78" s="1114"/>
      <c r="Q78" s="1114"/>
      <c r="R78" s="1114"/>
      <c r="S78" s="1114"/>
      <c r="T78" s="1114"/>
      <c r="U78" s="1114"/>
      <c r="V78" s="676"/>
      <c r="W78" s="676"/>
      <c r="X78" s="667">
        <v>-10000</v>
      </c>
      <c r="Y78" s="662" t="s">
        <v>0</v>
      </c>
    </row>
    <row r="79" spans="1:25">
      <c r="A79" s="1109" t="s">
        <v>519</v>
      </c>
      <c r="B79" s="1114"/>
      <c r="C79" s="1114"/>
      <c r="D79" s="1114"/>
      <c r="E79" s="1114"/>
      <c r="F79" s="1114"/>
      <c r="G79" s="1114"/>
      <c r="H79" s="1114"/>
      <c r="I79" s="1114"/>
      <c r="J79" s="1114"/>
      <c r="K79" s="1114"/>
      <c r="L79" s="1114"/>
      <c r="M79" s="1114"/>
      <c r="N79" s="1114"/>
      <c r="O79" s="1114"/>
      <c r="P79" s="1114"/>
      <c r="Q79" s="1114"/>
      <c r="R79" s="1114"/>
      <c r="S79" s="1114"/>
      <c r="T79" s="1114"/>
      <c r="U79" s="1114"/>
      <c r="V79" s="676"/>
      <c r="W79" s="676"/>
      <c r="X79" s="667">
        <v>-3500</v>
      </c>
      <c r="Y79" s="662" t="s">
        <v>0</v>
      </c>
    </row>
    <row r="80" spans="1:25">
      <c r="A80" s="1109" t="s">
        <v>520</v>
      </c>
      <c r="B80" s="1114"/>
      <c r="C80" s="1114"/>
      <c r="D80" s="1114"/>
      <c r="E80" s="1114"/>
      <c r="F80" s="1114"/>
      <c r="G80" s="1114"/>
      <c r="H80" s="1114"/>
      <c r="I80" s="1114"/>
      <c r="J80" s="1114"/>
      <c r="K80" s="1114"/>
      <c r="L80" s="1114"/>
      <c r="M80" s="1114"/>
      <c r="N80" s="1114"/>
      <c r="O80" s="1114"/>
      <c r="P80" s="1114"/>
      <c r="Q80" s="1114"/>
      <c r="R80" s="1114"/>
      <c r="S80" s="1114"/>
      <c r="T80" s="1114"/>
      <c r="U80" s="1114"/>
      <c r="V80" s="676"/>
      <c r="W80" s="676"/>
      <c r="X80" s="667">
        <v>-3000</v>
      </c>
      <c r="Y80" s="662" t="s">
        <v>0</v>
      </c>
    </row>
    <row r="81" spans="1:25">
      <c r="A81" s="2105" t="s">
        <v>521</v>
      </c>
      <c r="B81" s="2099"/>
      <c r="C81" s="2099"/>
      <c r="D81" s="2099"/>
      <c r="E81" s="2099"/>
      <c r="F81" s="2099"/>
      <c r="G81" s="2099"/>
      <c r="H81" s="2099"/>
      <c r="I81" s="2099"/>
      <c r="J81" s="2099"/>
      <c r="K81" s="2099"/>
      <c r="L81" s="2099"/>
      <c r="M81" s="2099"/>
      <c r="N81" s="2099"/>
      <c r="O81" s="2099"/>
      <c r="P81" s="2099"/>
      <c r="Q81" s="2099"/>
      <c r="R81" s="2099"/>
      <c r="S81" s="2099"/>
      <c r="T81" s="2099"/>
      <c r="U81" s="2099"/>
      <c r="V81" s="676"/>
      <c r="W81" s="676"/>
      <c r="X81" s="676">
        <v>-2500</v>
      </c>
      <c r="Y81" s="662" t="s">
        <v>0</v>
      </c>
    </row>
    <row r="82" spans="1:25">
      <c r="A82" s="2103" t="s">
        <v>433</v>
      </c>
      <c r="B82" s="2104"/>
      <c r="C82" s="2104"/>
      <c r="D82" s="2104"/>
      <c r="E82" s="2104"/>
      <c r="F82" s="2104"/>
      <c r="G82" s="2104"/>
      <c r="H82" s="2104"/>
      <c r="I82" s="2104"/>
      <c r="J82" s="2104"/>
      <c r="K82" s="2104"/>
      <c r="L82" s="2104"/>
      <c r="M82" s="2104"/>
      <c r="N82" s="2104"/>
      <c r="O82" s="2104"/>
      <c r="P82" s="2104"/>
      <c r="Q82" s="2104"/>
      <c r="R82" s="2104"/>
      <c r="S82" s="2104"/>
      <c r="T82" s="2104"/>
      <c r="U82" s="2104"/>
      <c r="V82" s="680"/>
      <c r="W82" s="680"/>
      <c r="X82" s="680">
        <f>SUM(X56:X81)</f>
        <v>-746768</v>
      </c>
      <c r="Y82" s="662" t="s">
        <v>0</v>
      </c>
    </row>
    <row r="83" spans="1:25" ht="18" customHeight="1">
      <c r="A83" s="2096" t="s">
        <v>106</v>
      </c>
      <c r="B83" s="2097"/>
      <c r="C83" s="2097"/>
      <c r="D83" s="2097"/>
      <c r="E83" s="2097"/>
      <c r="F83" s="2097"/>
      <c r="G83" s="2097"/>
      <c r="H83" s="2097"/>
      <c r="I83" s="2097"/>
      <c r="J83" s="2097"/>
      <c r="K83" s="2097"/>
      <c r="L83" s="2097"/>
      <c r="M83" s="2097"/>
      <c r="N83" s="2097"/>
      <c r="O83" s="2097"/>
      <c r="P83" s="2097"/>
      <c r="Q83" s="2097"/>
      <c r="R83" s="2097"/>
      <c r="S83" s="2097"/>
      <c r="T83" s="2097"/>
      <c r="U83" s="2097"/>
      <c r="V83" s="681">
        <f>SUM(V42+V81)</f>
        <v>0</v>
      </c>
      <c r="W83" s="681">
        <f>SUM(W42+W81)</f>
        <v>0</v>
      </c>
      <c r="X83" s="681">
        <f>SUM(X42+X82)</f>
        <v>-568268</v>
      </c>
      <c r="Y83" s="662" t="s">
        <v>0</v>
      </c>
    </row>
    <row r="84" spans="1:25" ht="18" customHeight="1">
      <c r="A84" s="2108" t="s">
        <v>434</v>
      </c>
      <c r="B84" s="2109"/>
      <c r="C84" s="2109"/>
      <c r="D84" s="2109"/>
      <c r="E84" s="2109"/>
      <c r="F84" s="2109"/>
      <c r="G84" s="2109"/>
      <c r="H84" s="2109"/>
      <c r="I84" s="2109"/>
      <c r="J84" s="2109"/>
      <c r="K84" s="2109"/>
      <c r="L84" s="2109"/>
      <c r="M84" s="2109"/>
      <c r="N84" s="2109"/>
      <c r="O84" s="2109"/>
      <c r="P84" s="2109"/>
      <c r="Q84" s="2109"/>
      <c r="R84" s="2109"/>
      <c r="S84" s="2109"/>
      <c r="T84" s="2109"/>
      <c r="U84" s="2109"/>
      <c r="V84" s="683">
        <f>V29+V83</f>
        <v>0</v>
      </c>
      <c r="W84" s="683">
        <f>W29+W83</f>
        <v>0</v>
      </c>
      <c r="X84" s="683">
        <f>X29+X83</f>
        <v>1173500</v>
      </c>
      <c r="Y84" s="662" t="s">
        <v>0</v>
      </c>
    </row>
    <row r="85" spans="1:25" ht="18" customHeight="1">
      <c r="A85" s="1115" t="s">
        <v>435</v>
      </c>
      <c r="B85" s="1116"/>
      <c r="C85" s="1116"/>
      <c r="D85" s="1116"/>
      <c r="E85" s="1116"/>
      <c r="F85" s="1116"/>
      <c r="G85" s="1116"/>
      <c r="H85" s="1116"/>
      <c r="I85" s="1116"/>
      <c r="J85" s="1116"/>
      <c r="K85" s="1116"/>
      <c r="L85" s="1116"/>
      <c r="M85" s="1116"/>
      <c r="N85" s="1116"/>
      <c r="O85" s="1116"/>
      <c r="P85" s="1116"/>
      <c r="Q85" s="1116"/>
      <c r="R85" s="1116"/>
      <c r="S85" s="1116"/>
      <c r="T85" s="1116"/>
      <c r="U85" s="1116"/>
      <c r="V85" s="683"/>
      <c r="W85" s="683"/>
      <c r="X85" s="683">
        <v>-34600</v>
      </c>
      <c r="Y85" s="662" t="s">
        <v>0</v>
      </c>
    </row>
    <row r="86" spans="1:25" ht="18" customHeight="1">
      <c r="A86" s="1115" t="s">
        <v>245</v>
      </c>
      <c r="B86" s="1116"/>
      <c r="C86" s="1116"/>
      <c r="D86" s="1116"/>
      <c r="E86" s="1116"/>
      <c r="F86" s="1116"/>
      <c r="G86" s="1116"/>
      <c r="H86" s="1116"/>
      <c r="I86" s="1116"/>
      <c r="J86" s="1116"/>
      <c r="K86" s="1116"/>
      <c r="L86" s="1116"/>
      <c r="M86" s="1116"/>
      <c r="N86" s="1116"/>
      <c r="O86" s="1116"/>
      <c r="P86" s="1116"/>
      <c r="Q86" s="1116"/>
      <c r="R86" s="1116"/>
      <c r="S86" s="1116"/>
      <c r="T86" s="1116"/>
      <c r="U86" s="1116"/>
      <c r="V86" s="683">
        <f>SUM(V84:V85)</f>
        <v>0</v>
      </c>
      <c r="W86" s="683">
        <f>SUM(W84:W85)</f>
        <v>0</v>
      </c>
      <c r="X86" s="683">
        <f>SUM(X84:X85)</f>
        <v>1138900</v>
      </c>
      <c r="Y86" s="662" t="s">
        <v>0</v>
      </c>
    </row>
    <row r="87" spans="1:25" ht="18" customHeight="1">
      <c r="A87" s="2110" t="s">
        <v>360</v>
      </c>
      <c r="B87" s="2109"/>
      <c r="C87" s="2109"/>
      <c r="D87" s="2109"/>
      <c r="E87" s="2109"/>
      <c r="F87" s="2109"/>
      <c r="G87" s="2109"/>
      <c r="H87" s="2109"/>
      <c r="I87" s="2109"/>
      <c r="J87" s="2109"/>
      <c r="K87" s="2109"/>
      <c r="L87" s="2109"/>
      <c r="M87" s="2109"/>
      <c r="N87" s="2109"/>
      <c r="O87" s="2109"/>
      <c r="P87" s="2109"/>
      <c r="Q87" s="2109"/>
      <c r="R87" s="2109"/>
      <c r="S87" s="2109"/>
      <c r="T87" s="2109"/>
      <c r="U87" s="2109"/>
      <c r="V87" s="682">
        <f>+V84-V19</f>
        <v>0</v>
      </c>
      <c r="W87" s="682">
        <f>+W84-W19</f>
        <v>0</v>
      </c>
      <c r="X87" s="682">
        <f>+X86-X22</f>
        <v>-351868</v>
      </c>
      <c r="Y87" s="662" t="s">
        <v>0</v>
      </c>
    </row>
    <row r="88" spans="1:25" ht="18" customHeight="1">
      <c r="A88" s="2061" t="s">
        <v>34</v>
      </c>
      <c r="B88" s="2062"/>
      <c r="C88" s="2062"/>
      <c r="D88" s="2062"/>
      <c r="E88" s="2062"/>
      <c r="F88" s="2062"/>
      <c r="G88" s="2062"/>
      <c r="H88" s="2062"/>
      <c r="I88" s="2062"/>
      <c r="J88" s="2062"/>
      <c r="K88" s="2062"/>
      <c r="L88" s="2062"/>
      <c r="M88" s="2062"/>
      <c r="N88" s="2062"/>
      <c r="O88" s="2062"/>
      <c r="P88" s="2062"/>
      <c r="Q88" s="2062"/>
      <c r="R88" s="2062"/>
      <c r="S88" s="2062"/>
      <c r="T88" s="2062"/>
      <c r="U88" s="2062"/>
      <c r="V88" s="2062"/>
      <c r="W88" s="2062"/>
      <c r="X88" s="2062"/>
      <c r="Y88" s="662" t="s">
        <v>0</v>
      </c>
    </row>
    <row r="89" spans="1:25" ht="18" customHeight="1">
      <c r="Y89" s="662" t="s">
        <v>0</v>
      </c>
    </row>
    <row r="90" spans="1:25" ht="18" customHeight="1">
      <c r="Y90" s="662" t="s">
        <v>0</v>
      </c>
    </row>
    <row r="91" spans="1:25" ht="22.5">
      <c r="A91" s="2065" t="s">
        <v>267</v>
      </c>
      <c r="B91" s="2060"/>
      <c r="C91" s="2060"/>
      <c r="D91" s="2060"/>
      <c r="E91" s="2060"/>
      <c r="F91" s="2060"/>
      <c r="G91" s="2060"/>
      <c r="H91" s="2060"/>
      <c r="I91" s="2060"/>
      <c r="J91" s="2060"/>
      <c r="K91" s="2060"/>
      <c r="L91" s="2060"/>
      <c r="M91" s="2060"/>
      <c r="N91" s="2060"/>
      <c r="O91" s="2060"/>
      <c r="P91" s="2060"/>
      <c r="Q91" s="2060"/>
      <c r="R91" s="2060"/>
      <c r="S91" s="2060"/>
      <c r="T91" s="2060"/>
      <c r="U91" s="2060"/>
      <c r="V91" s="2060"/>
      <c r="W91" s="2060"/>
      <c r="X91" s="2060"/>
      <c r="Y91" s="662" t="s">
        <v>0</v>
      </c>
    </row>
    <row r="92" spans="1:25" ht="23.25">
      <c r="A92" s="2059" t="str">
        <f>A5</f>
        <v>Office of Justice Programs</v>
      </c>
      <c r="B92" s="2111"/>
      <c r="C92" s="2111"/>
      <c r="D92" s="2111"/>
      <c r="E92" s="2111"/>
      <c r="F92" s="2111"/>
      <c r="G92" s="2111"/>
      <c r="H92" s="2111"/>
      <c r="I92" s="2111"/>
      <c r="J92" s="2111"/>
      <c r="K92" s="2111"/>
      <c r="L92" s="2111"/>
      <c r="M92" s="2111"/>
      <c r="N92" s="2111"/>
      <c r="O92" s="2111"/>
      <c r="P92" s="2111"/>
      <c r="Q92" s="2111"/>
      <c r="R92" s="2111"/>
      <c r="S92" s="2111"/>
      <c r="T92" s="2111"/>
      <c r="U92" s="2111"/>
      <c r="V92" s="2111"/>
      <c r="W92" s="2111"/>
      <c r="X92" s="2111"/>
      <c r="Y92" s="662" t="s">
        <v>0</v>
      </c>
    </row>
    <row r="93" spans="1:25" ht="23.25">
      <c r="A93" s="2059" t="s">
        <v>482</v>
      </c>
      <c r="B93" s="2060"/>
      <c r="C93" s="2060"/>
      <c r="D93" s="2060"/>
      <c r="E93" s="2060"/>
      <c r="F93" s="2060"/>
      <c r="G93" s="2060"/>
      <c r="H93" s="2060"/>
      <c r="I93" s="2060"/>
      <c r="J93" s="2060"/>
      <c r="K93" s="2060"/>
      <c r="L93" s="2060"/>
      <c r="M93" s="2060"/>
      <c r="N93" s="2060"/>
      <c r="O93" s="2060"/>
      <c r="P93" s="2060"/>
      <c r="Q93" s="2060"/>
      <c r="R93" s="2060"/>
      <c r="S93" s="2060"/>
      <c r="T93" s="2060"/>
      <c r="U93" s="2060"/>
      <c r="V93" s="2060"/>
      <c r="W93" s="2060"/>
      <c r="X93" s="2060"/>
      <c r="Y93" s="662" t="s">
        <v>0</v>
      </c>
    </row>
    <row r="94" spans="1:25" ht="23.25">
      <c r="A94" s="2059" t="s">
        <v>257</v>
      </c>
      <c r="B94" s="2066"/>
      <c r="C94" s="2066"/>
      <c r="D94" s="2066"/>
      <c r="E94" s="2066"/>
      <c r="F94" s="2066"/>
      <c r="G94" s="2066"/>
      <c r="H94" s="2066"/>
      <c r="I94" s="2066"/>
      <c r="J94" s="2066"/>
      <c r="K94" s="2066"/>
      <c r="L94" s="2066"/>
      <c r="M94" s="2066"/>
      <c r="N94" s="2066"/>
      <c r="O94" s="2066"/>
      <c r="P94" s="2066"/>
      <c r="Q94" s="2066"/>
      <c r="R94" s="2066"/>
      <c r="S94" s="2066"/>
      <c r="T94" s="2066"/>
      <c r="U94" s="2066"/>
      <c r="V94" s="2066"/>
      <c r="W94" s="2066"/>
      <c r="X94" s="2066"/>
      <c r="Y94" s="662" t="s">
        <v>0</v>
      </c>
    </row>
    <row r="95" spans="1:25" ht="18" customHeight="1">
      <c r="Y95" s="662" t="s">
        <v>0</v>
      </c>
    </row>
    <row r="96" spans="1:25" ht="18" customHeight="1">
      <c r="A96" s="685"/>
      <c r="B96" s="685"/>
      <c r="C96" s="685"/>
      <c r="D96" s="686"/>
      <c r="E96" s="686"/>
      <c r="F96" s="686"/>
      <c r="G96" s="686"/>
      <c r="H96" s="686"/>
      <c r="I96" s="686"/>
      <c r="J96" s="686"/>
      <c r="K96" s="686"/>
      <c r="L96" s="686"/>
      <c r="M96" s="686"/>
      <c r="N96" s="686"/>
      <c r="O96" s="686"/>
      <c r="P96" s="686"/>
      <c r="Q96" s="686"/>
      <c r="R96" s="686"/>
      <c r="S96" s="686"/>
      <c r="T96" s="686"/>
      <c r="U96" s="686"/>
      <c r="V96" s="686"/>
      <c r="W96" s="686"/>
      <c r="X96" s="686"/>
      <c r="Y96" s="662" t="s">
        <v>0</v>
      </c>
    </row>
    <row r="97" spans="1:25" ht="22.5" customHeight="1">
      <c r="A97" s="2112" t="s">
        <v>276</v>
      </c>
      <c r="B97" s="2113"/>
      <c r="C97" s="2113"/>
      <c r="D97" s="2118" t="s">
        <v>18</v>
      </c>
      <c r="E97" s="2119"/>
      <c r="F97" s="2120"/>
      <c r="G97" s="2124" t="s">
        <v>355</v>
      </c>
      <c r="H97" s="2125"/>
      <c r="I97" s="2126"/>
      <c r="J97" s="2118" t="s">
        <v>246</v>
      </c>
      <c r="K97" s="2119"/>
      <c r="L97" s="2120"/>
      <c r="M97" s="2118" t="s">
        <v>244</v>
      </c>
      <c r="N97" s="2119"/>
      <c r="O97" s="2120"/>
      <c r="P97" s="2118" t="s">
        <v>247</v>
      </c>
      <c r="Q97" s="2130"/>
      <c r="R97" s="2130"/>
      <c r="S97" s="2118" t="s">
        <v>248</v>
      </c>
      <c r="T97" s="2119"/>
      <c r="U97" s="2119"/>
      <c r="V97" s="2118" t="s">
        <v>42</v>
      </c>
      <c r="W97" s="2119"/>
      <c r="X97" s="2120"/>
      <c r="Y97" s="662" t="s">
        <v>0</v>
      </c>
    </row>
    <row r="98" spans="1:25" ht="27.75" customHeight="1">
      <c r="A98" s="2114"/>
      <c r="B98" s="2115"/>
      <c r="C98" s="2115"/>
      <c r="D98" s="2121"/>
      <c r="E98" s="2122"/>
      <c r="F98" s="2123"/>
      <c r="G98" s="2127"/>
      <c r="H98" s="2128"/>
      <c r="I98" s="2129"/>
      <c r="J98" s="2121"/>
      <c r="K98" s="2122"/>
      <c r="L98" s="2123"/>
      <c r="M98" s="2121"/>
      <c r="N98" s="2122"/>
      <c r="O98" s="2123"/>
      <c r="P98" s="2131"/>
      <c r="Q98" s="2132"/>
      <c r="R98" s="2132"/>
      <c r="S98" s="2121"/>
      <c r="T98" s="2122"/>
      <c r="U98" s="2122"/>
      <c r="V98" s="2121"/>
      <c r="W98" s="2122"/>
      <c r="X98" s="2123"/>
      <c r="Y98" s="662" t="s">
        <v>0</v>
      </c>
    </row>
    <row r="99" spans="1:25" ht="16.5" thickBot="1">
      <c r="A99" s="2116"/>
      <c r="B99" s="2117"/>
      <c r="C99" s="2117"/>
      <c r="D99" s="687" t="s">
        <v>277</v>
      </c>
      <c r="E99" s="688" t="s">
        <v>49</v>
      </c>
      <c r="F99" s="689" t="s">
        <v>279</v>
      </c>
      <c r="G99" s="687" t="s">
        <v>277</v>
      </c>
      <c r="H99" s="688" t="s">
        <v>49</v>
      </c>
      <c r="I99" s="689" t="s">
        <v>279</v>
      </c>
      <c r="J99" s="687" t="s">
        <v>277</v>
      </c>
      <c r="K99" s="688" t="s">
        <v>49</v>
      </c>
      <c r="L99" s="689" t="s">
        <v>279</v>
      </c>
      <c r="M99" s="687" t="s">
        <v>277</v>
      </c>
      <c r="N99" s="688" t="s">
        <v>49</v>
      </c>
      <c r="O99" s="689" t="s">
        <v>279</v>
      </c>
      <c r="P99" s="687" t="s">
        <v>277</v>
      </c>
      <c r="Q99" s="688" t="s">
        <v>49</v>
      </c>
      <c r="R99" s="689" t="s">
        <v>279</v>
      </c>
      <c r="S99" s="687" t="s">
        <v>277</v>
      </c>
      <c r="T99" s="688" t="s">
        <v>49</v>
      </c>
      <c r="U99" s="689" t="s">
        <v>279</v>
      </c>
      <c r="V99" s="690" t="s">
        <v>277</v>
      </c>
      <c r="W99" s="688" t="s">
        <v>49</v>
      </c>
      <c r="X99" s="691" t="s">
        <v>279</v>
      </c>
      <c r="Y99" s="662" t="s">
        <v>0</v>
      </c>
    </row>
    <row r="100" spans="1:25">
      <c r="A100" s="1117"/>
      <c r="B100" s="1118"/>
      <c r="C100" s="1118"/>
      <c r="D100" s="1119"/>
      <c r="E100" s="1120"/>
      <c r="F100" s="1121"/>
      <c r="G100" s="1119"/>
      <c r="H100" s="1120"/>
      <c r="I100" s="1121"/>
      <c r="J100" s="1119"/>
      <c r="K100" s="1120"/>
      <c r="L100" s="1121"/>
      <c r="M100" s="1119"/>
      <c r="N100" s="1120"/>
      <c r="O100" s="1121"/>
      <c r="P100" s="1119"/>
      <c r="Q100" s="1120"/>
      <c r="R100" s="1121"/>
      <c r="S100" s="1119"/>
      <c r="T100" s="1120"/>
      <c r="U100" s="1121"/>
      <c r="V100" s="726"/>
      <c r="W100" s="1120"/>
      <c r="X100" s="1122"/>
      <c r="Y100" s="662"/>
    </row>
    <row r="101" spans="1:25">
      <c r="A101" s="692"/>
      <c r="B101" s="2135" t="s">
        <v>522</v>
      </c>
      <c r="C101" s="2353"/>
      <c r="D101" s="695"/>
      <c r="E101" s="696"/>
      <c r="F101" s="697" t="s">
        <v>523</v>
      </c>
      <c r="G101" s="695"/>
      <c r="H101" s="696"/>
      <c r="I101" s="1123" t="s">
        <v>523</v>
      </c>
      <c r="J101" s="695"/>
      <c r="K101" s="696"/>
      <c r="L101" s="697"/>
      <c r="M101" s="695"/>
      <c r="N101" s="696"/>
      <c r="O101" s="697">
        <v>0</v>
      </c>
      <c r="P101" s="695"/>
      <c r="Q101" s="696"/>
      <c r="R101" s="697"/>
      <c r="S101" s="695"/>
      <c r="T101" s="696"/>
      <c r="U101" s="697"/>
      <c r="V101" s="695"/>
      <c r="W101" s="696"/>
      <c r="X101" s="667">
        <f>O101+R101+U101</f>
        <v>0</v>
      </c>
      <c r="Y101" s="662" t="s">
        <v>0</v>
      </c>
    </row>
    <row r="102" spans="1:25">
      <c r="A102" s="709"/>
      <c r="B102" s="2354" t="s">
        <v>498</v>
      </c>
      <c r="C102" s="2355"/>
      <c r="D102" s="695"/>
      <c r="E102" s="696"/>
      <c r="F102" s="697">
        <v>40000</v>
      </c>
      <c r="G102" s="695"/>
      <c r="H102" s="696"/>
      <c r="I102" s="1123">
        <v>40000</v>
      </c>
      <c r="J102" s="695"/>
      <c r="K102" s="696"/>
      <c r="L102" s="697"/>
      <c r="M102" s="695"/>
      <c r="N102" s="696"/>
      <c r="O102" s="697">
        <f>I102+L102</f>
        <v>40000</v>
      </c>
      <c r="P102" s="695"/>
      <c r="Q102" s="696"/>
      <c r="R102" s="697"/>
      <c r="S102" s="695"/>
      <c r="T102" s="696"/>
      <c r="U102" s="697">
        <v>-15000</v>
      </c>
      <c r="V102" s="695"/>
      <c r="W102" s="696"/>
      <c r="X102" s="667">
        <f>O102+R102+U102</f>
        <v>25000</v>
      </c>
      <c r="Y102" s="662" t="s">
        <v>0</v>
      </c>
    </row>
    <row r="103" spans="1:25">
      <c r="A103" s="692"/>
      <c r="B103" s="2354" t="s">
        <v>487</v>
      </c>
      <c r="C103" s="2355"/>
      <c r="D103" s="695"/>
      <c r="E103" s="696"/>
      <c r="F103" s="1124">
        <v>0</v>
      </c>
      <c r="G103" s="695"/>
      <c r="H103" s="696"/>
      <c r="I103" s="1123">
        <v>0</v>
      </c>
      <c r="J103" s="695"/>
      <c r="K103" s="696"/>
      <c r="L103" s="697"/>
      <c r="M103" s="695"/>
      <c r="N103" s="696"/>
      <c r="O103" s="1123">
        <f>I103+L103</f>
        <v>0</v>
      </c>
      <c r="P103" s="695"/>
      <c r="Q103" s="696"/>
      <c r="R103" s="697">
        <v>30000</v>
      </c>
      <c r="S103" s="695"/>
      <c r="T103" s="696"/>
      <c r="U103" s="697"/>
      <c r="V103" s="695"/>
      <c r="W103" s="696"/>
      <c r="X103" s="667">
        <f>O103+R103+U103</f>
        <v>30000</v>
      </c>
      <c r="Y103" s="662" t="s">
        <v>0</v>
      </c>
    </row>
    <row r="104" spans="1:25">
      <c r="A104" s="692"/>
      <c r="B104" s="1091" t="s">
        <v>499</v>
      </c>
      <c r="C104" s="706"/>
      <c r="D104" s="695"/>
      <c r="E104" s="696"/>
      <c r="F104" s="697">
        <v>185268</v>
      </c>
      <c r="G104" s="695"/>
      <c r="H104" s="696"/>
      <c r="I104" s="1123">
        <v>185268</v>
      </c>
      <c r="J104" s="695"/>
      <c r="K104" s="696"/>
      <c r="L104" s="1123"/>
      <c r="M104" s="695"/>
      <c r="N104" s="696"/>
      <c r="O104" s="697">
        <f t="shared" ref="O104:O172" si="0">I104+L104</f>
        <v>185268</v>
      </c>
      <c r="P104" s="695"/>
      <c r="Q104" s="696"/>
      <c r="R104" s="697"/>
      <c r="S104" s="695"/>
      <c r="T104" s="696"/>
      <c r="U104" s="1123">
        <v>-185268</v>
      </c>
      <c r="V104" s="695"/>
      <c r="W104" s="696"/>
      <c r="X104" s="667">
        <f t="shared" ref="X104:X107" si="1">O104+R104+U104</f>
        <v>0</v>
      </c>
      <c r="Y104" s="662" t="s">
        <v>0</v>
      </c>
    </row>
    <row r="105" spans="1:25">
      <c r="A105" s="692"/>
      <c r="B105" s="1091" t="s">
        <v>524</v>
      </c>
      <c r="C105" s="706"/>
      <c r="D105" s="695"/>
      <c r="E105" s="696"/>
      <c r="F105" s="697">
        <v>5500</v>
      </c>
      <c r="G105" s="695"/>
      <c r="H105" s="696"/>
      <c r="I105" s="1123">
        <v>5500</v>
      </c>
      <c r="J105" s="695"/>
      <c r="K105" s="696"/>
      <c r="L105" s="697"/>
      <c r="M105" s="695"/>
      <c r="N105" s="696"/>
      <c r="O105" s="697">
        <f t="shared" si="0"/>
        <v>5500</v>
      </c>
      <c r="P105" s="695"/>
      <c r="Q105" s="696"/>
      <c r="R105" s="697"/>
      <c r="S105" s="695"/>
      <c r="T105" s="696"/>
      <c r="U105" s="697"/>
      <c r="V105" s="695"/>
      <c r="W105" s="696"/>
      <c r="X105" s="667">
        <f t="shared" si="1"/>
        <v>5500</v>
      </c>
      <c r="Y105" s="662" t="s">
        <v>0</v>
      </c>
    </row>
    <row r="106" spans="1:25">
      <c r="A106" s="692"/>
      <c r="B106" s="705"/>
      <c r="C106" s="706" t="s">
        <v>525</v>
      </c>
      <c r="D106" s="695"/>
      <c r="E106" s="696"/>
      <c r="F106" s="1123" t="s">
        <v>546</v>
      </c>
      <c r="G106" s="695"/>
      <c r="H106" s="696"/>
      <c r="I106" s="1123" t="s">
        <v>546</v>
      </c>
      <c r="J106" s="695"/>
      <c r="K106" s="696"/>
      <c r="L106" s="697"/>
      <c r="M106" s="695"/>
      <c r="N106" s="696"/>
      <c r="O106" s="1123" t="s">
        <v>546</v>
      </c>
      <c r="P106" s="695"/>
      <c r="Q106" s="696"/>
      <c r="R106" s="697"/>
      <c r="S106" s="695"/>
      <c r="T106" s="696"/>
      <c r="U106" s="697">
        <v>0</v>
      </c>
      <c r="V106" s="695"/>
      <c r="W106" s="696"/>
      <c r="X106" s="667">
        <v>0</v>
      </c>
      <c r="Y106" s="662" t="s">
        <v>0</v>
      </c>
    </row>
    <row r="107" spans="1:25">
      <c r="A107" s="692"/>
      <c r="B107" s="705" t="s">
        <v>526</v>
      </c>
      <c r="C107" s="706"/>
      <c r="D107" s="695"/>
      <c r="E107" s="696"/>
      <c r="F107" s="697">
        <v>2500</v>
      </c>
      <c r="G107" s="695"/>
      <c r="H107" s="696"/>
      <c r="I107" s="1123">
        <v>2500</v>
      </c>
      <c r="J107" s="695"/>
      <c r="K107" s="696"/>
      <c r="L107" s="697"/>
      <c r="M107" s="695"/>
      <c r="N107" s="696"/>
      <c r="O107" s="697">
        <f t="shared" si="0"/>
        <v>2500</v>
      </c>
      <c r="P107" s="695"/>
      <c r="Q107" s="696"/>
      <c r="R107" s="697"/>
      <c r="S107" s="695"/>
      <c r="T107" s="696"/>
      <c r="U107" s="697">
        <v>-2500</v>
      </c>
      <c r="V107" s="695"/>
      <c r="W107" s="696"/>
      <c r="X107" s="667">
        <f t="shared" si="1"/>
        <v>0</v>
      </c>
      <c r="Y107" s="662" t="s">
        <v>0</v>
      </c>
    </row>
    <row r="108" spans="1:25">
      <c r="A108" s="692"/>
      <c r="B108" s="705" t="s">
        <v>527</v>
      </c>
      <c r="C108" s="706"/>
      <c r="D108" s="695"/>
      <c r="E108" s="696"/>
      <c r="F108" s="1125" t="s">
        <v>523</v>
      </c>
      <c r="G108" s="695"/>
      <c r="H108" s="696"/>
      <c r="I108" s="1123" t="s">
        <v>523</v>
      </c>
      <c r="J108" s="695"/>
      <c r="K108" s="696"/>
      <c r="L108" s="697"/>
      <c r="M108" s="695"/>
      <c r="N108" s="696"/>
      <c r="O108" s="1123" t="s">
        <v>523</v>
      </c>
      <c r="P108" s="695"/>
      <c r="Q108" s="696"/>
      <c r="R108" s="697"/>
      <c r="S108" s="695"/>
      <c r="T108" s="696"/>
      <c r="U108" s="697"/>
      <c r="V108" s="695"/>
      <c r="W108" s="696"/>
      <c r="X108" s="667">
        <f>0+R108+U108</f>
        <v>0</v>
      </c>
      <c r="Y108" s="662" t="s">
        <v>0</v>
      </c>
    </row>
    <row r="109" spans="1:25">
      <c r="A109" s="692"/>
      <c r="B109" s="1126"/>
      <c r="C109" s="705" t="s">
        <v>528</v>
      </c>
      <c r="D109" s="695"/>
      <c r="E109" s="696"/>
      <c r="F109" s="697" t="s">
        <v>523</v>
      </c>
      <c r="G109" s="695"/>
      <c r="H109" s="696"/>
      <c r="I109" s="1123" t="s">
        <v>523</v>
      </c>
      <c r="J109" s="695"/>
      <c r="K109" s="696"/>
      <c r="L109" s="697">
        <v>1000</v>
      </c>
      <c r="M109" s="695"/>
      <c r="N109" s="696"/>
      <c r="O109" s="1123">
        <v>1000</v>
      </c>
      <c r="P109" s="695"/>
      <c r="Q109" s="696"/>
      <c r="R109" s="1123"/>
      <c r="S109" s="695"/>
      <c r="T109" s="696"/>
      <c r="U109" s="697"/>
      <c r="V109" s="695"/>
      <c r="W109" s="696"/>
      <c r="X109" s="1127">
        <f>O109+R109+U109</f>
        <v>1000</v>
      </c>
      <c r="Y109" s="662" t="s">
        <v>0</v>
      </c>
    </row>
    <row r="110" spans="1:25">
      <c r="A110" s="692"/>
      <c r="B110" s="1126"/>
      <c r="C110" s="704" t="s">
        <v>529</v>
      </c>
      <c r="D110" s="695"/>
      <c r="E110" s="696"/>
      <c r="F110" s="697" t="s">
        <v>523</v>
      </c>
      <c r="G110" s="695"/>
      <c r="H110" s="696"/>
      <c r="I110" s="1123" t="s">
        <v>523</v>
      </c>
      <c r="J110" s="695"/>
      <c r="K110" s="696"/>
      <c r="L110" s="697"/>
      <c r="M110" s="695"/>
      <c r="N110" s="696"/>
      <c r="O110" s="1123" t="s">
        <v>523</v>
      </c>
      <c r="P110" s="695"/>
      <c r="Q110" s="696"/>
      <c r="R110" s="1123"/>
      <c r="S110" s="695"/>
      <c r="T110" s="696"/>
      <c r="U110" s="697"/>
      <c r="V110" s="695"/>
      <c r="W110" s="696"/>
      <c r="X110" s="667">
        <f>0+R110+U110</f>
        <v>0</v>
      </c>
      <c r="Y110" s="662" t="s">
        <v>0</v>
      </c>
    </row>
    <row r="111" spans="1:25">
      <c r="A111" s="692"/>
      <c r="B111" s="704" t="s">
        <v>488</v>
      </c>
      <c r="C111" s="704"/>
      <c r="D111" s="695"/>
      <c r="E111" s="696"/>
      <c r="F111" s="1124">
        <v>0</v>
      </c>
      <c r="G111" s="695"/>
      <c r="H111" s="696"/>
      <c r="I111" s="1123">
        <v>0</v>
      </c>
      <c r="J111" s="695"/>
      <c r="K111" s="696"/>
      <c r="L111" s="697"/>
      <c r="M111" s="695"/>
      <c r="N111" s="696"/>
      <c r="O111" s="1123">
        <f t="shared" si="0"/>
        <v>0</v>
      </c>
      <c r="P111" s="695"/>
      <c r="Q111" s="696"/>
      <c r="R111" s="697">
        <v>25000</v>
      </c>
      <c r="S111" s="695"/>
      <c r="T111" s="696"/>
      <c r="U111" s="697"/>
      <c r="V111" s="695"/>
      <c r="W111" s="696"/>
      <c r="X111" s="667">
        <f>O111+R111+U111</f>
        <v>25000</v>
      </c>
      <c r="Y111" s="662" t="s">
        <v>0</v>
      </c>
    </row>
    <row r="112" spans="1:25">
      <c r="A112" s="692"/>
      <c r="B112" s="704" t="s">
        <v>489</v>
      </c>
      <c r="C112" s="704"/>
      <c r="D112" s="695"/>
      <c r="E112" s="696"/>
      <c r="F112" s="1124">
        <v>0</v>
      </c>
      <c r="G112" s="695"/>
      <c r="H112" s="696"/>
      <c r="I112" s="1123">
        <v>0</v>
      </c>
      <c r="J112" s="695"/>
      <c r="K112" s="696"/>
      <c r="L112" s="697"/>
      <c r="M112" s="695"/>
      <c r="N112" s="696"/>
      <c r="O112" s="1123">
        <f t="shared" si="0"/>
        <v>0</v>
      </c>
      <c r="P112" s="695"/>
      <c r="Q112" s="696"/>
      <c r="R112" s="697">
        <v>2500</v>
      </c>
      <c r="S112" s="695"/>
      <c r="T112" s="696"/>
      <c r="U112" s="697"/>
      <c r="V112" s="695"/>
      <c r="W112" s="696"/>
      <c r="X112" s="667">
        <f t="shared" ref="X112:X114" si="2">O112+R112+U112</f>
        <v>2500</v>
      </c>
      <c r="Y112" s="662" t="s">
        <v>0</v>
      </c>
    </row>
    <row r="113" spans="1:25">
      <c r="A113" s="692"/>
      <c r="B113" s="704" t="s">
        <v>530</v>
      </c>
      <c r="C113" s="704"/>
      <c r="D113" s="695"/>
      <c r="E113" s="696"/>
      <c r="F113" s="697">
        <v>15000</v>
      </c>
      <c r="G113" s="695"/>
      <c r="H113" s="696"/>
      <c r="I113" s="1123">
        <v>15000</v>
      </c>
      <c r="J113" s="695"/>
      <c r="K113" s="696"/>
      <c r="L113" s="697"/>
      <c r="M113" s="695"/>
      <c r="N113" s="696"/>
      <c r="O113" s="697">
        <f t="shared" si="0"/>
        <v>15000</v>
      </c>
      <c r="P113" s="695"/>
      <c r="Q113" s="696"/>
      <c r="R113" s="697"/>
      <c r="S113" s="695"/>
      <c r="T113" s="696"/>
      <c r="U113" s="697">
        <v>-15000</v>
      </c>
      <c r="V113" s="695"/>
      <c r="W113" s="696"/>
      <c r="X113" s="667">
        <f t="shared" si="2"/>
        <v>0</v>
      </c>
      <c r="Y113" s="662" t="s">
        <v>0</v>
      </c>
    </row>
    <row r="114" spans="1:25">
      <c r="A114" s="692"/>
      <c r="B114" s="704" t="s">
        <v>490</v>
      </c>
      <c r="C114" s="704"/>
      <c r="D114" s="695"/>
      <c r="E114" s="696"/>
      <c r="F114" s="697" t="s">
        <v>523</v>
      </c>
      <c r="G114" s="695"/>
      <c r="H114" s="696"/>
      <c r="I114" s="1123" t="s">
        <v>523</v>
      </c>
      <c r="J114" s="695"/>
      <c r="K114" s="696"/>
      <c r="L114" s="697">
        <v>161000</v>
      </c>
      <c r="M114" s="695"/>
      <c r="N114" s="696"/>
      <c r="O114" s="1123">
        <v>161000</v>
      </c>
      <c r="P114" s="695"/>
      <c r="Q114" s="696"/>
      <c r="R114" s="697"/>
      <c r="S114" s="695"/>
      <c r="T114" s="696"/>
      <c r="U114" s="697">
        <v>-51000</v>
      </c>
      <c r="V114" s="695"/>
      <c r="W114" s="696"/>
      <c r="X114" s="667">
        <f t="shared" si="2"/>
        <v>110000</v>
      </c>
      <c r="Y114" s="662" t="s">
        <v>0</v>
      </c>
    </row>
    <row r="115" spans="1:25">
      <c r="A115" s="692"/>
      <c r="B115" s="704"/>
      <c r="C115" s="704" t="s">
        <v>531</v>
      </c>
      <c r="D115" s="695"/>
      <c r="E115" s="696"/>
      <c r="F115" s="1125" t="s">
        <v>523</v>
      </c>
      <c r="G115" s="695"/>
      <c r="H115" s="696"/>
      <c r="I115" s="1123" t="s">
        <v>523</v>
      </c>
      <c r="J115" s="695"/>
      <c r="K115" s="696"/>
      <c r="L115" s="697"/>
      <c r="M115" s="695"/>
      <c r="N115" s="696"/>
      <c r="O115" s="1123" t="s">
        <v>523</v>
      </c>
      <c r="P115" s="695"/>
      <c r="Q115" s="696"/>
      <c r="R115" s="697"/>
      <c r="S115" s="695"/>
      <c r="T115" s="696"/>
      <c r="U115" s="697"/>
      <c r="V115" s="695"/>
      <c r="W115" s="696"/>
      <c r="X115" s="667">
        <v>0</v>
      </c>
      <c r="Y115" s="1128" t="s">
        <v>0</v>
      </c>
    </row>
    <row r="116" spans="1:25">
      <c r="A116" s="692"/>
      <c r="B116" s="704"/>
      <c r="C116" s="704" t="s">
        <v>532</v>
      </c>
      <c r="D116" s="695"/>
      <c r="E116" s="696"/>
      <c r="F116" s="1125" t="s">
        <v>523</v>
      </c>
      <c r="G116" s="695"/>
      <c r="H116" s="696"/>
      <c r="I116" s="1123" t="s">
        <v>523</v>
      </c>
      <c r="J116" s="695"/>
      <c r="K116" s="696"/>
      <c r="L116" s="697"/>
      <c r="M116" s="695"/>
      <c r="N116" s="696"/>
      <c r="O116" s="1123" t="s">
        <v>523</v>
      </c>
      <c r="P116" s="695"/>
      <c r="Q116" s="696"/>
      <c r="R116" s="1123" t="s">
        <v>533</v>
      </c>
      <c r="S116" s="695"/>
      <c r="T116" s="696"/>
      <c r="U116" s="697"/>
      <c r="V116" s="695"/>
      <c r="W116" s="696"/>
      <c r="X116" s="678" t="s">
        <v>533</v>
      </c>
      <c r="Y116" s="1128" t="s">
        <v>0</v>
      </c>
    </row>
    <row r="117" spans="1:25">
      <c r="A117" s="692"/>
      <c r="B117" s="704"/>
      <c r="C117" s="704" t="s">
        <v>534</v>
      </c>
      <c r="D117" s="695"/>
      <c r="E117" s="696"/>
      <c r="F117" s="1125" t="s">
        <v>523</v>
      </c>
      <c r="G117" s="695"/>
      <c r="H117" s="696"/>
      <c r="I117" s="1123" t="s">
        <v>523</v>
      </c>
      <c r="J117" s="695"/>
      <c r="K117" s="696"/>
      <c r="L117" s="697"/>
      <c r="M117" s="695"/>
      <c r="N117" s="696"/>
      <c r="O117" s="1123" t="s">
        <v>523</v>
      </c>
      <c r="P117" s="695"/>
      <c r="Q117" s="696"/>
      <c r="R117" s="1123"/>
      <c r="S117" s="695"/>
      <c r="T117" s="696"/>
      <c r="U117" s="697"/>
      <c r="V117" s="695"/>
      <c r="W117" s="696"/>
      <c r="X117" s="667">
        <f>0+R117+U117</f>
        <v>0</v>
      </c>
      <c r="Y117" s="1128" t="s">
        <v>0</v>
      </c>
    </row>
    <row r="118" spans="1:25">
      <c r="A118" s="692"/>
      <c r="B118" s="704"/>
      <c r="C118" s="704" t="s">
        <v>535</v>
      </c>
      <c r="D118" s="695"/>
      <c r="E118" s="696"/>
      <c r="F118" s="1125" t="s">
        <v>523</v>
      </c>
      <c r="G118" s="695"/>
      <c r="H118" s="696"/>
      <c r="I118" s="1123" t="s">
        <v>523</v>
      </c>
      <c r="J118" s="695"/>
      <c r="K118" s="696"/>
      <c r="L118" s="697"/>
      <c r="M118" s="695"/>
      <c r="N118" s="696"/>
      <c r="O118" s="1123" t="s">
        <v>523</v>
      </c>
      <c r="P118" s="695"/>
      <c r="Q118" s="696"/>
      <c r="R118" s="1123" t="s">
        <v>533</v>
      </c>
      <c r="S118" s="695"/>
      <c r="T118" s="696"/>
      <c r="U118" s="697"/>
      <c r="V118" s="695"/>
      <c r="W118" s="696"/>
      <c r="X118" s="678" t="s">
        <v>533</v>
      </c>
      <c r="Y118" s="1128" t="s">
        <v>0</v>
      </c>
    </row>
    <row r="119" spans="1:25">
      <c r="A119" s="692"/>
      <c r="B119" s="704" t="s">
        <v>536</v>
      </c>
      <c r="C119" s="704"/>
      <c r="D119" s="695"/>
      <c r="E119" s="696"/>
      <c r="F119" s="697">
        <v>45000</v>
      </c>
      <c r="G119" s="695"/>
      <c r="H119" s="696"/>
      <c r="I119" s="1123">
        <v>45000</v>
      </c>
      <c r="J119" s="695"/>
      <c r="K119" s="696"/>
      <c r="L119" s="697"/>
      <c r="M119" s="695"/>
      <c r="N119" s="696"/>
      <c r="O119" s="697">
        <f t="shared" si="0"/>
        <v>45000</v>
      </c>
      <c r="P119" s="695"/>
      <c r="Q119" s="696"/>
      <c r="R119" s="697"/>
      <c r="S119" s="695"/>
      <c r="T119" s="696"/>
      <c r="U119" s="697">
        <v>-45000</v>
      </c>
      <c r="V119" s="695"/>
      <c r="W119" s="696"/>
      <c r="X119" s="667">
        <f>O119+R119+U119</f>
        <v>0</v>
      </c>
      <c r="Y119" s="662" t="s">
        <v>0</v>
      </c>
    </row>
    <row r="120" spans="1:25">
      <c r="A120" s="692"/>
      <c r="B120" s="704" t="s">
        <v>537</v>
      </c>
      <c r="C120" s="704"/>
      <c r="D120" s="695"/>
      <c r="E120" s="696"/>
      <c r="F120" s="697">
        <v>20000</v>
      </c>
      <c r="G120" s="695"/>
      <c r="H120" s="696"/>
      <c r="I120" s="1123">
        <v>20000</v>
      </c>
      <c r="J120" s="695"/>
      <c r="K120" s="696"/>
      <c r="L120" s="697"/>
      <c r="M120" s="695"/>
      <c r="N120" s="696"/>
      <c r="O120" s="697">
        <f t="shared" si="0"/>
        <v>20000</v>
      </c>
      <c r="P120" s="695"/>
      <c r="Q120" s="696"/>
      <c r="R120" s="697"/>
      <c r="S120" s="695"/>
      <c r="T120" s="696"/>
      <c r="U120" s="697">
        <v>-20000</v>
      </c>
      <c r="V120" s="695"/>
      <c r="W120" s="696"/>
      <c r="X120" s="667">
        <f t="shared" ref="X120:X124" si="3">O120+R120+U120</f>
        <v>0</v>
      </c>
      <c r="Y120" s="662" t="s">
        <v>0</v>
      </c>
    </row>
    <row r="121" spans="1:25">
      <c r="A121" s="692"/>
      <c r="B121" s="704" t="s">
        <v>491</v>
      </c>
      <c r="C121" s="704"/>
      <c r="D121" s="695"/>
      <c r="E121" s="696"/>
      <c r="F121" s="1124">
        <v>0</v>
      </c>
      <c r="G121" s="695"/>
      <c r="H121" s="696"/>
      <c r="I121" s="1123">
        <v>0</v>
      </c>
      <c r="J121" s="695"/>
      <c r="K121" s="696"/>
      <c r="L121" s="697"/>
      <c r="M121" s="695"/>
      <c r="N121" s="696"/>
      <c r="O121" s="1123">
        <f t="shared" si="0"/>
        <v>0</v>
      </c>
      <c r="P121" s="695"/>
      <c r="Q121" s="696"/>
      <c r="R121" s="697">
        <v>8000</v>
      </c>
      <c r="S121" s="695"/>
      <c r="T121" s="696"/>
      <c r="U121" s="697"/>
      <c r="V121" s="695"/>
      <c r="W121" s="696"/>
      <c r="X121" s="667">
        <f t="shared" si="3"/>
        <v>8000</v>
      </c>
      <c r="Y121" s="662" t="s">
        <v>0</v>
      </c>
    </row>
    <row r="122" spans="1:25">
      <c r="A122" s="692"/>
      <c r="B122" s="704" t="s">
        <v>538</v>
      </c>
      <c r="C122" s="704"/>
      <c r="D122" s="695"/>
      <c r="E122" s="696"/>
      <c r="F122" s="697">
        <v>1000</v>
      </c>
      <c r="G122" s="695"/>
      <c r="H122" s="696"/>
      <c r="I122" s="1123">
        <v>1000</v>
      </c>
      <c r="J122" s="695"/>
      <c r="K122" s="696"/>
      <c r="L122" s="697"/>
      <c r="M122" s="695"/>
      <c r="N122" s="696"/>
      <c r="O122" s="697">
        <f t="shared" si="0"/>
        <v>1000</v>
      </c>
      <c r="P122" s="695"/>
      <c r="Q122" s="696"/>
      <c r="R122" s="697"/>
      <c r="S122" s="695"/>
      <c r="T122" s="696"/>
      <c r="U122" s="697">
        <v>-1000</v>
      </c>
      <c r="V122" s="695"/>
      <c r="W122" s="696"/>
      <c r="X122" s="667">
        <f t="shared" si="3"/>
        <v>0</v>
      </c>
      <c r="Y122" s="662" t="s">
        <v>0</v>
      </c>
    </row>
    <row r="123" spans="1:25">
      <c r="A123" s="692"/>
      <c r="B123" s="704" t="s">
        <v>539</v>
      </c>
      <c r="C123" s="704"/>
      <c r="D123" s="695"/>
      <c r="E123" s="696"/>
      <c r="F123" s="1124">
        <v>0</v>
      </c>
      <c r="G123" s="695"/>
      <c r="H123" s="696"/>
      <c r="I123" s="1123">
        <v>0</v>
      </c>
      <c r="J123" s="695"/>
      <c r="K123" s="696"/>
      <c r="L123" s="697"/>
      <c r="M123" s="695"/>
      <c r="N123" s="696"/>
      <c r="O123" s="1123">
        <f t="shared" si="0"/>
        <v>0</v>
      </c>
      <c r="P123" s="695"/>
      <c r="Q123" s="696"/>
      <c r="R123" s="697">
        <v>30000</v>
      </c>
      <c r="S123" s="695"/>
      <c r="T123" s="696"/>
      <c r="U123" s="697"/>
      <c r="V123" s="695"/>
      <c r="W123" s="696"/>
      <c r="X123" s="667">
        <f t="shared" si="3"/>
        <v>30000</v>
      </c>
      <c r="Y123" s="662" t="s">
        <v>0</v>
      </c>
    </row>
    <row r="124" spans="1:25">
      <c r="A124" s="692"/>
      <c r="B124" s="704" t="s">
        <v>540</v>
      </c>
      <c r="C124" s="704"/>
      <c r="D124" s="695"/>
      <c r="E124" s="696"/>
      <c r="F124" s="697">
        <v>50000</v>
      </c>
      <c r="G124" s="695"/>
      <c r="H124" s="696"/>
      <c r="I124" s="1123">
        <v>50000</v>
      </c>
      <c r="J124" s="695"/>
      <c r="K124" s="696"/>
      <c r="L124" s="697"/>
      <c r="M124" s="695"/>
      <c r="N124" s="696"/>
      <c r="O124" s="697">
        <f t="shared" si="0"/>
        <v>50000</v>
      </c>
      <c r="P124" s="695"/>
      <c r="Q124" s="696"/>
      <c r="R124" s="697"/>
      <c r="S124" s="695"/>
      <c r="T124" s="696"/>
      <c r="U124" s="697">
        <v>-50000</v>
      </c>
      <c r="V124" s="695"/>
      <c r="W124" s="696"/>
      <c r="X124" s="667">
        <f t="shared" si="3"/>
        <v>0</v>
      </c>
      <c r="Y124" s="662" t="s">
        <v>0</v>
      </c>
    </row>
    <row r="125" spans="1:25">
      <c r="A125" s="692"/>
      <c r="B125" s="704"/>
      <c r="C125" s="704" t="s">
        <v>541</v>
      </c>
      <c r="D125" s="695"/>
      <c r="E125" s="696"/>
      <c r="F125" s="1123" t="s">
        <v>603</v>
      </c>
      <c r="G125" s="695"/>
      <c r="H125" s="696"/>
      <c r="I125" s="1123" t="s">
        <v>603</v>
      </c>
      <c r="J125" s="695"/>
      <c r="K125" s="696"/>
      <c r="L125" s="697"/>
      <c r="M125" s="695"/>
      <c r="N125" s="696"/>
      <c r="O125" s="1123" t="s">
        <v>603</v>
      </c>
      <c r="P125" s="695"/>
      <c r="Q125" s="696"/>
      <c r="R125" s="697"/>
      <c r="S125" s="695"/>
      <c r="T125" s="696"/>
      <c r="U125" s="1123" t="s">
        <v>542</v>
      </c>
      <c r="V125" s="695"/>
      <c r="W125" s="696"/>
      <c r="X125" s="667">
        <v>0</v>
      </c>
      <c r="Y125" s="662" t="s">
        <v>0</v>
      </c>
    </row>
    <row r="126" spans="1:25">
      <c r="A126" s="692"/>
      <c r="B126" s="704"/>
      <c r="C126" s="704" t="s">
        <v>543</v>
      </c>
      <c r="D126" s="695"/>
      <c r="E126" s="696"/>
      <c r="F126" s="1123" t="s">
        <v>420</v>
      </c>
      <c r="G126" s="695"/>
      <c r="H126" s="696"/>
      <c r="I126" s="1123" t="s">
        <v>420</v>
      </c>
      <c r="J126" s="695"/>
      <c r="K126" s="696"/>
      <c r="L126" s="697"/>
      <c r="M126" s="695"/>
      <c r="N126" s="696"/>
      <c r="O126" s="1123" t="s">
        <v>420</v>
      </c>
      <c r="P126" s="695"/>
      <c r="Q126" s="696"/>
      <c r="R126" s="697"/>
      <c r="S126" s="695"/>
      <c r="T126" s="696"/>
      <c r="U126" s="1123" t="s">
        <v>544</v>
      </c>
      <c r="V126" s="695"/>
      <c r="W126" s="696"/>
      <c r="X126" s="667">
        <v>0</v>
      </c>
      <c r="Y126" s="662" t="s">
        <v>0</v>
      </c>
    </row>
    <row r="127" spans="1:25">
      <c r="A127" s="692"/>
      <c r="B127" s="704"/>
      <c r="C127" s="704" t="s">
        <v>545</v>
      </c>
      <c r="D127" s="695"/>
      <c r="E127" s="696"/>
      <c r="F127" s="1123" t="s">
        <v>546</v>
      </c>
      <c r="G127" s="695"/>
      <c r="H127" s="696"/>
      <c r="I127" s="1123" t="s">
        <v>546</v>
      </c>
      <c r="J127" s="695"/>
      <c r="K127" s="696"/>
      <c r="L127" s="697"/>
      <c r="M127" s="695"/>
      <c r="N127" s="696"/>
      <c r="O127" s="1123" t="s">
        <v>546</v>
      </c>
      <c r="P127" s="695"/>
      <c r="Q127" s="696"/>
      <c r="R127" s="697"/>
      <c r="S127" s="695"/>
      <c r="T127" s="696"/>
      <c r="U127" s="1123" t="s">
        <v>547</v>
      </c>
      <c r="V127" s="695"/>
      <c r="W127" s="696"/>
      <c r="X127" s="667">
        <v>0</v>
      </c>
      <c r="Y127" s="662" t="s">
        <v>0</v>
      </c>
    </row>
    <row r="128" spans="1:25">
      <c r="A128" s="692"/>
      <c r="B128" s="704"/>
      <c r="C128" s="704" t="s">
        <v>548</v>
      </c>
      <c r="D128" s="695"/>
      <c r="E128" s="696"/>
      <c r="F128" s="1123" t="s">
        <v>549</v>
      </c>
      <c r="G128" s="695"/>
      <c r="H128" s="696"/>
      <c r="I128" s="1123" t="s">
        <v>549</v>
      </c>
      <c r="J128" s="695"/>
      <c r="K128" s="696"/>
      <c r="L128" s="697"/>
      <c r="M128" s="695"/>
      <c r="N128" s="696"/>
      <c r="O128" s="1123" t="s">
        <v>549</v>
      </c>
      <c r="P128" s="695"/>
      <c r="Q128" s="696"/>
      <c r="R128" s="697"/>
      <c r="S128" s="695"/>
      <c r="T128" s="696"/>
      <c r="U128" s="1123" t="s">
        <v>550</v>
      </c>
      <c r="V128" s="695"/>
      <c r="W128" s="696"/>
      <c r="X128" s="667">
        <v>0</v>
      </c>
      <c r="Y128" s="662" t="s">
        <v>0</v>
      </c>
    </row>
    <row r="129" spans="1:25">
      <c r="A129" s="692"/>
      <c r="B129" s="704" t="s">
        <v>506</v>
      </c>
      <c r="C129" s="704"/>
      <c r="D129" s="695"/>
      <c r="E129" s="696"/>
      <c r="F129" s="697">
        <v>10000</v>
      </c>
      <c r="G129" s="695"/>
      <c r="H129" s="696"/>
      <c r="I129" s="1123">
        <v>10000</v>
      </c>
      <c r="J129" s="695"/>
      <c r="K129" s="696"/>
      <c r="L129" s="697"/>
      <c r="M129" s="695"/>
      <c r="N129" s="696"/>
      <c r="O129" s="697">
        <f t="shared" si="0"/>
        <v>10000</v>
      </c>
      <c r="P129" s="695"/>
      <c r="Q129" s="696"/>
      <c r="R129" s="697"/>
      <c r="S129" s="695"/>
      <c r="T129" s="696"/>
      <c r="U129" s="697">
        <v>-10000</v>
      </c>
      <c r="V129" s="695"/>
      <c r="W129" s="696"/>
      <c r="X129" s="667">
        <f>O129+R129+U129</f>
        <v>0</v>
      </c>
      <c r="Y129" s="662" t="s">
        <v>0</v>
      </c>
    </row>
    <row r="130" spans="1:25">
      <c r="A130" s="692"/>
      <c r="B130" s="704" t="s">
        <v>551</v>
      </c>
      <c r="C130" s="704"/>
      <c r="D130" s="695"/>
      <c r="E130" s="696"/>
      <c r="F130" s="697">
        <v>519000</v>
      </c>
      <c r="G130" s="695"/>
      <c r="H130" s="696"/>
      <c r="I130" s="1123">
        <v>519000</v>
      </c>
      <c r="J130" s="695"/>
      <c r="K130" s="696"/>
      <c r="L130" s="697"/>
      <c r="M130" s="695"/>
      <c r="N130" s="696"/>
      <c r="O130" s="697">
        <f t="shared" si="0"/>
        <v>519000</v>
      </c>
      <c r="P130" s="695"/>
      <c r="Q130" s="696"/>
      <c r="R130" s="697"/>
      <c r="S130" s="695"/>
      <c r="T130" s="696"/>
      <c r="U130" s="697"/>
      <c r="V130" s="695"/>
      <c r="W130" s="696"/>
      <c r="X130" s="667">
        <f>O130+R130+U130</f>
        <v>519000</v>
      </c>
      <c r="Y130" s="662" t="s">
        <v>0</v>
      </c>
    </row>
    <row r="131" spans="1:25">
      <c r="A131" s="692"/>
      <c r="B131" s="704"/>
      <c r="C131" s="704" t="s">
        <v>522</v>
      </c>
      <c r="D131" s="695"/>
      <c r="E131" s="696"/>
      <c r="F131" s="1124">
        <v>0</v>
      </c>
      <c r="G131" s="695"/>
      <c r="H131" s="696"/>
      <c r="I131" s="1123">
        <v>0</v>
      </c>
      <c r="J131" s="695"/>
      <c r="K131" s="696"/>
      <c r="L131" s="697"/>
      <c r="M131" s="695"/>
      <c r="N131" s="696"/>
      <c r="O131" s="1123">
        <f t="shared" si="0"/>
        <v>0</v>
      </c>
      <c r="P131" s="695"/>
      <c r="Q131" s="696"/>
      <c r="R131" s="1123" t="s">
        <v>552</v>
      </c>
      <c r="S131" s="695"/>
      <c r="T131" s="696"/>
      <c r="U131" s="697"/>
      <c r="V131" s="695"/>
      <c r="W131" s="696"/>
      <c r="X131" s="678" t="s">
        <v>552</v>
      </c>
      <c r="Y131" s="662" t="s">
        <v>0</v>
      </c>
    </row>
    <row r="132" spans="1:25">
      <c r="A132" s="692"/>
      <c r="B132" s="704"/>
      <c r="C132" s="704" t="s">
        <v>553</v>
      </c>
      <c r="D132" s="695"/>
      <c r="E132" s="696"/>
      <c r="F132" s="1123" t="s">
        <v>554</v>
      </c>
      <c r="G132" s="695"/>
      <c r="H132" s="696"/>
      <c r="I132" s="1123" t="s">
        <v>554</v>
      </c>
      <c r="J132" s="695"/>
      <c r="K132" s="696"/>
      <c r="L132" s="697"/>
      <c r="M132" s="695"/>
      <c r="N132" s="696"/>
      <c r="O132" s="1123" t="s">
        <v>554</v>
      </c>
      <c r="P132" s="695"/>
      <c r="Q132" s="696"/>
      <c r="R132" s="697"/>
      <c r="S132" s="695"/>
      <c r="T132" s="696"/>
      <c r="U132" s="1123" t="s">
        <v>555</v>
      </c>
      <c r="V132" s="695"/>
      <c r="W132" s="696"/>
      <c r="X132" s="667">
        <v>0</v>
      </c>
      <c r="Y132" s="662" t="s">
        <v>0</v>
      </c>
    </row>
    <row r="133" spans="1:25">
      <c r="A133" s="692"/>
      <c r="B133" s="704"/>
      <c r="C133" s="704" t="s">
        <v>431</v>
      </c>
      <c r="D133" s="695"/>
      <c r="E133" s="696"/>
      <c r="F133" s="1124">
        <v>0</v>
      </c>
      <c r="G133" s="695"/>
      <c r="H133" s="696"/>
      <c r="I133" s="1123">
        <v>0</v>
      </c>
      <c r="J133" s="695"/>
      <c r="K133" s="696"/>
      <c r="L133" s="697"/>
      <c r="M133" s="695"/>
      <c r="N133" s="696"/>
      <c r="O133" s="1123">
        <f t="shared" si="0"/>
        <v>0</v>
      </c>
      <c r="P133" s="695"/>
      <c r="Q133" s="696"/>
      <c r="R133" s="697"/>
      <c r="S133" s="695"/>
      <c r="T133" s="696"/>
      <c r="U133" s="697"/>
      <c r="V133" s="695"/>
      <c r="W133" s="696"/>
      <c r="X133" s="667">
        <f>O133+R133+U133</f>
        <v>0</v>
      </c>
      <c r="Y133" s="662" t="s">
        <v>0</v>
      </c>
    </row>
    <row r="134" spans="1:25">
      <c r="A134" s="692"/>
      <c r="B134" s="704"/>
      <c r="C134" s="704" t="s">
        <v>556</v>
      </c>
      <c r="D134" s="695"/>
      <c r="E134" s="696"/>
      <c r="F134" s="1123" t="s">
        <v>546</v>
      </c>
      <c r="G134" s="695"/>
      <c r="H134" s="696"/>
      <c r="I134" s="1123" t="s">
        <v>546</v>
      </c>
      <c r="J134" s="695"/>
      <c r="K134" s="696"/>
      <c r="L134" s="697"/>
      <c r="M134" s="695"/>
      <c r="N134" s="696"/>
      <c r="O134" s="1123" t="s">
        <v>546</v>
      </c>
      <c r="P134" s="695"/>
      <c r="Q134" s="696"/>
      <c r="R134" s="697"/>
      <c r="S134" s="695"/>
      <c r="T134" s="696"/>
      <c r="U134" s="1123" t="s">
        <v>557</v>
      </c>
      <c r="V134" s="695"/>
      <c r="W134" s="696"/>
      <c r="X134" s="678" t="s">
        <v>558</v>
      </c>
      <c r="Y134" s="662" t="s">
        <v>0</v>
      </c>
    </row>
    <row r="135" spans="1:25" ht="31.5" customHeight="1">
      <c r="A135" s="692"/>
      <c r="B135" s="2351" t="s">
        <v>559</v>
      </c>
      <c r="C135" s="2352"/>
      <c r="D135" s="695"/>
      <c r="E135" s="696"/>
      <c r="F135" s="1124">
        <v>0</v>
      </c>
      <c r="G135" s="695"/>
      <c r="H135" s="696"/>
      <c r="I135" s="1123">
        <v>0</v>
      </c>
      <c r="J135" s="695"/>
      <c r="K135" s="696"/>
      <c r="L135" s="697"/>
      <c r="M135" s="695"/>
      <c r="N135" s="696"/>
      <c r="O135" s="1123">
        <f t="shared" si="0"/>
        <v>0</v>
      </c>
      <c r="P135" s="695"/>
      <c r="Q135" s="696"/>
      <c r="R135" s="697">
        <v>12000</v>
      </c>
      <c r="S135" s="695"/>
      <c r="T135" s="696"/>
      <c r="U135" s="697"/>
      <c r="V135" s="695"/>
      <c r="W135" s="696"/>
      <c r="X135" s="667">
        <f>O135+R135+U135</f>
        <v>12000</v>
      </c>
      <c r="Y135" s="662" t="s">
        <v>0</v>
      </c>
    </row>
    <row r="136" spans="1:25" ht="36.75" customHeight="1">
      <c r="A136" s="692"/>
      <c r="B136" s="2351" t="s">
        <v>560</v>
      </c>
      <c r="C136" s="2352"/>
      <c r="D136" s="695"/>
      <c r="E136" s="696"/>
      <c r="F136" s="697">
        <v>12000</v>
      </c>
      <c r="G136" s="695"/>
      <c r="H136" s="696"/>
      <c r="I136" s="1123">
        <v>12000</v>
      </c>
      <c r="J136" s="695"/>
      <c r="K136" s="696"/>
      <c r="L136" s="697"/>
      <c r="M136" s="695"/>
      <c r="N136" s="696"/>
      <c r="O136" s="697">
        <f t="shared" si="0"/>
        <v>12000</v>
      </c>
      <c r="P136" s="695"/>
      <c r="Q136" s="696"/>
      <c r="R136" s="697"/>
      <c r="S136" s="695"/>
      <c r="T136" s="696"/>
      <c r="U136" s="697">
        <v>-12000</v>
      </c>
      <c r="V136" s="695"/>
      <c r="W136" s="696"/>
      <c r="X136" s="667">
        <f>O136+R136+U136</f>
        <v>0</v>
      </c>
      <c r="Y136" s="662" t="s">
        <v>0</v>
      </c>
    </row>
    <row r="137" spans="1:25">
      <c r="A137" s="692"/>
      <c r="B137" s="704" t="s">
        <v>561</v>
      </c>
      <c r="C137" s="704"/>
      <c r="D137" s="695"/>
      <c r="E137" s="696"/>
      <c r="F137" s="697">
        <v>2000</v>
      </c>
      <c r="G137" s="695"/>
      <c r="H137" s="696"/>
      <c r="I137" s="1123">
        <v>2000</v>
      </c>
      <c r="J137" s="695"/>
      <c r="K137" s="696"/>
      <c r="L137" s="697"/>
      <c r="M137" s="695"/>
      <c r="N137" s="696"/>
      <c r="O137" s="697">
        <f t="shared" si="0"/>
        <v>2000</v>
      </c>
      <c r="P137" s="695"/>
      <c r="Q137" s="696"/>
      <c r="R137" s="697"/>
      <c r="S137" s="695"/>
      <c r="T137" s="696"/>
      <c r="U137" s="697">
        <v>-2000</v>
      </c>
      <c r="V137" s="695"/>
      <c r="W137" s="696"/>
      <c r="X137" s="667">
        <f t="shared" ref="X137:X142" si="4">O137+R137+U137</f>
        <v>0</v>
      </c>
      <c r="Y137" s="662" t="s">
        <v>0</v>
      </c>
    </row>
    <row r="138" spans="1:25">
      <c r="A138" s="692"/>
      <c r="B138" s="704" t="s">
        <v>562</v>
      </c>
      <c r="C138" s="704"/>
      <c r="D138" s="695"/>
      <c r="E138" s="696"/>
      <c r="F138" s="697">
        <v>11500</v>
      </c>
      <c r="G138" s="695"/>
      <c r="H138" s="696"/>
      <c r="I138" s="1123">
        <v>11500</v>
      </c>
      <c r="J138" s="695"/>
      <c r="K138" s="696"/>
      <c r="L138" s="697"/>
      <c r="M138" s="695"/>
      <c r="N138" s="696"/>
      <c r="O138" s="697">
        <f t="shared" si="0"/>
        <v>11500</v>
      </c>
      <c r="P138" s="695"/>
      <c r="Q138" s="696"/>
      <c r="R138" s="697">
        <v>500</v>
      </c>
      <c r="S138" s="695"/>
      <c r="T138" s="696"/>
      <c r="U138" s="697"/>
      <c r="V138" s="695"/>
      <c r="W138" s="696"/>
      <c r="X138" s="667">
        <f t="shared" si="4"/>
        <v>12000</v>
      </c>
      <c r="Y138" s="662" t="s">
        <v>0</v>
      </c>
    </row>
    <row r="139" spans="1:25">
      <c r="A139" s="692"/>
      <c r="B139" s="704" t="s">
        <v>563</v>
      </c>
      <c r="C139" s="704"/>
      <c r="D139" s="695"/>
      <c r="E139" s="696"/>
      <c r="F139" s="697">
        <v>20000</v>
      </c>
      <c r="G139" s="695"/>
      <c r="H139" s="696"/>
      <c r="I139" s="1123">
        <v>20000</v>
      </c>
      <c r="J139" s="695"/>
      <c r="K139" s="696"/>
      <c r="L139" s="697"/>
      <c r="M139" s="695"/>
      <c r="N139" s="696"/>
      <c r="O139" s="697">
        <f t="shared" si="0"/>
        <v>20000</v>
      </c>
      <c r="P139" s="695"/>
      <c r="Q139" s="696"/>
      <c r="R139" s="697"/>
      <c r="S139" s="695"/>
      <c r="T139" s="696"/>
      <c r="U139" s="697">
        <v>-8000</v>
      </c>
      <c r="V139" s="695"/>
      <c r="W139" s="696"/>
      <c r="X139" s="667">
        <f t="shared" si="4"/>
        <v>12000</v>
      </c>
      <c r="Y139" s="662" t="s">
        <v>0</v>
      </c>
    </row>
    <row r="140" spans="1:25">
      <c r="A140" s="692"/>
      <c r="B140" s="704" t="s">
        <v>564</v>
      </c>
      <c r="C140" s="704"/>
      <c r="D140" s="695"/>
      <c r="E140" s="696"/>
      <c r="F140" s="697">
        <v>3000</v>
      </c>
      <c r="G140" s="695"/>
      <c r="H140" s="696"/>
      <c r="I140" s="1123">
        <v>3000</v>
      </c>
      <c r="J140" s="695"/>
      <c r="K140" s="696"/>
      <c r="L140" s="697"/>
      <c r="M140" s="695"/>
      <c r="N140" s="696"/>
      <c r="O140" s="697">
        <f t="shared" si="0"/>
        <v>3000</v>
      </c>
      <c r="P140" s="695"/>
      <c r="Q140" s="696"/>
      <c r="R140" s="697"/>
      <c r="S140" s="695"/>
      <c r="T140" s="696"/>
      <c r="U140" s="697">
        <v>-3000</v>
      </c>
      <c r="V140" s="695"/>
      <c r="W140" s="696"/>
      <c r="X140" s="667">
        <f t="shared" si="4"/>
        <v>0</v>
      </c>
      <c r="Y140" s="662" t="s">
        <v>0</v>
      </c>
    </row>
    <row r="141" spans="1:25">
      <c r="A141" s="692"/>
      <c r="B141" s="704" t="s">
        <v>565</v>
      </c>
      <c r="C141" s="704"/>
      <c r="D141" s="695"/>
      <c r="E141" s="696"/>
      <c r="F141" s="697">
        <v>35000</v>
      </c>
      <c r="G141" s="695"/>
      <c r="H141" s="696"/>
      <c r="I141" s="1123">
        <v>35000</v>
      </c>
      <c r="J141" s="695"/>
      <c r="K141" s="696"/>
      <c r="L141" s="697"/>
      <c r="M141" s="695"/>
      <c r="N141" s="696"/>
      <c r="O141" s="697">
        <f t="shared" si="0"/>
        <v>35000</v>
      </c>
      <c r="P141" s="695"/>
      <c r="Q141" s="696"/>
      <c r="R141" s="697"/>
      <c r="S141" s="695"/>
      <c r="T141" s="696"/>
      <c r="U141" s="697">
        <v>-35000</v>
      </c>
      <c r="V141" s="695"/>
      <c r="W141" s="696"/>
      <c r="X141" s="667">
        <f t="shared" si="4"/>
        <v>0</v>
      </c>
      <c r="Y141" s="662" t="s">
        <v>0</v>
      </c>
    </row>
    <row r="142" spans="1:25">
      <c r="A142" s="692"/>
      <c r="B142" s="704" t="s">
        <v>512</v>
      </c>
      <c r="C142" s="704"/>
      <c r="D142" s="695"/>
      <c r="E142" s="696"/>
      <c r="F142" s="697">
        <v>7000</v>
      </c>
      <c r="G142" s="695"/>
      <c r="H142" s="696"/>
      <c r="I142" s="1123">
        <v>7000</v>
      </c>
      <c r="J142" s="695"/>
      <c r="K142" s="696"/>
      <c r="L142" s="697"/>
      <c r="M142" s="695"/>
      <c r="N142" s="696"/>
      <c r="O142" s="697">
        <f t="shared" si="0"/>
        <v>7000</v>
      </c>
      <c r="P142" s="695"/>
      <c r="Q142" s="696"/>
      <c r="R142" s="697"/>
      <c r="S142" s="695"/>
      <c r="T142" s="696"/>
      <c r="U142" s="697">
        <v>-7000</v>
      </c>
      <c r="V142" s="695"/>
      <c r="W142" s="696"/>
      <c r="X142" s="667">
        <f t="shared" si="4"/>
        <v>0</v>
      </c>
      <c r="Y142" s="662" t="s">
        <v>0</v>
      </c>
    </row>
    <row r="143" spans="1:25" ht="30.75" customHeight="1">
      <c r="A143" s="692"/>
      <c r="B143" s="2351" t="s">
        <v>566</v>
      </c>
      <c r="C143" s="2352"/>
      <c r="D143" s="695"/>
      <c r="E143" s="696"/>
      <c r="F143" s="1124">
        <v>0</v>
      </c>
      <c r="G143" s="695"/>
      <c r="H143" s="696"/>
      <c r="I143" s="1123">
        <v>0</v>
      </c>
      <c r="J143" s="695"/>
      <c r="K143" s="696"/>
      <c r="L143" s="697"/>
      <c r="M143" s="695"/>
      <c r="N143" s="696"/>
      <c r="O143" s="1123">
        <f t="shared" si="0"/>
        <v>0</v>
      </c>
      <c r="P143" s="695"/>
      <c r="Q143" s="696"/>
      <c r="R143" s="697">
        <v>3500</v>
      </c>
      <c r="S143" s="695"/>
      <c r="T143" s="696"/>
      <c r="U143" s="697"/>
      <c r="V143" s="695"/>
      <c r="W143" s="696"/>
      <c r="X143" s="667">
        <f>O143+R143+U143</f>
        <v>3500</v>
      </c>
      <c r="Y143" s="662" t="s">
        <v>0</v>
      </c>
    </row>
    <row r="144" spans="1:25">
      <c r="A144" s="692"/>
      <c r="B144" s="704" t="s">
        <v>513</v>
      </c>
      <c r="C144" s="704"/>
      <c r="D144" s="695"/>
      <c r="E144" s="696"/>
      <c r="F144" s="697">
        <v>15000</v>
      </c>
      <c r="G144" s="695"/>
      <c r="H144" s="696"/>
      <c r="I144" s="1123">
        <v>15000</v>
      </c>
      <c r="J144" s="695"/>
      <c r="K144" s="696"/>
      <c r="L144" s="697"/>
      <c r="M144" s="695"/>
      <c r="N144" s="696"/>
      <c r="O144" s="697">
        <f t="shared" si="0"/>
        <v>15000</v>
      </c>
      <c r="P144" s="695"/>
      <c r="Q144" s="696"/>
      <c r="R144" s="697"/>
      <c r="S144" s="695"/>
      <c r="T144" s="696"/>
      <c r="U144" s="697">
        <v>-10000</v>
      </c>
      <c r="V144" s="695"/>
      <c r="W144" s="696"/>
      <c r="X144" s="667">
        <f>O144+R144+U144</f>
        <v>5000</v>
      </c>
      <c r="Y144" s="662" t="s">
        <v>0</v>
      </c>
    </row>
    <row r="145" spans="1:25">
      <c r="A145" s="1129"/>
      <c r="B145" s="1130" t="s">
        <v>567</v>
      </c>
      <c r="C145" s="1130"/>
      <c r="D145" s="719"/>
      <c r="E145" s="720"/>
      <c r="F145" s="1131">
        <v>0</v>
      </c>
      <c r="G145" s="719"/>
      <c r="H145" s="720"/>
      <c r="I145" s="1132">
        <v>0</v>
      </c>
      <c r="J145" s="719"/>
      <c r="K145" s="720"/>
      <c r="L145" s="1001"/>
      <c r="M145" s="719"/>
      <c r="N145" s="720"/>
      <c r="O145" s="1132">
        <f t="shared" si="0"/>
        <v>0</v>
      </c>
      <c r="P145" s="719"/>
      <c r="Q145" s="720"/>
      <c r="R145" s="1001">
        <v>57000</v>
      </c>
      <c r="S145" s="719"/>
      <c r="T145" s="720"/>
      <c r="U145" s="1001"/>
      <c r="V145" s="719"/>
      <c r="W145" s="720"/>
      <c r="X145" s="917">
        <f>O145+R145+U145</f>
        <v>57000</v>
      </c>
      <c r="Y145" s="662" t="s">
        <v>0</v>
      </c>
    </row>
    <row r="146" spans="1:25">
      <c r="A146" s="1133"/>
      <c r="B146" s="1133"/>
      <c r="C146" s="1133"/>
      <c r="D146" s="1120"/>
      <c r="E146" s="1120"/>
      <c r="F146" s="1134"/>
      <c r="G146" s="1120"/>
      <c r="H146" s="1120"/>
      <c r="I146" s="1121"/>
      <c r="J146" s="1120"/>
      <c r="K146" s="1120"/>
      <c r="L146" s="730"/>
      <c r="M146" s="1120"/>
      <c r="N146" s="1120"/>
      <c r="O146" s="1121"/>
      <c r="P146" s="1120"/>
      <c r="Q146" s="1120"/>
      <c r="R146" s="730"/>
      <c r="S146" s="1120"/>
      <c r="T146" s="1120"/>
      <c r="U146" s="730"/>
      <c r="V146" s="1120"/>
      <c r="W146" s="1120"/>
      <c r="X146" s="730"/>
      <c r="Y146" s="662"/>
    </row>
    <row r="147" spans="1:25" ht="18" customHeight="1">
      <c r="A147" s="2061" t="s">
        <v>34</v>
      </c>
      <c r="B147" s="2062"/>
      <c r="C147" s="2062"/>
      <c r="D147" s="2062"/>
      <c r="E147" s="2062"/>
      <c r="F147" s="2062"/>
      <c r="G147" s="2062"/>
      <c r="H147" s="2062"/>
      <c r="I147" s="2062"/>
      <c r="J147" s="2062"/>
      <c r="K147" s="2062"/>
      <c r="L147" s="2062"/>
      <c r="M147" s="2062"/>
      <c r="N147" s="2062"/>
      <c r="O147" s="2062"/>
      <c r="P147" s="2062"/>
      <c r="Q147" s="2062"/>
      <c r="R147" s="2062"/>
      <c r="S147" s="2062"/>
      <c r="T147" s="2062"/>
      <c r="U147" s="2062"/>
      <c r="V147" s="2062"/>
      <c r="W147" s="2062"/>
      <c r="X147" s="2062"/>
      <c r="Y147" s="662" t="s">
        <v>0</v>
      </c>
    </row>
    <row r="148" spans="1:25" ht="18" customHeight="1">
      <c r="Y148" s="662" t="s">
        <v>0</v>
      </c>
    </row>
    <row r="149" spans="1:25" ht="18" customHeight="1">
      <c r="Y149" s="662" t="s">
        <v>0</v>
      </c>
    </row>
    <row r="150" spans="1:25" ht="22.5">
      <c r="A150" s="2065" t="s">
        <v>267</v>
      </c>
      <c r="B150" s="2356"/>
      <c r="C150" s="2356"/>
      <c r="D150" s="2356"/>
      <c r="E150" s="2356"/>
      <c r="F150" s="2356"/>
      <c r="G150" s="2356"/>
      <c r="H150" s="2356"/>
      <c r="I150" s="2356"/>
      <c r="J150" s="2356"/>
      <c r="K150" s="2356"/>
      <c r="L150" s="2356"/>
      <c r="M150" s="2356"/>
      <c r="N150" s="2356"/>
      <c r="O150" s="2356"/>
      <c r="P150" s="2356"/>
      <c r="Q150" s="2356"/>
      <c r="R150" s="2356"/>
      <c r="S150" s="2356"/>
      <c r="T150" s="2356"/>
      <c r="U150" s="2356"/>
      <c r="V150" s="2356"/>
      <c r="W150" s="2356"/>
      <c r="X150" s="2356"/>
      <c r="Y150" s="662" t="s">
        <v>0</v>
      </c>
    </row>
    <row r="151" spans="1:25" ht="23.25">
      <c r="A151" s="2059" t="str">
        <f>A5</f>
        <v>Office of Justice Programs</v>
      </c>
      <c r="B151" s="2059"/>
      <c r="C151" s="2059"/>
      <c r="D151" s="2059"/>
      <c r="E151" s="2059"/>
      <c r="F151" s="2059"/>
      <c r="G151" s="2059"/>
      <c r="H151" s="2059"/>
      <c r="I151" s="2059"/>
      <c r="J151" s="2059"/>
      <c r="K151" s="2059"/>
      <c r="L151" s="2059"/>
      <c r="M151" s="2059"/>
      <c r="N151" s="2059"/>
      <c r="O151" s="2059"/>
      <c r="P151" s="2059"/>
      <c r="Q151" s="2059"/>
      <c r="R151" s="2059"/>
      <c r="S151" s="2059"/>
      <c r="T151" s="2059"/>
      <c r="U151" s="2059"/>
      <c r="V151" s="2059"/>
      <c r="W151" s="2059"/>
      <c r="X151" s="2059"/>
      <c r="Y151" s="662" t="s">
        <v>0</v>
      </c>
    </row>
    <row r="152" spans="1:25" ht="23.25">
      <c r="A152" s="2059" t="s">
        <v>482</v>
      </c>
      <c r="B152" s="2356"/>
      <c r="C152" s="2356"/>
      <c r="D152" s="2356"/>
      <c r="E152" s="2356"/>
      <c r="F152" s="2356"/>
      <c r="G152" s="2356"/>
      <c r="H152" s="2356"/>
      <c r="I152" s="2356"/>
      <c r="J152" s="2356"/>
      <c r="K152" s="2356"/>
      <c r="L152" s="2356"/>
      <c r="M152" s="2356"/>
      <c r="N152" s="2356"/>
      <c r="O152" s="2356"/>
      <c r="P152" s="2356"/>
      <c r="Q152" s="2356"/>
      <c r="R152" s="2356"/>
      <c r="S152" s="2356"/>
      <c r="T152" s="2356"/>
      <c r="U152" s="2356"/>
      <c r="V152" s="2356"/>
      <c r="W152" s="2356"/>
      <c r="X152" s="2356"/>
      <c r="Y152" s="662" t="s">
        <v>0</v>
      </c>
    </row>
    <row r="153" spans="1:25" ht="23.25">
      <c r="A153" s="2059" t="s">
        <v>257</v>
      </c>
      <c r="B153" s="2357"/>
      <c r="C153" s="2357"/>
      <c r="D153" s="2357"/>
      <c r="E153" s="2357"/>
      <c r="F153" s="2357"/>
      <c r="G153" s="2357"/>
      <c r="H153" s="2357"/>
      <c r="I153" s="2357"/>
      <c r="J153" s="2357"/>
      <c r="K153" s="2357"/>
      <c r="L153" s="2357"/>
      <c r="M153" s="2357"/>
      <c r="N153" s="2357"/>
      <c r="O153" s="2357"/>
      <c r="P153" s="2357"/>
      <c r="Q153" s="2357"/>
      <c r="R153" s="2357"/>
      <c r="S153" s="2357"/>
      <c r="T153" s="2357"/>
      <c r="U153" s="2357"/>
      <c r="V153" s="2357"/>
      <c r="W153" s="2357"/>
      <c r="X153" s="2357"/>
      <c r="Y153" s="662" t="s">
        <v>0</v>
      </c>
    </row>
    <row r="154" spans="1:25" ht="18" customHeight="1">
      <c r="Y154" s="662" t="s">
        <v>0</v>
      </c>
    </row>
    <row r="155" spans="1:25" ht="22.5" customHeight="1">
      <c r="A155" s="2112" t="s">
        <v>276</v>
      </c>
      <c r="B155" s="2113"/>
      <c r="C155" s="2113"/>
      <c r="D155" s="2118" t="s">
        <v>18</v>
      </c>
      <c r="E155" s="2119"/>
      <c r="F155" s="2120"/>
      <c r="G155" s="2124" t="s">
        <v>355</v>
      </c>
      <c r="H155" s="2125"/>
      <c r="I155" s="2126"/>
      <c r="J155" s="2118" t="s">
        <v>246</v>
      </c>
      <c r="K155" s="2119"/>
      <c r="L155" s="2120"/>
      <c r="M155" s="2118" t="s">
        <v>244</v>
      </c>
      <c r="N155" s="2119"/>
      <c r="O155" s="2120"/>
      <c r="P155" s="2118" t="s">
        <v>247</v>
      </c>
      <c r="Q155" s="2130"/>
      <c r="R155" s="2130"/>
      <c r="S155" s="2118" t="s">
        <v>248</v>
      </c>
      <c r="T155" s="2119"/>
      <c r="U155" s="2119"/>
      <c r="V155" s="2118" t="s">
        <v>42</v>
      </c>
      <c r="W155" s="2119"/>
      <c r="X155" s="2120"/>
      <c r="Y155" s="662" t="s">
        <v>0</v>
      </c>
    </row>
    <row r="156" spans="1:25" ht="27.75" customHeight="1">
      <c r="A156" s="2114"/>
      <c r="B156" s="2115"/>
      <c r="C156" s="2115"/>
      <c r="D156" s="2121"/>
      <c r="E156" s="2122"/>
      <c r="F156" s="2123"/>
      <c r="G156" s="2127"/>
      <c r="H156" s="2128"/>
      <c r="I156" s="2129"/>
      <c r="J156" s="2121"/>
      <c r="K156" s="2122"/>
      <c r="L156" s="2123"/>
      <c r="M156" s="2121"/>
      <c r="N156" s="2122"/>
      <c r="O156" s="2123"/>
      <c r="P156" s="2131"/>
      <c r="Q156" s="2132"/>
      <c r="R156" s="2132"/>
      <c r="S156" s="2121"/>
      <c r="T156" s="2122"/>
      <c r="U156" s="2122"/>
      <c r="V156" s="2121"/>
      <c r="W156" s="2122"/>
      <c r="X156" s="2123"/>
      <c r="Y156" s="662" t="s">
        <v>0</v>
      </c>
    </row>
    <row r="157" spans="1:25" ht="16.5" thickBot="1">
      <c r="A157" s="2116"/>
      <c r="B157" s="2117"/>
      <c r="C157" s="2117"/>
      <c r="D157" s="687" t="s">
        <v>277</v>
      </c>
      <c r="E157" s="688" t="s">
        <v>49</v>
      </c>
      <c r="F157" s="689" t="s">
        <v>279</v>
      </c>
      <c r="G157" s="687" t="s">
        <v>277</v>
      </c>
      <c r="H157" s="688" t="s">
        <v>49</v>
      </c>
      <c r="I157" s="689" t="s">
        <v>279</v>
      </c>
      <c r="J157" s="687" t="s">
        <v>277</v>
      </c>
      <c r="K157" s="688" t="s">
        <v>49</v>
      </c>
      <c r="L157" s="689" t="s">
        <v>279</v>
      </c>
      <c r="M157" s="687" t="s">
        <v>277</v>
      </c>
      <c r="N157" s="688" t="s">
        <v>49</v>
      </c>
      <c r="O157" s="689" t="s">
        <v>279</v>
      </c>
      <c r="P157" s="687" t="s">
        <v>277</v>
      </c>
      <c r="Q157" s="688" t="s">
        <v>49</v>
      </c>
      <c r="R157" s="689" t="s">
        <v>279</v>
      </c>
      <c r="S157" s="687" t="s">
        <v>277</v>
      </c>
      <c r="T157" s="688" t="s">
        <v>49</v>
      </c>
      <c r="U157" s="689" t="s">
        <v>279</v>
      </c>
      <c r="V157" s="690" t="s">
        <v>277</v>
      </c>
      <c r="W157" s="688" t="s">
        <v>49</v>
      </c>
      <c r="X157" s="691" t="s">
        <v>279</v>
      </c>
      <c r="Y157" s="662" t="s">
        <v>0</v>
      </c>
    </row>
    <row r="158" spans="1:25">
      <c r="A158" s="933"/>
      <c r="B158" s="1135" t="s">
        <v>514</v>
      </c>
      <c r="C158" s="1135"/>
      <c r="D158" s="1136"/>
      <c r="E158" s="1137"/>
      <c r="F158" s="1138">
        <v>1000</v>
      </c>
      <c r="G158" s="1136"/>
      <c r="H158" s="1137"/>
      <c r="I158" s="1139">
        <v>1000</v>
      </c>
      <c r="J158" s="1136"/>
      <c r="K158" s="1137"/>
      <c r="L158" s="1138"/>
      <c r="M158" s="1136"/>
      <c r="N158" s="1137"/>
      <c r="O158" s="1138">
        <f t="shared" si="0"/>
        <v>1000</v>
      </c>
      <c r="P158" s="1136"/>
      <c r="Q158" s="1137"/>
      <c r="R158" s="1138"/>
      <c r="S158" s="1136"/>
      <c r="T158" s="1137"/>
      <c r="U158" s="1138">
        <v>-1000</v>
      </c>
      <c r="V158" s="1136"/>
      <c r="W158" s="1137"/>
      <c r="X158" s="1113">
        <f>O158+R158+U158</f>
        <v>0</v>
      </c>
      <c r="Y158" s="662" t="s">
        <v>0</v>
      </c>
    </row>
    <row r="159" spans="1:25">
      <c r="A159" s="692"/>
      <c r="B159" s="704" t="s">
        <v>568</v>
      </c>
      <c r="C159" s="704"/>
      <c r="D159" s="695"/>
      <c r="E159" s="696"/>
      <c r="F159" s="697">
        <v>30000</v>
      </c>
      <c r="G159" s="695"/>
      <c r="H159" s="696"/>
      <c r="I159" s="1123">
        <v>30000</v>
      </c>
      <c r="J159" s="695"/>
      <c r="K159" s="696"/>
      <c r="L159" s="697"/>
      <c r="M159" s="695"/>
      <c r="N159" s="696"/>
      <c r="O159" s="697">
        <f t="shared" si="0"/>
        <v>30000</v>
      </c>
      <c r="P159" s="695"/>
      <c r="Q159" s="696"/>
      <c r="R159" s="697"/>
      <c r="S159" s="695"/>
      <c r="T159" s="696"/>
      <c r="U159" s="697"/>
      <c r="V159" s="695"/>
      <c r="W159" s="696"/>
      <c r="X159" s="667">
        <f>O159+R159+U159</f>
        <v>30000</v>
      </c>
      <c r="Y159" s="662" t="s">
        <v>0</v>
      </c>
    </row>
    <row r="160" spans="1:25">
      <c r="A160" s="709"/>
      <c r="B160" s="705" t="s">
        <v>569</v>
      </c>
      <c r="C160" s="706"/>
      <c r="D160" s="695"/>
      <c r="E160" s="696"/>
      <c r="F160" s="697">
        <v>100000</v>
      </c>
      <c r="G160" s="695"/>
      <c r="H160" s="696"/>
      <c r="I160" s="1123">
        <v>100000</v>
      </c>
      <c r="J160" s="695"/>
      <c r="K160" s="696"/>
      <c r="L160" s="697"/>
      <c r="M160" s="695"/>
      <c r="N160" s="696"/>
      <c r="O160" s="697">
        <f t="shared" si="0"/>
        <v>100000</v>
      </c>
      <c r="P160" s="695"/>
      <c r="Q160" s="696"/>
      <c r="R160" s="697"/>
      <c r="S160" s="695"/>
      <c r="T160" s="696"/>
      <c r="U160" s="697"/>
      <c r="V160" s="695"/>
      <c r="W160" s="696"/>
      <c r="X160" s="667">
        <f>O160+R160+U160</f>
        <v>100000</v>
      </c>
      <c r="Y160" s="662" t="s">
        <v>0</v>
      </c>
    </row>
    <row r="161" spans="1:25">
      <c r="A161" s="692"/>
      <c r="B161" s="704"/>
      <c r="C161" s="1140" t="s">
        <v>570</v>
      </c>
      <c r="D161" s="695"/>
      <c r="E161" s="696"/>
      <c r="F161" s="697">
        <v>0</v>
      </c>
      <c r="G161" s="695"/>
      <c r="H161" s="696"/>
      <c r="I161" s="1123">
        <v>0</v>
      </c>
      <c r="J161" s="695"/>
      <c r="K161" s="696"/>
      <c r="L161" s="697"/>
      <c r="M161" s="695"/>
      <c r="N161" s="696"/>
      <c r="O161" s="697">
        <f t="shared" si="0"/>
        <v>0</v>
      </c>
      <c r="P161" s="695"/>
      <c r="Q161" s="696"/>
      <c r="R161" s="697"/>
      <c r="S161" s="695"/>
      <c r="T161" s="696"/>
      <c r="U161" s="697">
        <v>0</v>
      </c>
      <c r="V161" s="695"/>
      <c r="W161" s="696"/>
      <c r="X161" s="667">
        <f>O161+R161+U161</f>
        <v>0</v>
      </c>
      <c r="Y161" s="662" t="s">
        <v>0</v>
      </c>
    </row>
    <row r="162" spans="1:25">
      <c r="A162" s="692"/>
      <c r="B162" s="704"/>
      <c r="C162" s="1140" t="s">
        <v>571</v>
      </c>
      <c r="D162" s="695"/>
      <c r="E162" s="696"/>
      <c r="F162" s="1123" t="s">
        <v>572</v>
      </c>
      <c r="G162" s="695"/>
      <c r="H162" s="696"/>
      <c r="I162" s="1123" t="s">
        <v>572</v>
      </c>
      <c r="J162" s="695"/>
      <c r="K162" s="696"/>
      <c r="L162" s="697"/>
      <c r="M162" s="695"/>
      <c r="N162" s="696"/>
      <c r="O162" s="1123" t="s">
        <v>572</v>
      </c>
      <c r="P162" s="695"/>
      <c r="Q162" s="696"/>
      <c r="R162" s="697"/>
      <c r="S162" s="695"/>
      <c r="T162" s="696"/>
      <c r="U162" s="1123" t="s">
        <v>573</v>
      </c>
      <c r="V162" s="695"/>
      <c r="W162" s="696"/>
      <c r="X162" s="667">
        <v>0</v>
      </c>
      <c r="Y162" s="662" t="s">
        <v>0</v>
      </c>
    </row>
    <row r="163" spans="1:25">
      <c r="A163" s="692"/>
      <c r="B163" s="704"/>
      <c r="C163" s="1141" t="s">
        <v>574</v>
      </c>
      <c r="D163" s="695"/>
      <c r="E163" s="696"/>
      <c r="F163" s="1123" t="s">
        <v>417</v>
      </c>
      <c r="G163" s="695"/>
      <c r="H163" s="696"/>
      <c r="I163" s="1123" t="s">
        <v>417</v>
      </c>
      <c r="J163" s="695"/>
      <c r="K163" s="696"/>
      <c r="L163" s="697"/>
      <c r="M163" s="695"/>
      <c r="N163" s="696"/>
      <c r="O163" s="1123" t="s">
        <v>417</v>
      </c>
      <c r="P163" s="695"/>
      <c r="Q163" s="696"/>
      <c r="R163" s="697"/>
      <c r="S163" s="695"/>
      <c r="T163" s="696"/>
      <c r="U163" s="1123" t="s">
        <v>575</v>
      </c>
      <c r="V163" s="695"/>
      <c r="W163" s="696"/>
      <c r="X163" s="667">
        <v>0</v>
      </c>
      <c r="Y163" s="662" t="s">
        <v>0</v>
      </c>
    </row>
    <row r="164" spans="1:25">
      <c r="A164" s="692"/>
      <c r="B164" s="704"/>
      <c r="C164" s="1140" t="s">
        <v>576</v>
      </c>
      <c r="D164" s="695"/>
      <c r="E164" s="696"/>
      <c r="F164" s="1123" t="s">
        <v>533</v>
      </c>
      <c r="G164" s="695"/>
      <c r="H164" s="696"/>
      <c r="I164" s="1123" t="s">
        <v>533</v>
      </c>
      <c r="J164" s="695"/>
      <c r="K164" s="696"/>
      <c r="L164" s="697"/>
      <c r="M164" s="695"/>
      <c r="N164" s="696"/>
      <c r="O164" s="1123" t="s">
        <v>533</v>
      </c>
      <c r="P164" s="695"/>
      <c r="Q164" s="696"/>
      <c r="R164" s="697"/>
      <c r="S164" s="695"/>
      <c r="T164" s="696"/>
      <c r="U164" s="1123" t="s">
        <v>577</v>
      </c>
      <c r="V164" s="695"/>
      <c r="W164" s="696"/>
      <c r="X164" s="667">
        <v>0</v>
      </c>
      <c r="Y164" s="662" t="s">
        <v>0</v>
      </c>
    </row>
    <row r="165" spans="1:25">
      <c r="A165" s="692"/>
      <c r="B165" s="704"/>
      <c r="C165" s="1140" t="s">
        <v>578</v>
      </c>
      <c r="D165" s="695"/>
      <c r="E165" s="696"/>
      <c r="F165" s="1123" t="s">
        <v>438</v>
      </c>
      <c r="G165" s="695"/>
      <c r="H165" s="696"/>
      <c r="I165" s="1123" t="s">
        <v>438</v>
      </c>
      <c r="J165" s="695"/>
      <c r="K165" s="696"/>
      <c r="L165" s="697"/>
      <c r="M165" s="695"/>
      <c r="N165" s="696"/>
      <c r="O165" s="1123" t="s">
        <v>438</v>
      </c>
      <c r="P165" s="695"/>
      <c r="Q165" s="696"/>
      <c r="R165" s="697"/>
      <c r="S165" s="695"/>
      <c r="T165" s="696"/>
      <c r="U165" s="1123" t="s">
        <v>579</v>
      </c>
      <c r="V165" s="695"/>
      <c r="W165" s="696"/>
      <c r="X165" s="667">
        <v>0</v>
      </c>
      <c r="Y165" s="662" t="s">
        <v>0</v>
      </c>
    </row>
    <row r="166" spans="1:25">
      <c r="A166" s="692"/>
      <c r="B166" s="704"/>
      <c r="C166" s="1140" t="s">
        <v>580</v>
      </c>
      <c r="D166" s="695"/>
      <c r="E166" s="696"/>
      <c r="F166" s="1123" t="s">
        <v>581</v>
      </c>
      <c r="G166" s="695"/>
      <c r="H166" s="696"/>
      <c r="I166" s="1123" t="s">
        <v>581</v>
      </c>
      <c r="J166" s="695"/>
      <c r="K166" s="696"/>
      <c r="L166" s="697"/>
      <c r="M166" s="695"/>
      <c r="N166" s="696"/>
      <c r="O166" s="1123" t="s">
        <v>581</v>
      </c>
      <c r="P166" s="695"/>
      <c r="Q166" s="696"/>
      <c r="R166" s="697"/>
      <c r="S166" s="695"/>
      <c r="T166" s="696"/>
      <c r="U166" s="1123" t="s">
        <v>582</v>
      </c>
      <c r="V166" s="695"/>
      <c r="W166" s="696"/>
      <c r="X166" s="667">
        <v>0</v>
      </c>
      <c r="Y166" s="662" t="s">
        <v>0</v>
      </c>
    </row>
    <row r="167" spans="1:25">
      <c r="A167" s="692"/>
      <c r="B167" s="704"/>
      <c r="C167" s="1140" t="s">
        <v>583</v>
      </c>
      <c r="D167" s="695"/>
      <c r="E167" s="696"/>
      <c r="F167" s="1123" t="s">
        <v>420</v>
      </c>
      <c r="G167" s="695"/>
      <c r="H167" s="696"/>
      <c r="I167" s="1123" t="s">
        <v>420</v>
      </c>
      <c r="J167" s="695"/>
      <c r="K167" s="696"/>
      <c r="L167" s="697"/>
      <c r="M167" s="695"/>
      <c r="N167" s="696"/>
      <c r="O167" s="1123" t="s">
        <v>420</v>
      </c>
      <c r="P167" s="695"/>
      <c r="Q167" s="696"/>
      <c r="R167" s="697"/>
      <c r="S167" s="695"/>
      <c r="T167" s="696"/>
      <c r="U167" s="1123" t="s">
        <v>544</v>
      </c>
      <c r="V167" s="695"/>
      <c r="W167" s="696"/>
      <c r="X167" s="667">
        <v>0</v>
      </c>
      <c r="Y167" s="662" t="s">
        <v>0</v>
      </c>
    </row>
    <row r="168" spans="1:25">
      <c r="A168" s="692"/>
      <c r="B168" s="704"/>
      <c r="C168" s="1140" t="s">
        <v>584</v>
      </c>
      <c r="D168" s="695"/>
      <c r="E168" s="696"/>
      <c r="F168" s="697">
        <v>0</v>
      </c>
      <c r="G168" s="695"/>
      <c r="H168" s="696"/>
      <c r="I168" s="1123">
        <v>0</v>
      </c>
      <c r="J168" s="695"/>
      <c r="K168" s="696"/>
      <c r="L168" s="697"/>
      <c r="M168" s="695"/>
      <c r="N168" s="696"/>
      <c r="O168" s="697">
        <f t="shared" si="0"/>
        <v>0</v>
      </c>
      <c r="P168" s="695"/>
      <c r="Q168" s="696"/>
      <c r="R168" s="1123" t="s">
        <v>420</v>
      </c>
      <c r="S168" s="695"/>
      <c r="T168" s="696"/>
      <c r="U168" s="697"/>
      <c r="V168" s="695"/>
      <c r="W168" s="696"/>
      <c r="X168" s="678" t="s">
        <v>420</v>
      </c>
      <c r="Y168" s="662" t="s">
        <v>0</v>
      </c>
    </row>
    <row r="169" spans="1:25">
      <c r="A169" s="692"/>
      <c r="B169" s="704"/>
      <c r="C169" s="1140" t="s">
        <v>585</v>
      </c>
      <c r="D169" s="695"/>
      <c r="E169" s="696"/>
      <c r="F169" s="697">
        <v>0</v>
      </c>
      <c r="G169" s="695"/>
      <c r="H169" s="696"/>
      <c r="I169" s="1123">
        <v>0</v>
      </c>
      <c r="J169" s="695"/>
      <c r="K169" s="696"/>
      <c r="L169" s="697"/>
      <c r="M169" s="695"/>
      <c r="N169" s="696"/>
      <c r="O169" s="697">
        <f t="shared" si="0"/>
        <v>0</v>
      </c>
      <c r="P169" s="695"/>
      <c r="Q169" s="696"/>
      <c r="R169" s="1123" t="s">
        <v>586</v>
      </c>
      <c r="S169" s="695"/>
      <c r="T169" s="696"/>
      <c r="U169" s="697"/>
      <c r="V169" s="695"/>
      <c r="W169" s="696"/>
      <c r="X169" s="678" t="s">
        <v>586</v>
      </c>
      <c r="Y169" s="662" t="s">
        <v>0</v>
      </c>
    </row>
    <row r="170" spans="1:25">
      <c r="A170" s="692"/>
      <c r="B170" s="704"/>
      <c r="C170" s="1140" t="s">
        <v>587</v>
      </c>
      <c r="D170" s="695"/>
      <c r="E170" s="696"/>
      <c r="F170" s="697">
        <v>0</v>
      </c>
      <c r="G170" s="695"/>
      <c r="H170" s="696"/>
      <c r="I170" s="1123">
        <v>0</v>
      </c>
      <c r="J170" s="695"/>
      <c r="K170" s="696"/>
      <c r="L170" s="697"/>
      <c r="M170" s="695"/>
      <c r="N170" s="696"/>
      <c r="O170" s="697">
        <f t="shared" si="0"/>
        <v>0</v>
      </c>
      <c r="P170" s="695"/>
      <c r="Q170" s="696"/>
      <c r="R170" s="1123" t="s">
        <v>588</v>
      </c>
      <c r="S170" s="695"/>
      <c r="T170" s="696"/>
      <c r="U170" s="697"/>
      <c r="V170" s="695"/>
      <c r="W170" s="696"/>
      <c r="X170" s="678" t="s">
        <v>588</v>
      </c>
      <c r="Y170" s="662" t="s">
        <v>0</v>
      </c>
    </row>
    <row r="171" spans="1:25">
      <c r="A171" s="692"/>
      <c r="B171" s="704"/>
      <c r="C171" s="1140" t="s">
        <v>589</v>
      </c>
      <c r="D171" s="695"/>
      <c r="E171" s="696"/>
      <c r="F171" s="1123" t="s">
        <v>420</v>
      </c>
      <c r="G171" s="695"/>
      <c r="H171" s="696"/>
      <c r="I171" s="1123" t="s">
        <v>420</v>
      </c>
      <c r="J171" s="695"/>
      <c r="K171" s="696"/>
      <c r="L171" s="697"/>
      <c r="M171" s="695"/>
      <c r="N171" s="696"/>
      <c r="O171" s="1123" t="s">
        <v>420</v>
      </c>
      <c r="P171" s="695"/>
      <c r="Q171" s="696"/>
      <c r="R171" s="1123"/>
      <c r="S171" s="695"/>
      <c r="T171" s="696"/>
      <c r="U171" s="1123" t="s">
        <v>544</v>
      </c>
      <c r="V171" s="695"/>
      <c r="W171" s="696"/>
      <c r="X171" s="667">
        <v>0</v>
      </c>
      <c r="Y171" s="662" t="s">
        <v>0</v>
      </c>
    </row>
    <row r="172" spans="1:25">
      <c r="A172" s="692"/>
      <c r="B172" s="704"/>
      <c r="C172" s="1140" t="s">
        <v>590</v>
      </c>
      <c r="D172" s="695"/>
      <c r="E172" s="696"/>
      <c r="F172" s="1123">
        <v>0</v>
      </c>
      <c r="G172" s="695"/>
      <c r="H172" s="696"/>
      <c r="I172" s="1123">
        <v>0</v>
      </c>
      <c r="J172" s="695"/>
      <c r="K172" s="696"/>
      <c r="L172" s="697"/>
      <c r="M172" s="695"/>
      <c r="N172" s="696"/>
      <c r="O172" s="697">
        <f t="shared" si="0"/>
        <v>0</v>
      </c>
      <c r="P172" s="695"/>
      <c r="Q172" s="696"/>
      <c r="R172" s="1123" t="s">
        <v>591</v>
      </c>
      <c r="S172" s="695"/>
      <c r="T172" s="696"/>
      <c r="U172" s="697"/>
      <c r="V172" s="695"/>
      <c r="W172" s="696"/>
      <c r="X172" s="678" t="s">
        <v>591</v>
      </c>
      <c r="Y172" s="662" t="s">
        <v>0</v>
      </c>
    </row>
    <row r="173" spans="1:25">
      <c r="A173" s="692"/>
      <c r="B173" s="1133"/>
      <c r="C173" s="1140" t="s">
        <v>592</v>
      </c>
      <c r="D173" s="695"/>
      <c r="E173" s="696"/>
      <c r="F173" s="1123" t="s">
        <v>554</v>
      </c>
      <c r="G173" s="695"/>
      <c r="H173" s="696"/>
      <c r="I173" s="1123" t="s">
        <v>554</v>
      </c>
      <c r="J173" s="695"/>
      <c r="K173" s="696"/>
      <c r="L173" s="697"/>
      <c r="M173" s="695"/>
      <c r="N173" s="696"/>
      <c r="O173" s="1123" t="s">
        <v>554</v>
      </c>
      <c r="P173" s="695"/>
      <c r="Q173" s="696"/>
      <c r="R173" s="697"/>
      <c r="S173" s="695"/>
      <c r="T173" s="696"/>
      <c r="U173" s="1123" t="s">
        <v>555</v>
      </c>
      <c r="V173" s="695"/>
      <c r="W173" s="696"/>
      <c r="X173" s="667">
        <v>0</v>
      </c>
      <c r="Y173" s="662" t="s">
        <v>0</v>
      </c>
    </row>
    <row r="174" spans="1:25">
      <c r="A174" s="709"/>
      <c r="B174" s="1142" t="s">
        <v>431</v>
      </c>
      <c r="C174" s="706"/>
      <c r="D174" s="695"/>
      <c r="E174" s="696"/>
      <c r="F174" s="1124">
        <v>0</v>
      </c>
      <c r="G174" s="695"/>
      <c r="H174" s="696"/>
      <c r="I174" s="1123">
        <v>0</v>
      </c>
      <c r="J174" s="695"/>
      <c r="K174" s="696"/>
      <c r="L174" s="697">
        <v>45000</v>
      </c>
      <c r="M174" s="695"/>
      <c r="N174" s="696"/>
      <c r="O174" s="1123">
        <f>I174+L174</f>
        <v>45000</v>
      </c>
      <c r="P174" s="695"/>
      <c r="Q174" s="696"/>
      <c r="R174" s="697"/>
      <c r="S174" s="695"/>
      <c r="T174" s="696"/>
      <c r="U174" s="697">
        <v>-27500</v>
      </c>
      <c r="V174" s="695"/>
      <c r="W174" s="696"/>
      <c r="X174" s="667">
        <f>O174+R174+U174</f>
        <v>17500</v>
      </c>
      <c r="Y174" s="662" t="s">
        <v>0</v>
      </c>
    </row>
    <row r="175" spans="1:25">
      <c r="A175" s="692"/>
      <c r="B175" s="2135" t="s">
        <v>497</v>
      </c>
      <c r="C175" s="2353"/>
      <c r="D175" s="695"/>
      <c r="E175" s="696"/>
      <c r="F175" s="1124">
        <v>0</v>
      </c>
      <c r="G175" s="695"/>
      <c r="H175" s="696"/>
      <c r="I175" s="1123">
        <v>0</v>
      </c>
      <c r="J175" s="695"/>
      <c r="K175" s="696"/>
      <c r="L175" s="697"/>
      <c r="M175" s="695"/>
      <c r="N175" s="696"/>
      <c r="O175" s="1123">
        <f>I175+L175</f>
        <v>0</v>
      </c>
      <c r="P175" s="695"/>
      <c r="Q175" s="696"/>
      <c r="R175" s="697">
        <v>10000</v>
      </c>
      <c r="S175" s="695"/>
      <c r="T175" s="696"/>
      <c r="U175" s="697"/>
      <c r="V175" s="695"/>
      <c r="W175" s="696"/>
      <c r="X175" s="667">
        <f>O175+R175+U175</f>
        <v>10000</v>
      </c>
      <c r="Y175" s="662" t="s">
        <v>0</v>
      </c>
    </row>
    <row r="176" spans="1:25">
      <c r="A176" s="692"/>
      <c r="B176" s="704" t="s">
        <v>593</v>
      </c>
      <c r="C176" s="1140"/>
      <c r="D176" s="695"/>
      <c r="E176" s="696"/>
      <c r="F176" s="697">
        <v>31000</v>
      </c>
      <c r="G176" s="695"/>
      <c r="H176" s="696"/>
      <c r="I176" s="1123">
        <v>31000</v>
      </c>
      <c r="J176" s="695"/>
      <c r="K176" s="696"/>
      <c r="L176" s="697"/>
      <c r="M176" s="695"/>
      <c r="N176" s="696"/>
      <c r="O176" s="697">
        <f t="shared" ref="O176:O183" si="5">I176+L176</f>
        <v>31000</v>
      </c>
      <c r="P176" s="695"/>
      <c r="Q176" s="696"/>
      <c r="R176" s="697"/>
      <c r="S176" s="695"/>
      <c r="T176" s="696"/>
      <c r="U176" s="697">
        <v>-31000</v>
      </c>
      <c r="V176" s="695"/>
      <c r="W176" s="696"/>
      <c r="X176" s="667">
        <f>O176+R176+U176</f>
        <v>0</v>
      </c>
      <c r="Y176" s="662" t="s">
        <v>0</v>
      </c>
    </row>
    <row r="177" spans="1:25">
      <c r="A177" s="692"/>
      <c r="B177" s="704" t="s">
        <v>594</v>
      </c>
      <c r="C177" s="1143"/>
      <c r="D177" s="695"/>
      <c r="E177" s="696"/>
      <c r="F177" s="697">
        <v>15000</v>
      </c>
      <c r="G177" s="695"/>
      <c r="H177" s="696"/>
      <c r="I177" s="1123">
        <v>15000</v>
      </c>
      <c r="J177" s="695"/>
      <c r="K177" s="696"/>
      <c r="L177" s="697"/>
      <c r="M177" s="695"/>
      <c r="N177" s="696"/>
      <c r="O177" s="697">
        <f t="shared" si="5"/>
        <v>15000</v>
      </c>
      <c r="P177" s="695"/>
      <c r="Q177" s="696"/>
      <c r="R177" s="697"/>
      <c r="S177" s="695"/>
      <c r="T177" s="696"/>
      <c r="U177" s="697">
        <v>-2500</v>
      </c>
      <c r="V177" s="695"/>
      <c r="W177" s="696"/>
      <c r="X177" s="667">
        <f>O177+R177+U177</f>
        <v>12500</v>
      </c>
      <c r="Y177" s="662" t="s">
        <v>0</v>
      </c>
    </row>
    <row r="178" spans="1:25">
      <c r="A178" s="692"/>
      <c r="B178" s="704"/>
      <c r="C178" s="704" t="s">
        <v>595</v>
      </c>
      <c r="D178" s="695"/>
      <c r="E178" s="696"/>
      <c r="F178" s="1124">
        <v>0</v>
      </c>
      <c r="G178" s="695"/>
      <c r="H178" s="696"/>
      <c r="I178" s="1123">
        <v>0</v>
      </c>
      <c r="J178" s="695"/>
      <c r="K178" s="696"/>
      <c r="L178" s="697"/>
      <c r="M178" s="695"/>
      <c r="N178" s="696"/>
      <c r="O178" s="1123">
        <f t="shared" si="5"/>
        <v>0</v>
      </c>
      <c r="P178" s="695"/>
      <c r="Q178" s="696"/>
      <c r="R178" s="1123" t="s">
        <v>554</v>
      </c>
      <c r="S178" s="695"/>
      <c r="T178" s="696"/>
      <c r="U178" s="697"/>
      <c r="V178" s="695"/>
      <c r="W178" s="696"/>
      <c r="X178" s="678" t="s">
        <v>554</v>
      </c>
      <c r="Y178" s="662" t="s">
        <v>0</v>
      </c>
    </row>
    <row r="179" spans="1:25">
      <c r="A179" s="692"/>
      <c r="B179" s="704" t="s">
        <v>517</v>
      </c>
      <c r="C179" s="704"/>
      <c r="D179" s="695"/>
      <c r="E179" s="696"/>
      <c r="F179" s="697">
        <v>330000</v>
      </c>
      <c r="G179" s="695"/>
      <c r="H179" s="696"/>
      <c r="I179" s="1123">
        <v>330000</v>
      </c>
      <c r="J179" s="695"/>
      <c r="K179" s="696"/>
      <c r="L179" s="697"/>
      <c r="M179" s="695"/>
      <c r="N179" s="696"/>
      <c r="O179" s="697">
        <f t="shared" si="5"/>
        <v>330000</v>
      </c>
      <c r="P179" s="695"/>
      <c r="Q179" s="696"/>
      <c r="R179" s="697"/>
      <c r="S179" s="695"/>
      <c r="T179" s="696"/>
      <c r="U179" s="697">
        <v>-194000</v>
      </c>
      <c r="V179" s="695"/>
      <c r="W179" s="696"/>
      <c r="X179" s="667">
        <f t="shared" ref="X179:X189" si="6">O179+R179+U179</f>
        <v>136000</v>
      </c>
      <c r="Y179" s="662" t="s">
        <v>0</v>
      </c>
    </row>
    <row r="180" spans="1:25">
      <c r="A180" s="692"/>
      <c r="B180" s="704" t="s">
        <v>518</v>
      </c>
      <c r="C180" s="704"/>
      <c r="D180" s="695"/>
      <c r="E180" s="696"/>
      <c r="F180" s="697">
        <v>10000</v>
      </c>
      <c r="G180" s="695"/>
      <c r="H180" s="696"/>
      <c r="I180" s="1123">
        <v>10000</v>
      </c>
      <c r="J180" s="695"/>
      <c r="K180" s="696"/>
      <c r="L180" s="697"/>
      <c r="M180" s="695"/>
      <c r="N180" s="696"/>
      <c r="O180" s="697">
        <f t="shared" si="5"/>
        <v>10000</v>
      </c>
      <c r="P180" s="695"/>
      <c r="Q180" s="696"/>
      <c r="R180" s="697"/>
      <c r="S180" s="695"/>
      <c r="T180" s="696"/>
      <c r="U180" s="697">
        <v>-10000</v>
      </c>
      <c r="V180" s="695"/>
      <c r="W180" s="696"/>
      <c r="X180" s="667">
        <f t="shared" si="6"/>
        <v>0</v>
      </c>
      <c r="Y180" s="662" t="s">
        <v>0</v>
      </c>
    </row>
    <row r="181" spans="1:25">
      <c r="A181" s="692"/>
      <c r="B181" s="704" t="s">
        <v>596</v>
      </c>
      <c r="C181" s="704"/>
      <c r="D181" s="695"/>
      <c r="E181" s="696"/>
      <c r="F181" s="697">
        <v>3500</v>
      </c>
      <c r="G181" s="695"/>
      <c r="H181" s="696"/>
      <c r="I181" s="1123">
        <v>3500</v>
      </c>
      <c r="J181" s="695"/>
      <c r="K181" s="696"/>
      <c r="L181" s="697"/>
      <c r="M181" s="695"/>
      <c r="N181" s="696"/>
      <c r="O181" s="697">
        <f t="shared" si="5"/>
        <v>3500</v>
      </c>
      <c r="P181" s="695"/>
      <c r="Q181" s="696"/>
      <c r="R181" s="697"/>
      <c r="S181" s="695"/>
      <c r="T181" s="696"/>
      <c r="U181" s="697">
        <v>-3500</v>
      </c>
      <c r="V181" s="695"/>
      <c r="W181" s="696"/>
      <c r="X181" s="667">
        <f t="shared" si="6"/>
        <v>0</v>
      </c>
      <c r="Y181" s="662" t="s">
        <v>0</v>
      </c>
    </row>
    <row r="182" spans="1:25">
      <c r="A182" s="692"/>
      <c r="B182" s="2136" t="s">
        <v>520</v>
      </c>
      <c r="C182" s="2136"/>
      <c r="D182" s="695"/>
      <c r="E182" s="696"/>
      <c r="F182" s="697">
        <v>3000</v>
      </c>
      <c r="G182" s="695"/>
      <c r="H182" s="696"/>
      <c r="I182" s="1123">
        <v>3000</v>
      </c>
      <c r="J182" s="695"/>
      <c r="K182" s="696"/>
      <c r="L182" s="697"/>
      <c r="M182" s="695"/>
      <c r="N182" s="696"/>
      <c r="O182" s="697">
        <f t="shared" si="5"/>
        <v>3000</v>
      </c>
      <c r="P182" s="695"/>
      <c r="Q182" s="696"/>
      <c r="R182" s="697"/>
      <c r="S182" s="695"/>
      <c r="T182" s="696"/>
      <c r="U182" s="697">
        <v>-3000</v>
      </c>
      <c r="V182" s="695"/>
      <c r="W182" s="696"/>
      <c r="X182" s="667">
        <f>O182+R182+U182</f>
        <v>0</v>
      </c>
      <c r="Y182" s="662" t="s">
        <v>0</v>
      </c>
    </row>
    <row r="183" spans="1:25" ht="17.25" customHeight="1">
      <c r="A183" s="692"/>
      <c r="B183" s="2136" t="s">
        <v>521</v>
      </c>
      <c r="C183" s="2136"/>
      <c r="D183" s="695"/>
      <c r="E183" s="696"/>
      <c r="F183" s="697">
        <v>12500</v>
      </c>
      <c r="G183" s="695"/>
      <c r="H183" s="696"/>
      <c r="I183" s="1123">
        <v>12500</v>
      </c>
      <c r="J183" s="695"/>
      <c r="K183" s="696"/>
      <c r="L183" s="697"/>
      <c r="M183" s="695"/>
      <c r="N183" s="696"/>
      <c r="O183" s="697">
        <f t="shared" si="5"/>
        <v>12500</v>
      </c>
      <c r="P183" s="695"/>
      <c r="Q183" s="696"/>
      <c r="R183" s="697"/>
      <c r="S183" s="695"/>
      <c r="T183" s="696"/>
      <c r="U183" s="697">
        <v>-2500</v>
      </c>
      <c r="V183" s="695"/>
      <c r="W183" s="696"/>
      <c r="X183" s="667">
        <f>O183+R183+U183</f>
        <v>10000</v>
      </c>
      <c r="Y183" s="662" t="s">
        <v>0</v>
      </c>
    </row>
    <row r="184" spans="1:25">
      <c r="A184" s="710"/>
      <c r="B184" s="711" t="s">
        <v>597</v>
      </c>
      <c r="C184" s="711"/>
      <c r="D184" s="712">
        <f>SUM(D101:D183)</f>
        <v>0</v>
      </c>
      <c r="E184" s="713">
        <f>SUM(E101:E183)</f>
        <v>0</v>
      </c>
      <c r="F184" s="920">
        <f>SUM(F101:F105,F107,F109:F114,F119:F124,F129:F130,F135:F160,F174:F177,F179:F183)</f>
        <v>1534768</v>
      </c>
      <c r="G184" s="712">
        <f t="shared" ref="G184:V184" si="7">SUM(G101:G183)</f>
        <v>0</v>
      </c>
      <c r="H184" s="713">
        <f t="shared" si="7"/>
        <v>0</v>
      </c>
      <c r="I184" s="1144">
        <f>SUM(I101:I105,I107,I109:I114,I119:I124,I129:I130,I135:I160,I174:I177,I179:I183)</f>
        <v>1534768</v>
      </c>
      <c r="J184" s="712">
        <f t="shared" si="7"/>
        <v>0</v>
      </c>
      <c r="K184" s="713">
        <f t="shared" si="7"/>
        <v>0</v>
      </c>
      <c r="L184" s="920">
        <f t="shared" si="7"/>
        <v>207000</v>
      </c>
      <c r="M184" s="712">
        <f t="shared" si="7"/>
        <v>0</v>
      </c>
      <c r="N184" s="713">
        <f t="shared" si="7"/>
        <v>0</v>
      </c>
      <c r="O184" s="920">
        <f>SUM(O101:O105,O107,O109:O114,O119:O124,O129:O130,O135:O160,O174:O177,O179:O183)</f>
        <v>1741768</v>
      </c>
      <c r="P184" s="712">
        <f t="shared" si="7"/>
        <v>0</v>
      </c>
      <c r="Q184" s="713">
        <f t="shared" si="7"/>
        <v>0</v>
      </c>
      <c r="R184" s="920">
        <f>SUM(R101:R114,R119:R124,R129:R130,R135:R160,R174:R177,R179:R183)</f>
        <v>178500</v>
      </c>
      <c r="S184" s="712">
        <f t="shared" si="7"/>
        <v>0</v>
      </c>
      <c r="T184" s="713">
        <f t="shared" si="7"/>
        <v>0</v>
      </c>
      <c r="U184" s="920">
        <f>SUM(U101:U114,U119:U124,U129:U130,U135:U160,U174:U177,U179:U183)</f>
        <v>-746768</v>
      </c>
      <c r="V184" s="712">
        <f t="shared" si="7"/>
        <v>0</v>
      </c>
      <c r="W184" s="713">
        <f>SUM(W101:W183)</f>
        <v>0</v>
      </c>
      <c r="X184" s="1145">
        <f>SUM(X101:X183)</f>
        <v>1173500</v>
      </c>
      <c r="Y184" s="662" t="s">
        <v>0</v>
      </c>
    </row>
    <row r="185" spans="1:25">
      <c r="A185" s="933"/>
      <c r="B185" s="1135" t="s">
        <v>383</v>
      </c>
      <c r="C185" s="1146"/>
      <c r="D185" s="1147"/>
      <c r="E185" s="1148"/>
      <c r="F185" s="1113">
        <v>-19818</v>
      </c>
      <c r="G185" s="1137"/>
      <c r="H185" s="1137"/>
      <c r="I185" s="1139"/>
      <c r="J185" s="1136"/>
      <c r="K185" s="1137"/>
      <c r="L185" s="1113"/>
      <c r="M185" s="1137"/>
      <c r="N185" s="1137"/>
      <c r="O185" s="1138"/>
      <c r="P185" s="1136"/>
      <c r="Q185" s="1137"/>
      <c r="R185" s="1113"/>
      <c r="S185" s="1137"/>
      <c r="T185" s="1137"/>
      <c r="U185" s="1138"/>
      <c r="V185" s="1136"/>
      <c r="W185" s="1137"/>
      <c r="X185" s="1113">
        <f t="shared" si="6"/>
        <v>0</v>
      </c>
      <c r="Y185" s="662" t="s">
        <v>0</v>
      </c>
    </row>
    <row r="186" spans="1:25">
      <c r="A186" s="709"/>
      <c r="B186" s="705" t="s">
        <v>269</v>
      </c>
      <c r="C186" s="1149"/>
      <c r="D186" s="1150"/>
      <c r="E186" s="1151"/>
      <c r="F186" s="1152">
        <v>-42276</v>
      </c>
      <c r="G186" s="741"/>
      <c r="H186" s="741"/>
      <c r="I186" s="1153">
        <v>-44000</v>
      </c>
      <c r="J186" s="1154"/>
      <c r="K186" s="741"/>
      <c r="L186" s="1125">
        <v>44000</v>
      </c>
      <c r="M186" s="741"/>
      <c r="N186" s="741"/>
      <c r="O186" s="1155"/>
      <c r="P186" s="1154"/>
      <c r="Q186" s="741"/>
      <c r="R186" s="1125"/>
      <c r="S186" s="741"/>
      <c r="T186" s="741"/>
      <c r="U186" s="1155">
        <v>-34600</v>
      </c>
      <c r="V186" s="1154"/>
      <c r="W186" s="741"/>
      <c r="X186" s="1125">
        <f t="shared" si="6"/>
        <v>-34600</v>
      </c>
      <c r="Y186" s="662" t="s">
        <v>0</v>
      </c>
    </row>
    <row r="187" spans="1:25">
      <c r="A187" s="709"/>
      <c r="B187" s="705" t="s">
        <v>483</v>
      </c>
      <c r="C187" s="1149"/>
      <c r="D187" s="1150"/>
      <c r="E187" s="1151"/>
      <c r="F187" s="1156">
        <v>203000</v>
      </c>
      <c r="G187" s="741"/>
      <c r="H187" s="741"/>
      <c r="I187" s="1156"/>
      <c r="J187" s="1154"/>
      <c r="K187" s="741"/>
      <c r="L187" s="1125"/>
      <c r="M187" s="741"/>
      <c r="N187" s="741"/>
      <c r="O187" s="1155"/>
      <c r="P187" s="1154"/>
      <c r="Q187" s="741"/>
      <c r="R187" s="1125"/>
      <c r="S187" s="741"/>
      <c r="T187" s="741"/>
      <c r="U187" s="1155"/>
      <c r="V187" s="1154"/>
      <c r="W187" s="741"/>
      <c r="X187" s="1125">
        <f t="shared" si="6"/>
        <v>0</v>
      </c>
      <c r="Y187" s="662" t="s">
        <v>0</v>
      </c>
    </row>
    <row r="188" spans="1:25">
      <c r="A188" s="709"/>
      <c r="B188" s="705" t="s">
        <v>485</v>
      </c>
      <c r="C188" s="1149"/>
      <c r="D188" s="1150"/>
      <c r="E188" s="1151"/>
      <c r="F188" s="1125">
        <v>1500</v>
      </c>
      <c r="G188" s="741"/>
      <c r="H188" s="741"/>
      <c r="I188" s="1125">
        <v>0</v>
      </c>
      <c r="J188" s="1154"/>
      <c r="K188" s="741"/>
      <c r="L188" s="1125"/>
      <c r="M188" s="741"/>
      <c r="N188" s="741"/>
      <c r="O188" s="1155"/>
      <c r="P188" s="1154"/>
      <c r="Q188" s="741"/>
      <c r="R188" s="1125"/>
      <c r="S188" s="741"/>
      <c r="T188" s="741"/>
      <c r="U188" s="1155"/>
      <c r="V188" s="1154"/>
      <c r="W188" s="741"/>
      <c r="X188" s="1125">
        <f t="shared" si="6"/>
        <v>0</v>
      </c>
      <c r="Y188" s="662" t="s">
        <v>0</v>
      </c>
    </row>
    <row r="189" spans="1:25">
      <c r="A189" s="709"/>
      <c r="B189" s="705" t="s">
        <v>484</v>
      </c>
      <c r="C189" s="1149"/>
      <c r="D189" s="1150"/>
      <c r="E189" s="1151"/>
      <c r="F189" s="1125">
        <v>3000</v>
      </c>
      <c r="G189" s="741"/>
      <c r="H189" s="741"/>
      <c r="I189" s="1125"/>
      <c r="J189" s="1154"/>
      <c r="K189" s="741"/>
      <c r="L189" s="1125"/>
      <c r="M189" s="741"/>
      <c r="N189" s="741"/>
      <c r="O189" s="1155"/>
      <c r="P189" s="1154"/>
      <c r="Q189" s="741"/>
      <c r="R189" s="1125"/>
      <c r="S189" s="741"/>
      <c r="T189" s="741"/>
      <c r="U189" s="1155"/>
      <c r="V189" s="1154"/>
      <c r="W189" s="741"/>
      <c r="X189" s="1125">
        <f t="shared" si="6"/>
        <v>0</v>
      </c>
      <c r="Y189" s="662" t="s">
        <v>0</v>
      </c>
    </row>
    <row r="190" spans="1:25" ht="17.25" customHeight="1">
      <c r="A190" s="1129"/>
      <c r="B190" s="1157" t="s">
        <v>50</v>
      </c>
      <c r="C190" s="1158"/>
      <c r="D190" s="712">
        <f t="shared" ref="D190:X190" si="8">SUM(D184:D189)</f>
        <v>0</v>
      </c>
      <c r="E190" s="722">
        <f t="shared" si="8"/>
        <v>0</v>
      </c>
      <c r="F190" s="1159">
        <f t="shared" si="8"/>
        <v>1680174</v>
      </c>
      <c r="G190" s="1160">
        <f t="shared" si="8"/>
        <v>0</v>
      </c>
      <c r="H190" s="1160">
        <f t="shared" si="8"/>
        <v>0</v>
      </c>
      <c r="I190" s="1159">
        <f t="shared" si="8"/>
        <v>1490768</v>
      </c>
      <c r="J190" s="1161">
        <f t="shared" si="8"/>
        <v>0</v>
      </c>
      <c r="K190" s="1160">
        <f t="shared" si="8"/>
        <v>0</v>
      </c>
      <c r="L190" s="1159">
        <f t="shared" si="8"/>
        <v>251000</v>
      </c>
      <c r="M190" s="1160">
        <f t="shared" si="8"/>
        <v>0</v>
      </c>
      <c r="N190" s="1160">
        <f t="shared" si="8"/>
        <v>0</v>
      </c>
      <c r="O190" s="1160">
        <f t="shared" si="8"/>
        <v>1741768</v>
      </c>
      <c r="P190" s="1161">
        <f t="shared" si="8"/>
        <v>0</v>
      </c>
      <c r="Q190" s="1160">
        <f t="shared" si="8"/>
        <v>0</v>
      </c>
      <c r="R190" s="1159">
        <f t="shared" si="8"/>
        <v>178500</v>
      </c>
      <c r="S190" s="1160">
        <f t="shared" si="8"/>
        <v>0</v>
      </c>
      <c r="T190" s="1160">
        <f t="shared" si="8"/>
        <v>0</v>
      </c>
      <c r="U190" s="1160">
        <f>SUM(U184:U189)</f>
        <v>-781368</v>
      </c>
      <c r="V190" s="1161">
        <f t="shared" si="8"/>
        <v>0</v>
      </c>
      <c r="W190" s="1160">
        <f t="shared" si="8"/>
        <v>0</v>
      </c>
      <c r="X190" s="1159">
        <f t="shared" si="8"/>
        <v>1138900</v>
      </c>
      <c r="Y190" s="1162" t="s">
        <v>0</v>
      </c>
    </row>
    <row r="191" spans="1:25">
      <c r="A191" s="710"/>
      <c r="B191" s="2142" t="s">
        <v>263</v>
      </c>
      <c r="C191" s="2143"/>
      <c r="D191" s="732"/>
      <c r="E191" s="733"/>
      <c r="F191" s="736"/>
      <c r="G191" s="735"/>
      <c r="H191" s="736"/>
      <c r="I191" s="736"/>
      <c r="J191" s="735"/>
      <c r="K191" s="736"/>
      <c r="L191" s="736"/>
      <c r="M191" s="735"/>
      <c r="N191" s="736"/>
      <c r="O191" s="736"/>
      <c r="P191" s="735"/>
      <c r="Q191" s="736"/>
      <c r="R191" s="736"/>
      <c r="S191" s="735"/>
      <c r="T191" s="736"/>
      <c r="U191" s="736"/>
      <c r="V191" s="735"/>
      <c r="W191" s="733"/>
      <c r="X191" s="737"/>
      <c r="Y191" s="1162" t="s">
        <v>0</v>
      </c>
    </row>
    <row r="192" spans="1:25">
      <c r="A192" s="692"/>
      <c r="B192" s="2144" t="s">
        <v>262</v>
      </c>
      <c r="C192" s="2145"/>
      <c r="D192" s="695"/>
      <c r="E192" s="696">
        <f>+E184+E191</f>
        <v>0</v>
      </c>
      <c r="F192" s="697"/>
      <c r="G192" s="738"/>
      <c r="H192" s="696">
        <f>+H184+H191</f>
        <v>0</v>
      </c>
      <c r="I192" s="697"/>
      <c r="J192" s="738"/>
      <c r="K192" s="696">
        <f>+K184+K191</f>
        <v>0</v>
      </c>
      <c r="L192" s="697"/>
      <c r="M192" s="738"/>
      <c r="N192" s="696">
        <f>+N184+N191</f>
        <v>0</v>
      </c>
      <c r="O192" s="697"/>
      <c r="P192" s="738"/>
      <c r="Q192" s="696">
        <f>+Q184+Q191</f>
        <v>0</v>
      </c>
      <c r="R192" s="697"/>
      <c r="S192" s="738"/>
      <c r="T192" s="696">
        <f>+T184+T191</f>
        <v>0</v>
      </c>
      <c r="U192" s="697"/>
      <c r="V192" s="738"/>
      <c r="W192" s="696">
        <f>+W184+W191</f>
        <v>0</v>
      </c>
      <c r="X192" s="667"/>
      <c r="Y192" s="1162" t="s">
        <v>0</v>
      </c>
    </row>
    <row r="193" spans="1:25">
      <c r="A193" s="739"/>
      <c r="B193" s="2133"/>
      <c r="C193" s="2134"/>
      <c r="D193" s="726"/>
      <c r="E193" s="727"/>
      <c r="F193" s="729"/>
      <c r="G193" s="728"/>
      <c r="H193" s="729"/>
      <c r="I193" s="729"/>
      <c r="J193" s="728"/>
      <c r="K193" s="729"/>
      <c r="L193" s="729"/>
      <c r="M193" s="728"/>
      <c r="N193" s="729"/>
      <c r="O193" s="729"/>
      <c r="P193" s="728"/>
      <c r="Q193" s="729"/>
      <c r="R193" s="729"/>
      <c r="S193" s="728"/>
      <c r="T193" s="729"/>
      <c r="U193" s="729"/>
      <c r="V193" s="728"/>
      <c r="W193" s="730"/>
      <c r="X193" s="731"/>
      <c r="Y193" s="662" t="s">
        <v>0</v>
      </c>
    </row>
    <row r="194" spans="1:25">
      <c r="A194" s="692"/>
      <c r="B194" s="2144" t="s">
        <v>260</v>
      </c>
      <c r="C194" s="2145"/>
      <c r="D194" s="695"/>
      <c r="E194" s="696"/>
      <c r="F194" s="697"/>
      <c r="G194" s="738"/>
      <c r="H194" s="697"/>
      <c r="I194" s="697"/>
      <c r="J194" s="738"/>
      <c r="K194" s="697"/>
      <c r="L194" s="697"/>
      <c r="M194" s="738"/>
      <c r="N194" s="697"/>
      <c r="O194" s="697"/>
      <c r="P194" s="738"/>
      <c r="Q194" s="697"/>
      <c r="R194" s="697"/>
      <c r="S194" s="738"/>
      <c r="T194" s="697"/>
      <c r="U194" s="697"/>
      <c r="V194" s="738"/>
      <c r="W194" s="697"/>
      <c r="X194" s="667"/>
      <c r="Y194" s="662" t="s">
        <v>0</v>
      </c>
    </row>
    <row r="195" spans="1:25">
      <c r="A195" s="692"/>
      <c r="B195" s="740"/>
      <c r="C195" s="704" t="s">
        <v>55</v>
      </c>
      <c r="D195" s="695"/>
      <c r="E195" s="696"/>
      <c r="F195" s="697"/>
      <c r="G195" s="738"/>
      <c r="H195" s="697"/>
      <c r="I195" s="697"/>
      <c r="J195" s="738"/>
      <c r="K195" s="696"/>
      <c r="L195" s="697"/>
      <c r="M195" s="738"/>
      <c r="N195" s="696"/>
      <c r="O195" s="697"/>
      <c r="P195" s="738"/>
      <c r="Q195" s="696"/>
      <c r="R195" s="697"/>
      <c r="S195" s="738"/>
      <c r="T195" s="696"/>
      <c r="U195" s="697"/>
      <c r="V195" s="738"/>
      <c r="W195" s="741"/>
      <c r="X195" s="667"/>
      <c r="Y195" s="662" t="s">
        <v>0</v>
      </c>
    </row>
    <row r="196" spans="1:25">
      <c r="A196" s="710"/>
      <c r="B196" s="742"/>
      <c r="C196" s="743" t="s">
        <v>103</v>
      </c>
      <c r="D196" s="732"/>
      <c r="E196" s="733"/>
      <c r="F196" s="736"/>
      <c r="G196" s="735"/>
      <c r="H196" s="736"/>
      <c r="I196" s="736"/>
      <c r="J196" s="735"/>
      <c r="K196" s="733"/>
      <c r="L196" s="736"/>
      <c r="M196" s="735"/>
      <c r="N196" s="733"/>
      <c r="O196" s="736"/>
      <c r="P196" s="735"/>
      <c r="Q196" s="733"/>
      <c r="R196" s="736"/>
      <c r="S196" s="735"/>
      <c r="T196" s="733"/>
      <c r="U196" s="736"/>
      <c r="V196" s="735"/>
      <c r="W196" s="733"/>
      <c r="X196" s="737"/>
      <c r="Y196" s="662" t="s">
        <v>0</v>
      </c>
    </row>
    <row r="197" spans="1:25">
      <c r="A197" s="710"/>
      <c r="B197" s="2148" t="s">
        <v>261</v>
      </c>
      <c r="C197" s="2149"/>
      <c r="D197" s="732"/>
      <c r="E197" s="733">
        <f>E196+E195+E192</f>
        <v>0</v>
      </c>
      <c r="F197" s="736"/>
      <c r="G197" s="735"/>
      <c r="H197" s="733">
        <f>H196+H195+H192</f>
        <v>0</v>
      </c>
      <c r="I197" s="736"/>
      <c r="J197" s="735"/>
      <c r="K197" s="733">
        <f>K196+K195+K192</f>
        <v>0</v>
      </c>
      <c r="L197" s="736"/>
      <c r="M197" s="735"/>
      <c r="N197" s="733">
        <f>N196+N195+N192</f>
        <v>0</v>
      </c>
      <c r="O197" s="736"/>
      <c r="P197" s="735"/>
      <c r="Q197" s="733">
        <f>Q196+Q195+Q192</f>
        <v>0</v>
      </c>
      <c r="R197" s="736"/>
      <c r="S197" s="735"/>
      <c r="T197" s="733">
        <f>T196+T195+T192</f>
        <v>0</v>
      </c>
      <c r="U197" s="736"/>
      <c r="V197" s="735"/>
      <c r="W197" s="733">
        <f>W196+W195+W192</f>
        <v>0</v>
      </c>
      <c r="X197" s="737"/>
      <c r="Y197" s="662" t="s">
        <v>24</v>
      </c>
    </row>
    <row r="198" spans="1:25">
      <c r="C198" s="744"/>
    </row>
    <row r="199" spans="1:25" s="746" customFormat="1" ht="15">
      <c r="D199" s="747"/>
      <c r="E199" s="747"/>
      <c r="F199" s="747"/>
      <c r="G199" s="747"/>
      <c r="H199" s="747"/>
      <c r="I199" s="747"/>
      <c r="J199" s="747"/>
      <c r="K199" s="747"/>
      <c r="L199" s="747"/>
      <c r="M199" s="747"/>
      <c r="N199" s="747"/>
      <c r="O199" s="747"/>
      <c r="P199" s="747"/>
      <c r="Q199" s="747"/>
      <c r="R199" s="747"/>
      <c r="S199" s="747"/>
      <c r="T199" s="747"/>
      <c r="U199" s="747"/>
      <c r="V199" s="747"/>
      <c r="W199" s="747"/>
      <c r="X199" s="747"/>
      <c r="Y199" s="748"/>
    </row>
  </sheetData>
  <mergeCells count="95">
    <mergeCell ref="B191:C191"/>
    <mergeCell ref="B192:C192"/>
    <mergeCell ref="B193:C193"/>
    <mergeCell ref="B194:C194"/>
    <mergeCell ref="B197:C197"/>
    <mergeCell ref="B183:C183"/>
    <mergeCell ref="A147:X147"/>
    <mergeCell ref="A150:X150"/>
    <mergeCell ref="A151:X151"/>
    <mergeCell ref="A152:X152"/>
    <mergeCell ref="A153:X153"/>
    <mergeCell ref="A155:C157"/>
    <mergeCell ref="D155:F156"/>
    <mergeCell ref="G155:I156"/>
    <mergeCell ref="J155:L156"/>
    <mergeCell ref="M155:O156"/>
    <mergeCell ref="P155:R156"/>
    <mergeCell ref="S155:U156"/>
    <mergeCell ref="V155:X156"/>
    <mergeCell ref="B175:C175"/>
    <mergeCell ref="B182:C182"/>
    <mergeCell ref="B143:C143"/>
    <mergeCell ref="A93:X93"/>
    <mergeCell ref="A94:X94"/>
    <mergeCell ref="A97:C99"/>
    <mergeCell ref="D97:F98"/>
    <mergeCell ref="G97:I98"/>
    <mergeCell ref="J97:L98"/>
    <mergeCell ref="M97:O98"/>
    <mergeCell ref="P97:R98"/>
    <mergeCell ref="S97:U98"/>
    <mergeCell ref="V97:X98"/>
    <mergeCell ref="B101:C101"/>
    <mergeCell ref="B102:C102"/>
    <mergeCell ref="B103:C103"/>
    <mergeCell ref="B135:C135"/>
    <mergeCell ref="B136:C136"/>
    <mergeCell ref="A92:X92"/>
    <mergeCell ref="A49:X49"/>
    <mergeCell ref="A50:X50"/>
    <mergeCell ref="A55:U55"/>
    <mergeCell ref="A81:U81"/>
    <mergeCell ref="A82:U82"/>
    <mergeCell ref="A83:U83"/>
    <mergeCell ref="A84:U84"/>
    <mergeCell ref="A87:U87"/>
    <mergeCell ref="A88:X88"/>
    <mergeCell ref="A91:X91"/>
    <mergeCell ref="A51:U53"/>
    <mergeCell ref="V51:X51"/>
    <mergeCell ref="V52:V53"/>
    <mergeCell ref="W52:W53"/>
    <mergeCell ref="X52:X53"/>
    <mergeCell ref="A21:U21"/>
    <mergeCell ref="A22:U22"/>
    <mergeCell ref="A23:U23"/>
    <mergeCell ref="A27:U27"/>
    <mergeCell ref="A48:X48"/>
    <mergeCell ref="A29:U29"/>
    <mergeCell ref="A30:U30"/>
    <mergeCell ref="A31:U31"/>
    <mergeCell ref="A32:U32"/>
    <mergeCell ref="A41:U41"/>
    <mergeCell ref="A42:U42"/>
    <mergeCell ref="A43:X43"/>
    <mergeCell ref="A44:X44"/>
    <mergeCell ref="A45:X45"/>
    <mergeCell ref="A46:X46"/>
    <mergeCell ref="A47:X47"/>
    <mergeCell ref="A15:U15"/>
    <mergeCell ref="A16:U16"/>
    <mergeCell ref="A18:U18"/>
    <mergeCell ref="A19:U19"/>
    <mergeCell ref="A20:U20"/>
    <mergeCell ref="A1:X1"/>
    <mergeCell ref="A2:X2"/>
    <mergeCell ref="A3:X3"/>
    <mergeCell ref="A4:X4"/>
    <mergeCell ref="A5:X5"/>
    <mergeCell ref="A26:U26"/>
    <mergeCell ref="A24:U24"/>
    <mergeCell ref="A25:U25"/>
    <mergeCell ref="A54:U54"/>
    <mergeCell ref="A6:X6"/>
    <mergeCell ref="A7:X7"/>
    <mergeCell ref="A8:X8"/>
    <mergeCell ref="A9:X9"/>
    <mergeCell ref="A10:U12"/>
    <mergeCell ref="V10:X10"/>
    <mergeCell ref="V11:V12"/>
    <mergeCell ref="W11:W12"/>
    <mergeCell ref="X11:X12"/>
    <mergeCell ref="A28:U28"/>
    <mergeCell ref="A13:U13"/>
    <mergeCell ref="A14:U14"/>
  </mergeCells>
  <printOptions horizontalCentered="1"/>
  <pageMargins left="0.5" right="0.4" top="0.5" bottom="0.25" header="0" footer="0"/>
  <pageSetup scale="44" firstPageNumber="8" fitToHeight="0" orientation="landscape" useFirstPageNumber="1" r:id="rId1"/>
  <headerFooter alignWithMargins="0">
    <oddFooter>&amp;C&amp;"Times New Roman,Regular"Exhibit B - Summary of Requirements&amp;R&amp;"Times New Roman,Regular"State and Local Law Enforcement Assistance</oddFooter>
  </headerFooter>
  <rowBreaks count="3" manualBreakCount="3">
    <brk id="42" min="1" max="23" man="1"/>
    <brk id="87" min="1" max="23" man="1"/>
    <brk id="146" min="1" max="23" man="1"/>
  </rowBreaks>
</worksheet>
</file>

<file path=xl/worksheets/sheet24.xml><?xml version="1.0" encoding="utf-8"?>
<worksheet xmlns="http://schemas.openxmlformats.org/spreadsheetml/2006/main" xmlns:r="http://schemas.openxmlformats.org/officeDocument/2006/relationships">
  <dimension ref="A1:H53"/>
  <sheetViews>
    <sheetView view="pageBreakPreview" zoomScale="75" zoomScaleNormal="100" zoomScaleSheetLayoutView="75" workbookViewId="0">
      <selection activeCell="A18" sqref="A18"/>
    </sheetView>
  </sheetViews>
  <sheetFormatPr defaultColWidth="7.21875" defaultRowHeight="12.75"/>
  <cols>
    <col min="1" max="1" width="53.109375" style="764" customWidth="1"/>
    <col min="2" max="2" width="30.109375" style="764" customWidth="1"/>
    <col min="3" max="3" width="4.6640625" style="764" customWidth="1"/>
    <col min="4" max="4" width="7.5546875" style="764" customWidth="1"/>
    <col min="5" max="5" width="4.6640625" style="764" customWidth="1"/>
    <col min="6" max="6" width="17.44140625" style="764" customWidth="1"/>
    <col min="7" max="7" width="11.33203125" style="764" customWidth="1"/>
    <col min="8" max="8" width="8.88671875" style="811" customWidth="1"/>
    <col min="9" max="16384" width="7.21875" style="764"/>
  </cols>
  <sheetData>
    <row r="1" spans="1:8" ht="20.25">
      <c r="A1" s="2360" t="s">
        <v>33</v>
      </c>
      <c r="B1" s="2361"/>
      <c r="C1" s="2361"/>
      <c r="D1" s="2361"/>
      <c r="E1" s="2361"/>
      <c r="F1" s="2361"/>
      <c r="G1" s="2361"/>
      <c r="H1" s="763" t="s">
        <v>0</v>
      </c>
    </row>
    <row r="2" spans="1:8" ht="18.75" customHeight="1">
      <c r="A2" s="2033"/>
      <c r="B2" s="2033"/>
      <c r="C2" s="2033"/>
      <c r="D2" s="2033"/>
      <c r="E2" s="2033"/>
      <c r="F2" s="2033"/>
      <c r="G2" s="2033"/>
      <c r="H2" s="763" t="s">
        <v>0</v>
      </c>
    </row>
    <row r="3" spans="1:8" s="1163" customFormat="1" ht="18.75" customHeight="1">
      <c r="A3" s="2362" t="s">
        <v>598</v>
      </c>
      <c r="B3" s="2362"/>
      <c r="C3" s="2362"/>
      <c r="D3" s="2362"/>
      <c r="E3" s="2362"/>
      <c r="F3" s="2362"/>
      <c r="G3" s="2362"/>
      <c r="H3" s="763" t="s">
        <v>0</v>
      </c>
    </row>
    <row r="4" spans="1:8" s="1163" customFormat="1" ht="18.75" customHeight="1">
      <c r="A4" s="2363" t="s">
        <v>362</v>
      </c>
      <c r="B4" s="2364"/>
      <c r="C4" s="2364"/>
      <c r="D4" s="2364"/>
      <c r="E4" s="2364"/>
      <c r="F4" s="2364"/>
      <c r="G4" s="2364"/>
      <c r="H4" s="763" t="s">
        <v>0</v>
      </c>
    </row>
    <row r="5" spans="1:8" s="1163" customFormat="1" ht="18.75" customHeight="1">
      <c r="A5" s="2363" t="s">
        <v>482</v>
      </c>
      <c r="B5" s="2363"/>
      <c r="C5" s="2363"/>
      <c r="D5" s="2363"/>
      <c r="E5" s="2363"/>
      <c r="F5" s="2363"/>
      <c r="G5" s="2363"/>
      <c r="H5" s="763" t="s">
        <v>0</v>
      </c>
    </row>
    <row r="6" spans="1:8" s="1163" customFormat="1" ht="18.75" customHeight="1">
      <c r="A6" s="2358" t="s">
        <v>257</v>
      </c>
      <c r="B6" s="2359"/>
      <c r="C6" s="2359"/>
      <c r="D6" s="2359"/>
      <c r="E6" s="2359"/>
      <c r="F6" s="2359"/>
      <c r="G6" s="2359"/>
      <c r="H6" s="763" t="s">
        <v>0</v>
      </c>
    </row>
    <row r="7" spans="1:8">
      <c r="A7" s="2162"/>
      <c r="B7" s="2162"/>
      <c r="C7" s="2162"/>
      <c r="D7" s="2162"/>
      <c r="E7" s="2162"/>
      <c r="F7" s="2162"/>
      <c r="G7" s="2162"/>
      <c r="H7" s="763" t="s">
        <v>0</v>
      </c>
    </row>
    <row r="8" spans="1:8" s="1164" customFormat="1" ht="24" customHeight="1">
      <c r="A8" s="2164" t="s">
        <v>238</v>
      </c>
      <c r="B8" s="2166" t="s">
        <v>22</v>
      </c>
      <c r="C8" s="2367" t="s">
        <v>482</v>
      </c>
      <c r="D8" s="2368"/>
      <c r="E8" s="2368"/>
      <c r="F8" s="2369"/>
      <c r="G8" s="2166" t="s">
        <v>449</v>
      </c>
      <c r="H8" s="815" t="s">
        <v>0</v>
      </c>
    </row>
    <row r="9" spans="1:8" s="1164" customFormat="1" ht="12.95" customHeight="1">
      <c r="A9" s="2370"/>
      <c r="B9" s="2366"/>
      <c r="C9" s="765" t="s">
        <v>277</v>
      </c>
      <c r="D9" s="765" t="s">
        <v>10</v>
      </c>
      <c r="E9" s="765" t="s">
        <v>49</v>
      </c>
      <c r="F9" s="766" t="s">
        <v>279</v>
      </c>
      <c r="G9" s="2366"/>
      <c r="H9" s="815" t="s">
        <v>0</v>
      </c>
    </row>
    <row r="10" spans="1:8" s="1164" customFormat="1" ht="18.75" customHeight="1">
      <c r="A10" s="767"/>
      <c r="B10" s="768"/>
      <c r="C10" s="1165"/>
      <c r="D10" s="1166"/>
      <c r="E10" s="1166"/>
      <c r="F10" s="1167"/>
      <c r="G10" s="1167">
        <f>+F10</f>
        <v>0</v>
      </c>
      <c r="H10" s="815" t="s">
        <v>0</v>
      </c>
    </row>
    <row r="11" spans="1:8" s="1164" customFormat="1" ht="18.75" customHeight="1">
      <c r="A11" s="767" t="s">
        <v>487</v>
      </c>
      <c r="B11" s="768" t="s">
        <v>482</v>
      </c>
      <c r="C11" s="1168"/>
      <c r="D11" s="1166"/>
      <c r="E11" s="1166"/>
      <c r="F11" s="1169">
        <v>30000</v>
      </c>
      <c r="G11" s="1167">
        <f t="shared" ref="G11:G20" si="0">+F11</f>
        <v>30000</v>
      </c>
      <c r="H11" s="815" t="s">
        <v>0</v>
      </c>
    </row>
    <row r="12" spans="1:8" s="1164" customFormat="1" ht="18.75" customHeight="1">
      <c r="A12" s="767" t="s">
        <v>488</v>
      </c>
      <c r="B12" s="768" t="s">
        <v>482</v>
      </c>
      <c r="C12" s="1168"/>
      <c r="D12" s="1166"/>
      <c r="E12" s="1166"/>
      <c r="F12" s="1169">
        <v>25000</v>
      </c>
      <c r="G12" s="1167">
        <f t="shared" si="0"/>
        <v>25000</v>
      </c>
      <c r="H12" s="815" t="s">
        <v>0</v>
      </c>
    </row>
    <row r="13" spans="1:8" s="1164" customFormat="1" ht="18.75" customHeight="1">
      <c r="A13" s="767" t="s">
        <v>489</v>
      </c>
      <c r="B13" s="768" t="s">
        <v>482</v>
      </c>
      <c r="C13" s="1168"/>
      <c r="D13" s="1166"/>
      <c r="E13" s="1166"/>
      <c r="F13" s="1169">
        <v>2500</v>
      </c>
      <c r="G13" s="1167">
        <f t="shared" si="0"/>
        <v>2500</v>
      </c>
      <c r="H13" s="815" t="s">
        <v>0</v>
      </c>
    </row>
    <row r="14" spans="1:8" s="1164" customFormat="1" ht="18.75" customHeight="1">
      <c r="A14" s="767" t="s">
        <v>491</v>
      </c>
      <c r="B14" s="768" t="s">
        <v>482</v>
      </c>
      <c r="C14" s="1168"/>
      <c r="D14" s="1166"/>
      <c r="E14" s="1166"/>
      <c r="F14" s="1169">
        <v>8000</v>
      </c>
      <c r="G14" s="1167">
        <f t="shared" si="0"/>
        <v>8000</v>
      </c>
      <c r="H14" s="815" t="s">
        <v>0</v>
      </c>
    </row>
    <row r="15" spans="1:8" s="1164" customFormat="1" ht="18.75" customHeight="1">
      <c r="A15" s="767" t="s">
        <v>492</v>
      </c>
      <c r="B15" s="768" t="s">
        <v>482</v>
      </c>
      <c r="C15" s="1168"/>
      <c r="D15" s="1166"/>
      <c r="E15" s="1166"/>
      <c r="F15" s="1169">
        <v>30000</v>
      </c>
      <c r="G15" s="1167">
        <f t="shared" si="0"/>
        <v>30000</v>
      </c>
      <c r="H15" s="815" t="s">
        <v>0</v>
      </c>
    </row>
    <row r="16" spans="1:8" s="1164" customFormat="1" ht="18.75" customHeight="1">
      <c r="A16" s="767" t="s">
        <v>493</v>
      </c>
      <c r="B16" s="768" t="s">
        <v>482</v>
      </c>
      <c r="C16" s="1168"/>
      <c r="D16" s="1166"/>
      <c r="E16" s="1166"/>
      <c r="F16" s="1169">
        <v>12000</v>
      </c>
      <c r="G16" s="1167">
        <f t="shared" si="0"/>
        <v>12000</v>
      </c>
      <c r="H16" s="815" t="s">
        <v>0</v>
      </c>
    </row>
    <row r="17" spans="1:8" s="1164" customFormat="1" ht="18.75" customHeight="1">
      <c r="A17" s="788" t="s">
        <v>494</v>
      </c>
      <c r="B17" s="1170" t="s">
        <v>482</v>
      </c>
      <c r="C17" s="1168"/>
      <c r="D17" s="1166"/>
      <c r="E17" s="1166"/>
      <c r="F17" s="1169">
        <v>500</v>
      </c>
      <c r="G17" s="1167">
        <f t="shared" si="0"/>
        <v>500</v>
      </c>
      <c r="H17" s="815"/>
    </row>
    <row r="18" spans="1:8" s="1164" customFormat="1" ht="29.25" customHeight="1">
      <c r="A18" s="1171" t="s">
        <v>495</v>
      </c>
      <c r="B18" s="768" t="s">
        <v>482</v>
      </c>
      <c r="C18" s="1168"/>
      <c r="D18" s="1166"/>
      <c r="E18" s="1166"/>
      <c r="F18" s="1169">
        <v>3500</v>
      </c>
      <c r="G18" s="1167">
        <f>+F18</f>
        <v>3500</v>
      </c>
      <c r="H18" s="815" t="s">
        <v>0</v>
      </c>
    </row>
    <row r="19" spans="1:8" s="1164" customFormat="1" ht="18.75" customHeight="1">
      <c r="A19" s="767" t="s">
        <v>496</v>
      </c>
      <c r="B19" s="768" t="s">
        <v>482</v>
      </c>
      <c r="C19" s="1168"/>
      <c r="D19" s="1166"/>
      <c r="E19" s="1166"/>
      <c r="F19" s="1169">
        <v>57000</v>
      </c>
      <c r="G19" s="1167">
        <f t="shared" si="0"/>
        <v>57000</v>
      </c>
      <c r="H19" s="815" t="s">
        <v>0</v>
      </c>
    </row>
    <row r="20" spans="1:8" s="1164" customFormat="1" ht="18.75" customHeight="1">
      <c r="A20" s="1172" t="s">
        <v>497</v>
      </c>
      <c r="B20" s="1173" t="s">
        <v>482</v>
      </c>
      <c r="C20" s="1174"/>
      <c r="D20" s="1175"/>
      <c r="E20" s="1175"/>
      <c r="F20" s="1176">
        <v>10000</v>
      </c>
      <c r="G20" s="1177">
        <f t="shared" si="0"/>
        <v>10000</v>
      </c>
      <c r="H20" s="815" t="s">
        <v>0</v>
      </c>
    </row>
    <row r="21" spans="1:8" s="1164" customFormat="1" ht="18.75" customHeight="1">
      <c r="A21" s="1178" t="s">
        <v>107</v>
      </c>
      <c r="B21" s="780"/>
      <c r="C21" s="1179">
        <f>SUM(C11:C20)</f>
        <v>0</v>
      </c>
      <c r="D21" s="1180">
        <f>SUM(D11:D20)</f>
        <v>0</v>
      </c>
      <c r="E21" s="1180">
        <f>SUM(E11:E20)</f>
        <v>0</v>
      </c>
      <c r="F21" s="1181">
        <f>SUM(F11:F20)</f>
        <v>178500</v>
      </c>
      <c r="G21" s="1182">
        <f>SUM(G11:G20)</f>
        <v>178500</v>
      </c>
      <c r="H21" s="815" t="s">
        <v>0</v>
      </c>
    </row>
    <row r="22" spans="1:8" s="1164" customFormat="1" ht="12.75" customHeight="1">
      <c r="A22" s="785"/>
      <c r="B22" s="773"/>
      <c r="C22" s="785"/>
      <c r="D22" s="786"/>
      <c r="E22" s="786"/>
      <c r="F22" s="787"/>
      <c r="G22" s="787"/>
      <c r="H22" s="815" t="s">
        <v>0</v>
      </c>
    </row>
    <row r="23" spans="1:8" s="1164" customFormat="1" ht="27.75" customHeight="1">
      <c r="A23" s="2172" t="s">
        <v>11</v>
      </c>
      <c r="B23" s="2166" t="s">
        <v>22</v>
      </c>
      <c r="C23" s="2367" t="s">
        <v>482</v>
      </c>
      <c r="D23" s="2368"/>
      <c r="E23" s="2368"/>
      <c r="F23" s="2369"/>
      <c r="G23" s="2166" t="s">
        <v>259</v>
      </c>
      <c r="H23" s="815" t="s">
        <v>0</v>
      </c>
    </row>
    <row r="24" spans="1:8" s="1164" customFormat="1" ht="12.95" customHeight="1">
      <c r="A24" s="2365"/>
      <c r="B24" s="2366"/>
      <c r="C24" s="765" t="s">
        <v>277</v>
      </c>
      <c r="D24" s="765" t="s">
        <v>10</v>
      </c>
      <c r="E24" s="765" t="s">
        <v>49</v>
      </c>
      <c r="F24" s="766" t="s">
        <v>279</v>
      </c>
      <c r="G24" s="2366"/>
      <c r="H24" s="815" t="s">
        <v>0</v>
      </c>
    </row>
    <row r="25" spans="1:8" s="1164" customFormat="1" ht="18.75" customHeight="1">
      <c r="A25" s="788"/>
      <c r="B25" s="1170"/>
      <c r="C25" s="1165"/>
      <c r="D25" s="1166"/>
      <c r="E25" s="1166"/>
      <c r="F25" s="1167"/>
      <c r="G25" s="1167"/>
      <c r="H25" s="815" t="s">
        <v>0</v>
      </c>
    </row>
    <row r="26" spans="1:8" s="1164" customFormat="1" ht="18.75" customHeight="1">
      <c r="A26" s="788" t="s">
        <v>498</v>
      </c>
      <c r="B26" s="1170" t="s">
        <v>482</v>
      </c>
      <c r="C26" s="1168"/>
      <c r="D26" s="1166"/>
      <c r="E26" s="1166"/>
      <c r="F26" s="1167">
        <v>-15000</v>
      </c>
      <c r="G26" s="1167">
        <f t="shared" ref="G26:G51" si="1">+F26</f>
        <v>-15000</v>
      </c>
      <c r="H26" s="815" t="s">
        <v>0</v>
      </c>
    </row>
    <row r="27" spans="1:8" s="1164" customFormat="1" ht="18.75" customHeight="1">
      <c r="A27" s="788" t="s">
        <v>499</v>
      </c>
      <c r="B27" s="1170" t="s">
        <v>482</v>
      </c>
      <c r="C27" s="1168"/>
      <c r="D27" s="1166"/>
      <c r="E27" s="1166"/>
      <c r="F27" s="1167">
        <v>-185268</v>
      </c>
      <c r="G27" s="1167">
        <f t="shared" si="1"/>
        <v>-185268</v>
      </c>
      <c r="H27" s="815" t="s">
        <v>0</v>
      </c>
    </row>
    <row r="28" spans="1:8" s="1164" customFormat="1" ht="18.75" customHeight="1">
      <c r="A28" s="788" t="s">
        <v>500</v>
      </c>
      <c r="B28" s="1170" t="s">
        <v>482</v>
      </c>
      <c r="C28" s="1168"/>
      <c r="D28" s="1166"/>
      <c r="E28" s="1166"/>
      <c r="F28" s="1167">
        <v>-2500</v>
      </c>
      <c r="G28" s="1167">
        <f t="shared" si="1"/>
        <v>-2500</v>
      </c>
      <c r="H28" s="815" t="s">
        <v>0</v>
      </c>
    </row>
    <row r="29" spans="1:8" s="1164" customFormat="1" ht="18.75" customHeight="1">
      <c r="A29" s="788" t="s">
        <v>501</v>
      </c>
      <c r="B29" s="1170" t="s">
        <v>825</v>
      </c>
      <c r="C29" s="1168"/>
      <c r="D29" s="1166"/>
      <c r="E29" s="1166"/>
      <c r="F29" s="1167">
        <v>-15000</v>
      </c>
      <c r="G29" s="1167">
        <f t="shared" si="1"/>
        <v>-15000</v>
      </c>
      <c r="H29" s="815" t="s">
        <v>0</v>
      </c>
    </row>
    <row r="30" spans="1:8" s="1164" customFormat="1" ht="18.75" customHeight="1">
      <c r="A30" s="767" t="s">
        <v>490</v>
      </c>
      <c r="B30" s="768" t="s">
        <v>482</v>
      </c>
      <c r="C30" s="1168"/>
      <c r="D30" s="1166"/>
      <c r="E30" s="1166"/>
      <c r="F30" s="1169">
        <v>-51000</v>
      </c>
      <c r="G30" s="1167">
        <f>+F30</f>
        <v>-51000</v>
      </c>
      <c r="H30" s="815" t="s">
        <v>0</v>
      </c>
    </row>
    <row r="31" spans="1:8" s="1164" customFormat="1" ht="18.75" customHeight="1">
      <c r="A31" s="788" t="s">
        <v>502</v>
      </c>
      <c r="B31" s="1170" t="s">
        <v>482</v>
      </c>
      <c r="C31" s="1168"/>
      <c r="D31" s="1166"/>
      <c r="E31" s="1166"/>
      <c r="F31" s="1167">
        <v>-45000</v>
      </c>
      <c r="G31" s="1167">
        <f t="shared" si="1"/>
        <v>-45000</v>
      </c>
      <c r="H31" s="815" t="s">
        <v>0</v>
      </c>
    </row>
    <row r="32" spans="1:8" s="1164" customFormat="1" ht="18.75" customHeight="1">
      <c r="A32" s="788" t="s">
        <v>503</v>
      </c>
      <c r="B32" s="1170" t="s">
        <v>482</v>
      </c>
      <c r="C32" s="1168"/>
      <c r="D32" s="1166"/>
      <c r="E32" s="1166"/>
      <c r="F32" s="1167">
        <v>-20000</v>
      </c>
      <c r="G32" s="1167">
        <f t="shared" si="1"/>
        <v>-20000</v>
      </c>
      <c r="H32" s="815" t="s">
        <v>0</v>
      </c>
    </row>
    <row r="33" spans="1:8" s="1164" customFormat="1" ht="24" customHeight="1">
      <c r="A33" s="1183" t="s">
        <v>504</v>
      </c>
      <c r="B33" s="1170" t="s">
        <v>482</v>
      </c>
      <c r="C33" s="1168"/>
      <c r="D33" s="1166"/>
      <c r="E33" s="1166"/>
      <c r="F33" s="1167">
        <v>-1000</v>
      </c>
      <c r="G33" s="1167">
        <f t="shared" si="1"/>
        <v>-1000</v>
      </c>
      <c r="H33" s="815" t="s">
        <v>0</v>
      </c>
    </row>
    <row r="34" spans="1:8" s="1164" customFormat="1" ht="18.75" customHeight="1">
      <c r="A34" s="788" t="s">
        <v>505</v>
      </c>
      <c r="B34" s="1170" t="s">
        <v>482</v>
      </c>
      <c r="C34" s="1168"/>
      <c r="D34" s="1166"/>
      <c r="E34" s="1166"/>
      <c r="F34" s="1167">
        <v>-50000</v>
      </c>
      <c r="G34" s="1167">
        <f t="shared" si="1"/>
        <v>-50000</v>
      </c>
      <c r="H34" s="815" t="s">
        <v>0</v>
      </c>
    </row>
    <row r="35" spans="1:8" s="1164" customFormat="1" ht="18.75" customHeight="1">
      <c r="A35" s="788" t="s">
        <v>506</v>
      </c>
      <c r="B35" s="1170" t="s">
        <v>482</v>
      </c>
      <c r="C35" s="1168"/>
      <c r="D35" s="1166"/>
      <c r="E35" s="1166"/>
      <c r="F35" s="1167">
        <v>-10000</v>
      </c>
      <c r="G35" s="1167">
        <f t="shared" si="1"/>
        <v>-10000</v>
      </c>
      <c r="H35" s="815" t="s">
        <v>0</v>
      </c>
    </row>
    <row r="36" spans="1:8" s="1164" customFormat="1" ht="18.75" customHeight="1">
      <c r="A36" s="788" t="s">
        <v>507</v>
      </c>
      <c r="B36" s="1170" t="s">
        <v>482</v>
      </c>
      <c r="C36" s="1168"/>
      <c r="D36" s="1166"/>
      <c r="E36" s="1166"/>
      <c r="F36" s="1167">
        <v>-12000</v>
      </c>
      <c r="G36" s="1167">
        <f t="shared" si="1"/>
        <v>-12000</v>
      </c>
      <c r="H36" s="815" t="s">
        <v>0</v>
      </c>
    </row>
    <row r="37" spans="1:8" s="1164" customFormat="1" ht="18.75" customHeight="1">
      <c r="A37" s="788" t="s">
        <v>508</v>
      </c>
      <c r="B37" s="1170" t="s">
        <v>482</v>
      </c>
      <c r="C37" s="1168"/>
      <c r="D37" s="1166"/>
      <c r="E37" s="1166"/>
      <c r="F37" s="1167">
        <v>-2000</v>
      </c>
      <c r="G37" s="1167">
        <f t="shared" si="1"/>
        <v>-2000</v>
      </c>
      <c r="H37" s="815" t="s">
        <v>0</v>
      </c>
    </row>
    <row r="38" spans="1:8" s="1164" customFormat="1" ht="18.75" customHeight="1">
      <c r="A38" s="788" t="s">
        <v>563</v>
      </c>
      <c r="B38" s="1170" t="s">
        <v>482</v>
      </c>
      <c r="C38" s="1168"/>
      <c r="D38" s="1166"/>
      <c r="E38" s="1166"/>
      <c r="F38" s="1167">
        <v>-8000</v>
      </c>
      <c r="G38" s="1167">
        <f t="shared" si="1"/>
        <v>-8000</v>
      </c>
      <c r="H38" s="815" t="s">
        <v>0</v>
      </c>
    </row>
    <row r="39" spans="1:8" s="1164" customFormat="1" ht="18.75" customHeight="1">
      <c r="A39" s="788" t="s">
        <v>510</v>
      </c>
      <c r="B39" s="1170" t="s">
        <v>482</v>
      </c>
      <c r="C39" s="1168"/>
      <c r="D39" s="1166"/>
      <c r="E39" s="1166"/>
      <c r="F39" s="1167">
        <v>-3000</v>
      </c>
      <c r="G39" s="1167">
        <f t="shared" si="1"/>
        <v>-3000</v>
      </c>
      <c r="H39" s="815" t="s">
        <v>0</v>
      </c>
    </row>
    <row r="40" spans="1:8" s="1164" customFormat="1" ht="18.75" customHeight="1">
      <c r="A40" s="788" t="s">
        <v>511</v>
      </c>
      <c r="B40" s="1170" t="s">
        <v>482</v>
      </c>
      <c r="C40" s="1168"/>
      <c r="D40" s="1166"/>
      <c r="E40" s="1166"/>
      <c r="F40" s="1167">
        <v>-35000</v>
      </c>
      <c r="G40" s="1167">
        <f t="shared" si="1"/>
        <v>-35000</v>
      </c>
      <c r="H40" s="815" t="s">
        <v>0</v>
      </c>
    </row>
    <row r="41" spans="1:8" s="1164" customFormat="1" ht="18.75" customHeight="1">
      <c r="A41" s="788" t="s">
        <v>512</v>
      </c>
      <c r="B41" s="1170" t="s">
        <v>482</v>
      </c>
      <c r="C41" s="1168"/>
      <c r="D41" s="1166"/>
      <c r="E41" s="1166"/>
      <c r="F41" s="1167">
        <v>-7000</v>
      </c>
      <c r="G41" s="1167">
        <f t="shared" si="1"/>
        <v>-7000</v>
      </c>
      <c r="H41" s="815" t="s">
        <v>0</v>
      </c>
    </row>
    <row r="42" spans="1:8" s="1164" customFormat="1" ht="18.75" customHeight="1">
      <c r="A42" s="788" t="s">
        <v>513</v>
      </c>
      <c r="B42" s="1170" t="s">
        <v>482</v>
      </c>
      <c r="C42" s="1168"/>
      <c r="D42" s="1166"/>
      <c r="E42" s="1166"/>
      <c r="F42" s="1167">
        <v>-10000</v>
      </c>
      <c r="G42" s="1167">
        <f t="shared" si="1"/>
        <v>-10000</v>
      </c>
      <c r="H42" s="815" t="s">
        <v>0</v>
      </c>
    </row>
    <row r="43" spans="1:8" s="1164" customFormat="1" ht="18.75" customHeight="1">
      <c r="A43" s="767" t="s">
        <v>431</v>
      </c>
      <c r="B43" s="768" t="s">
        <v>482</v>
      </c>
      <c r="C43" s="1168"/>
      <c r="D43" s="1166"/>
      <c r="E43" s="1166"/>
      <c r="F43" s="1169">
        <v>-27500</v>
      </c>
      <c r="G43" s="1167">
        <f>+F43</f>
        <v>-27500</v>
      </c>
      <c r="H43" s="815" t="s">
        <v>0</v>
      </c>
    </row>
    <row r="44" spans="1:8" s="1164" customFormat="1" ht="18.75" customHeight="1">
      <c r="A44" s="1168" t="s">
        <v>514</v>
      </c>
      <c r="B44" s="1170" t="s">
        <v>482</v>
      </c>
      <c r="D44" s="1166"/>
      <c r="E44" s="1166"/>
      <c r="F44" s="1167">
        <v>-1000</v>
      </c>
      <c r="G44" s="1167">
        <f t="shared" si="1"/>
        <v>-1000</v>
      </c>
      <c r="H44" s="815" t="s">
        <v>0</v>
      </c>
    </row>
    <row r="45" spans="1:8" s="1164" customFormat="1" ht="18.75" customHeight="1">
      <c r="A45" s="788" t="s">
        <v>515</v>
      </c>
      <c r="B45" s="1170" t="s">
        <v>482</v>
      </c>
      <c r="C45" s="1168"/>
      <c r="D45" s="1166"/>
      <c r="E45" s="1166"/>
      <c r="F45" s="1167">
        <v>-31000</v>
      </c>
      <c r="G45" s="1167">
        <f t="shared" si="1"/>
        <v>-31000</v>
      </c>
      <c r="H45" s="815" t="s">
        <v>0</v>
      </c>
    </row>
    <row r="46" spans="1:8" s="1164" customFormat="1" ht="28.5" customHeight="1">
      <c r="A46" s="1183" t="s">
        <v>516</v>
      </c>
      <c r="B46" s="1170" t="s">
        <v>482</v>
      </c>
      <c r="C46" s="1168"/>
      <c r="D46" s="1166"/>
      <c r="E46" s="1166"/>
      <c r="F46" s="1167">
        <v>-2500</v>
      </c>
      <c r="G46" s="1167">
        <f t="shared" si="1"/>
        <v>-2500</v>
      </c>
      <c r="H46" s="815" t="s">
        <v>0</v>
      </c>
    </row>
    <row r="47" spans="1:8" s="1164" customFormat="1" ht="18.75" customHeight="1">
      <c r="A47" s="788" t="s">
        <v>517</v>
      </c>
      <c r="B47" s="1170" t="s">
        <v>482</v>
      </c>
      <c r="C47" s="1168"/>
      <c r="D47" s="1166"/>
      <c r="E47" s="1166"/>
      <c r="F47" s="1167">
        <v>-194000</v>
      </c>
      <c r="G47" s="1167">
        <f t="shared" si="1"/>
        <v>-194000</v>
      </c>
      <c r="H47" s="815" t="s">
        <v>0</v>
      </c>
    </row>
    <row r="48" spans="1:8" s="1164" customFormat="1" ht="18.75" customHeight="1">
      <c r="A48" s="788" t="s">
        <v>518</v>
      </c>
      <c r="B48" s="1170" t="s">
        <v>482</v>
      </c>
      <c r="C48" s="1168"/>
      <c r="D48" s="1166"/>
      <c r="E48" s="1166"/>
      <c r="F48" s="1167">
        <v>-10000</v>
      </c>
      <c r="G48" s="1167">
        <f t="shared" si="1"/>
        <v>-10000</v>
      </c>
      <c r="H48" s="815" t="s">
        <v>0</v>
      </c>
    </row>
    <row r="49" spans="1:8" s="1164" customFormat="1" ht="18.75" customHeight="1">
      <c r="A49" s="788" t="s">
        <v>519</v>
      </c>
      <c r="B49" s="1170" t="s">
        <v>482</v>
      </c>
      <c r="C49" s="1168"/>
      <c r="D49" s="1166"/>
      <c r="E49" s="1166"/>
      <c r="F49" s="1167">
        <v>-3500</v>
      </c>
      <c r="G49" s="1167">
        <f t="shared" si="1"/>
        <v>-3500</v>
      </c>
      <c r="H49" s="815" t="s">
        <v>0</v>
      </c>
    </row>
    <row r="50" spans="1:8" s="1164" customFormat="1" ht="18.75" customHeight="1">
      <c r="A50" s="790" t="s">
        <v>520</v>
      </c>
      <c r="B50" s="1170" t="s">
        <v>482</v>
      </c>
      <c r="C50" s="1168"/>
      <c r="D50" s="1166"/>
      <c r="E50" s="1166"/>
      <c r="F50" s="1167">
        <v>-3000</v>
      </c>
      <c r="G50" s="1167">
        <f t="shared" si="1"/>
        <v>-3000</v>
      </c>
      <c r="H50" s="815" t="s">
        <v>0</v>
      </c>
    </row>
    <row r="51" spans="1:8" s="1164" customFormat="1" ht="18.75" customHeight="1">
      <c r="A51" s="790" t="s">
        <v>521</v>
      </c>
      <c r="B51" s="1170" t="s">
        <v>482</v>
      </c>
      <c r="C51" s="1168"/>
      <c r="D51" s="1166"/>
      <c r="E51" s="1166"/>
      <c r="F51" s="1167">
        <v>-2500</v>
      </c>
      <c r="G51" s="1167">
        <f t="shared" si="1"/>
        <v>-2500</v>
      </c>
      <c r="H51" s="815" t="s">
        <v>0</v>
      </c>
    </row>
    <row r="52" spans="1:8" s="1164" customFormat="1" ht="18.75" customHeight="1">
      <c r="A52" s="1184" t="s">
        <v>259</v>
      </c>
      <c r="B52" s="1185"/>
      <c r="C52" s="1179">
        <f>SUM(C25:C51)</f>
        <v>0</v>
      </c>
      <c r="D52" s="1180">
        <f>SUM(D25:D51)</f>
        <v>0</v>
      </c>
      <c r="E52" s="1180">
        <f>SUM(E25:E51)</f>
        <v>0</v>
      </c>
      <c r="F52" s="1186">
        <f>SUM(F25:F51)</f>
        <v>-746768</v>
      </c>
      <c r="G52" s="1182">
        <f>SUM(G25:G51)</f>
        <v>-746768</v>
      </c>
      <c r="H52" s="815" t="s">
        <v>0</v>
      </c>
    </row>
    <row r="53" spans="1:8" ht="18.75" customHeight="1">
      <c r="A53" s="1187"/>
      <c r="B53" s="1188"/>
      <c r="C53" s="1189"/>
      <c r="D53" s="1190"/>
      <c r="E53" s="1190"/>
      <c r="F53" s="1191"/>
      <c r="G53" s="1188"/>
      <c r="H53" s="763" t="s">
        <v>24</v>
      </c>
    </row>
  </sheetData>
  <mergeCells count="15">
    <mergeCell ref="A23:A24"/>
    <mergeCell ref="B23:B24"/>
    <mergeCell ref="C23:F23"/>
    <mergeCell ref="G23:G24"/>
    <mergeCell ref="A7:G7"/>
    <mergeCell ref="A8:A9"/>
    <mergeCell ref="B8:B9"/>
    <mergeCell ref="C8:F8"/>
    <mergeCell ref="G8:G9"/>
    <mergeCell ref="A6:G6"/>
    <mergeCell ref="A1:G1"/>
    <mergeCell ref="A2:G2"/>
    <mergeCell ref="A3:G3"/>
    <mergeCell ref="A4:G4"/>
    <mergeCell ref="A5:G5"/>
  </mergeCells>
  <printOptions horizontalCentered="1"/>
  <pageMargins left="0.75" right="0.75" top="1" bottom="1" header="0.5" footer="0.5"/>
  <pageSetup scale="46" orientation="landscape" r:id="rId1"/>
  <headerFooter alignWithMargins="0">
    <oddFooter>&amp;C&amp;"Times New Roman,Regular"Exhibit C - Program Increases/Offsets By Decision Unit&amp;R&amp;"Times New Roman,Regular"State and Local Law Enforcement Assistance</oddFooter>
  </headerFooter>
</worksheet>
</file>

<file path=xl/worksheets/sheet25.xml><?xml version="1.0" encoding="utf-8"?>
<worksheet xmlns="http://schemas.openxmlformats.org/spreadsheetml/2006/main" xmlns:r="http://schemas.openxmlformats.org/officeDocument/2006/relationships">
  <dimension ref="A1:T51"/>
  <sheetViews>
    <sheetView view="pageBreakPreview" zoomScale="75" zoomScaleNormal="100" zoomScaleSheetLayoutView="75" workbookViewId="0">
      <selection sqref="A1:P1"/>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10.77734375" style="818" bestFit="1" customWidth="1"/>
    <col min="11" max="11" width="6.77734375" style="818" customWidth="1"/>
    <col min="12" max="12" width="10.6640625" style="818" bestFit="1" customWidth="1"/>
    <col min="13" max="13" width="6.77734375" style="818" customWidth="1"/>
    <col min="14" max="14" width="10.6640625" style="818" bestFit="1" customWidth="1"/>
    <col min="15" max="15" width="6.33203125" style="818" customWidth="1"/>
    <col min="16" max="16" width="10.77734375" style="818" bestFit="1"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371" t="s">
        <v>362</v>
      </c>
      <c r="B4" s="2372"/>
      <c r="C4" s="2372"/>
      <c r="D4" s="2372"/>
      <c r="E4" s="2372"/>
      <c r="F4" s="2372"/>
      <c r="G4" s="2372"/>
      <c r="H4" s="2372"/>
      <c r="I4" s="2372"/>
      <c r="J4" s="2372"/>
      <c r="K4" s="2372"/>
      <c r="L4" s="2372"/>
      <c r="M4" s="2372"/>
      <c r="N4" s="2372"/>
      <c r="O4" s="2372"/>
      <c r="P4" s="2372"/>
      <c r="Q4" s="816" t="s">
        <v>0</v>
      </c>
      <c r="R4" s="638"/>
      <c r="S4" s="638"/>
    </row>
    <row r="5" spans="1:20" ht="15.75">
      <c r="A5" s="2371" t="s">
        <v>482</v>
      </c>
      <c r="B5" s="2372"/>
      <c r="C5" s="2372"/>
      <c r="D5" s="2372"/>
      <c r="E5" s="2372"/>
      <c r="F5" s="2372"/>
      <c r="G5" s="2372"/>
      <c r="H5" s="2372"/>
      <c r="I5" s="2372"/>
      <c r="J5" s="2372"/>
      <c r="K5" s="2372"/>
      <c r="L5" s="2372"/>
      <c r="M5" s="2372"/>
      <c r="N5" s="2372"/>
      <c r="O5" s="2372"/>
      <c r="P5" s="2372"/>
      <c r="Q5" s="816" t="s">
        <v>0</v>
      </c>
      <c r="R5" s="638"/>
      <c r="S5" s="638"/>
    </row>
    <row r="6" spans="1:20" ht="15">
      <c r="A6" s="2181" t="s">
        <v>257</v>
      </c>
      <c r="B6" s="2034"/>
      <c r="C6" s="2034"/>
      <c r="D6" s="2034"/>
      <c r="E6" s="2034"/>
      <c r="F6" s="2034"/>
      <c r="G6" s="2034"/>
      <c r="H6" s="2034"/>
      <c r="I6" s="2034"/>
      <c r="J6" s="2034"/>
      <c r="K6" s="2034"/>
      <c r="L6" s="2034"/>
      <c r="M6" s="2034"/>
      <c r="N6" s="2034"/>
      <c r="O6" s="2034"/>
      <c r="P6" s="2034"/>
      <c r="Q6" s="816" t="s">
        <v>0</v>
      </c>
      <c r="R6" s="820"/>
      <c r="S6" s="820"/>
      <c r="T6" s="816"/>
    </row>
    <row r="7" spans="1:20">
      <c r="Q7" s="816" t="s">
        <v>0</v>
      </c>
      <c r="T7" s="816"/>
    </row>
    <row r="8" spans="1:20" ht="13.5" thickBot="1">
      <c r="Q8" s="816" t="s">
        <v>0</v>
      </c>
      <c r="T8" s="816"/>
    </row>
    <row r="9" spans="1:20" ht="37.5" customHeight="1">
      <c r="A9" s="821"/>
      <c r="B9" s="822"/>
      <c r="C9" s="2197" t="s">
        <v>318</v>
      </c>
      <c r="D9" s="2198"/>
      <c r="E9" s="823"/>
      <c r="F9" s="2197" t="s">
        <v>355</v>
      </c>
      <c r="G9" s="2198"/>
      <c r="H9" s="823"/>
      <c r="I9" s="2203" t="s">
        <v>244</v>
      </c>
      <c r="J9" s="2198"/>
      <c r="K9" s="2204">
        <v>2012</v>
      </c>
      <c r="L9" s="2205"/>
      <c r="M9" s="2205"/>
      <c r="N9" s="2206"/>
      <c r="O9" s="2203" t="s">
        <v>42</v>
      </c>
      <c r="P9" s="2198"/>
      <c r="Q9" s="816" t="s">
        <v>0</v>
      </c>
      <c r="S9" s="824"/>
      <c r="T9" s="816"/>
    </row>
    <row r="10" spans="1:20" ht="14.25" customHeight="1">
      <c r="A10" s="822"/>
      <c r="B10" s="822"/>
      <c r="C10" s="2199"/>
      <c r="D10" s="2200"/>
      <c r="E10" s="823"/>
      <c r="F10" s="2201"/>
      <c r="G10" s="2202"/>
      <c r="H10" s="823"/>
      <c r="I10" s="2201"/>
      <c r="J10" s="2202"/>
      <c r="K10" s="2187" t="s">
        <v>280</v>
      </c>
      <c r="L10" s="2188"/>
      <c r="M10" s="2189" t="s">
        <v>289</v>
      </c>
      <c r="N10" s="2170"/>
      <c r="O10" s="2201"/>
      <c r="P10" s="2202"/>
      <c r="Q10" s="816" t="s">
        <v>0</v>
      </c>
      <c r="S10" s="824"/>
      <c r="T10" s="816"/>
    </row>
    <row r="11" spans="1:20" hidden="1">
      <c r="A11" s="2190" t="s">
        <v>290</v>
      </c>
      <c r="B11" s="822"/>
      <c r="C11" s="825"/>
      <c r="D11" s="826"/>
      <c r="E11" s="827"/>
      <c r="F11" s="825"/>
      <c r="G11" s="826"/>
      <c r="H11" s="827"/>
      <c r="I11" s="825"/>
      <c r="J11" s="826"/>
      <c r="K11" s="825"/>
      <c r="L11" s="826"/>
      <c r="M11" s="828"/>
      <c r="N11" s="826"/>
      <c r="O11" s="825"/>
      <c r="P11" s="826"/>
      <c r="Q11" s="816" t="s">
        <v>0</v>
      </c>
      <c r="S11" s="828"/>
      <c r="T11" s="816"/>
    </row>
    <row r="12" spans="1:20" ht="51">
      <c r="A12" s="2191"/>
      <c r="B12" s="822"/>
      <c r="C12" s="829" t="s">
        <v>291</v>
      </c>
      <c r="D12" s="830" t="s">
        <v>292</v>
      </c>
      <c r="E12" s="827"/>
      <c r="F12" s="829" t="s">
        <v>291</v>
      </c>
      <c r="G12" s="830" t="s">
        <v>292</v>
      </c>
      <c r="H12" s="827"/>
      <c r="I12" s="829" t="s">
        <v>291</v>
      </c>
      <c r="J12" s="830" t="s">
        <v>292</v>
      </c>
      <c r="K12" s="829" t="s">
        <v>291</v>
      </c>
      <c r="L12" s="830" t="s">
        <v>292</v>
      </c>
      <c r="M12" s="829" t="s">
        <v>291</v>
      </c>
      <c r="N12" s="830" t="s">
        <v>292</v>
      </c>
      <c r="O12" s="829" t="s">
        <v>291</v>
      </c>
      <c r="P12" s="830" t="s">
        <v>292</v>
      </c>
      <c r="Q12" s="816" t="s">
        <v>0</v>
      </c>
      <c r="S12" s="831"/>
      <c r="T12" s="816"/>
    </row>
    <row r="13" spans="1:20">
      <c r="A13" s="832"/>
      <c r="B13" s="822"/>
      <c r="C13" s="833"/>
      <c r="D13" s="834"/>
      <c r="E13" s="835"/>
      <c r="F13" s="833"/>
      <c r="G13" s="834"/>
      <c r="H13" s="835"/>
      <c r="I13" s="833"/>
      <c r="J13" s="834"/>
      <c r="K13" s="833"/>
      <c r="L13" s="836"/>
      <c r="M13" s="837"/>
      <c r="N13" s="834"/>
      <c r="O13" s="833"/>
      <c r="P13" s="834"/>
      <c r="Q13" s="816" t="s">
        <v>0</v>
      </c>
      <c r="S13" s="838"/>
      <c r="T13" s="816"/>
    </row>
    <row r="14" spans="1:20">
      <c r="A14" s="839" t="s">
        <v>293</v>
      </c>
      <c r="B14" s="822"/>
      <c r="C14" s="833"/>
      <c r="D14" s="840"/>
      <c r="E14" s="835"/>
      <c r="F14" s="833"/>
      <c r="G14" s="840"/>
      <c r="H14" s="835"/>
      <c r="I14" s="833"/>
      <c r="J14" s="840"/>
      <c r="K14" s="833"/>
      <c r="L14" s="836"/>
      <c r="M14" s="833"/>
      <c r="N14" s="840"/>
      <c r="O14" s="833"/>
      <c r="P14" s="840"/>
      <c r="Q14" s="816" t="s">
        <v>0</v>
      </c>
      <c r="S14" s="841"/>
      <c r="T14" s="816"/>
    </row>
    <row r="15" spans="1:20">
      <c r="A15" s="842" t="s">
        <v>294</v>
      </c>
      <c r="B15" s="822"/>
      <c r="C15" s="833"/>
      <c r="D15" s="840"/>
      <c r="E15" s="835"/>
      <c r="F15" s="833"/>
      <c r="G15" s="840"/>
      <c r="H15" s="835"/>
      <c r="I15" s="833"/>
      <c r="J15" s="840"/>
      <c r="K15" s="833"/>
      <c r="L15" s="836"/>
      <c r="M15" s="833"/>
      <c r="N15" s="840"/>
      <c r="O15" s="833"/>
      <c r="P15" s="834"/>
      <c r="Q15" s="816" t="s">
        <v>0</v>
      </c>
      <c r="S15" s="841"/>
      <c r="T15" s="816"/>
    </row>
    <row r="16" spans="1:20" ht="25.5">
      <c r="A16" s="843" t="s">
        <v>295</v>
      </c>
      <c r="B16" s="822"/>
      <c r="C16" s="833"/>
      <c r="D16" s="840"/>
      <c r="E16" s="835"/>
      <c r="F16" s="833"/>
      <c r="G16" s="840"/>
      <c r="H16" s="835"/>
      <c r="I16" s="833"/>
      <c r="J16" s="840"/>
      <c r="K16" s="833"/>
      <c r="L16" s="836"/>
      <c r="M16" s="833"/>
      <c r="N16" s="840"/>
      <c r="O16" s="833"/>
      <c r="P16" s="834"/>
      <c r="Q16" s="816" t="s">
        <v>0</v>
      </c>
      <c r="S16" s="841"/>
      <c r="T16" s="816"/>
    </row>
    <row r="17" spans="1:20" ht="25.5">
      <c r="A17" s="843" t="s">
        <v>296</v>
      </c>
      <c r="B17" s="822"/>
      <c r="C17" s="833"/>
      <c r="D17" s="840"/>
      <c r="E17" s="835"/>
      <c r="F17" s="833"/>
      <c r="G17" s="840"/>
      <c r="H17" s="835"/>
      <c r="I17" s="833"/>
      <c r="J17" s="840"/>
      <c r="K17" s="833"/>
      <c r="L17" s="836"/>
      <c r="M17" s="833"/>
      <c r="N17" s="840"/>
      <c r="O17" s="833"/>
      <c r="P17" s="834"/>
      <c r="Q17" s="816" t="s">
        <v>0</v>
      </c>
      <c r="S17" s="841"/>
      <c r="T17" s="816"/>
    </row>
    <row r="18" spans="1:20" ht="13.5" customHeight="1">
      <c r="A18" s="842" t="s">
        <v>297</v>
      </c>
      <c r="B18" s="844"/>
      <c r="C18" s="845"/>
      <c r="D18" s="846"/>
      <c r="E18" s="847"/>
      <c r="F18" s="845"/>
      <c r="G18" s="846"/>
      <c r="H18" s="848"/>
      <c r="I18" s="845"/>
      <c r="J18" s="846"/>
      <c r="K18" s="845"/>
      <c r="L18" s="849"/>
      <c r="M18" s="845"/>
      <c r="N18" s="846"/>
      <c r="O18" s="845"/>
      <c r="P18" s="846"/>
      <c r="Q18" s="816" t="s">
        <v>0</v>
      </c>
      <c r="S18" s="850"/>
      <c r="T18" s="816"/>
    </row>
    <row r="19" spans="1:20" s="857" customFormat="1">
      <c r="A19" s="851" t="s">
        <v>298</v>
      </c>
      <c r="B19" s="839"/>
      <c r="C19" s="852">
        <f>SUM(C15:C18)</f>
        <v>0</v>
      </c>
      <c r="D19" s="853">
        <f>SUM(D15:D18)</f>
        <v>0</v>
      </c>
      <c r="E19" s="854"/>
      <c r="F19" s="852">
        <f>SUM(F15:F18)</f>
        <v>0</v>
      </c>
      <c r="G19" s="853">
        <f>SUM(G15:G18)</f>
        <v>0</v>
      </c>
      <c r="H19" s="855"/>
      <c r="I19" s="852">
        <f t="shared" ref="I19:P19" si="0">SUM(I15:I18)</f>
        <v>0</v>
      </c>
      <c r="J19" s="853">
        <f t="shared" si="0"/>
        <v>0</v>
      </c>
      <c r="K19" s="852">
        <f t="shared" si="0"/>
        <v>0</v>
      </c>
      <c r="L19" s="853">
        <f t="shared" si="0"/>
        <v>0</v>
      </c>
      <c r="M19" s="852">
        <f t="shared" si="0"/>
        <v>0</v>
      </c>
      <c r="N19" s="853">
        <f t="shared" si="0"/>
        <v>0</v>
      </c>
      <c r="O19" s="852">
        <f t="shared" si="0"/>
        <v>0</v>
      </c>
      <c r="P19" s="853">
        <f t="shared" si="0"/>
        <v>0</v>
      </c>
      <c r="Q19" s="816" t="s">
        <v>0</v>
      </c>
      <c r="R19" s="818"/>
      <c r="S19" s="856"/>
      <c r="T19" s="816"/>
    </row>
    <row r="20" spans="1:20">
      <c r="A20" s="844"/>
      <c r="B20" s="822"/>
      <c r="C20" s="833"/>
      <c r="D20" s="834"/>
      <c r="E20" s="858"/>
      <c r="F20" s="833"/>
      <c r="G20" s="834"/>
      <c r="H20" s="858"/>
      <c r="I20" s="833"/>
      <c r="J20" s="834"/>
      <c r="K20" s="833"/>
      <c r="L20" s="836"/>
      <c r="M20" s="833"/>
      <c r="N20" s="834"/>
      <c r="O20" s="833"/>
      <c r="P20" s="834"/>
      <c r="Q20" s="816" t="s">
        <v>0</v>
      </c>
      <c r="S20" s="838"/>
      <c r="T20" s="816"/>
    </row>
    <row r="21" spans="1:20" ht="25.5">
      <c r="A21" s="859" t="s">
        <v>299</v>
      </c>
      <c r="B21" s="822"/>
      <c r="C21" s="833"/>
      <c r="D21" s="834"/>
      <c r="E21" s="860"/>
      <c r="F21" s="833"/>
      <c r="G21" s="834"/>
      <c r="H21" s="860"/>
      <c r="I21" s="833"/>
      <c r="J21" s="834"/>
      <c r="K21" s="833"/>
      <c r="L21" s="836"/>
      <c r="M21" s="833"/>
      <c r="N21" s="834"/>
      <c r="O21" s="861"/>
      <c r="P21" s="862"/>
      <c r="Q21" s="816" t="s">
        <v>0</v>
      </c>
      <c r="S21" s="838"/>
      <c r="T21" s="816"/>
    </row>
    <row r="22" spans="1:20" ht="25.5">
      <c r="A22" s="843" t="s">
        <v>300</v>
      </c>
      <c r="B22" s="822"/>
      <c r="C22" s="833"/>
      <c r="D22" s="834">
        <v>1447768</v>
      </c>
      <c r="E22" s="860"/>
      <c r="F22" s="833"/>
      <c r="G22" s="834">
        <v>1447768</v>
      </c>
      <c r="H22" s="860"/>
      <c r="I22" s="833"/>
      <c r="J22" s="834">
        <f>1447768+45000+1000-41506</f>
        <v>1452262</v>
      </c>
      <c r="K22" s="833"/>
      <c r="L22" s="836">
        <f>SUM(30000+2500+12000+3500+10000+500)</f>
        <v>58500</v>
      </c>
      <c r="M22" s="833"/>
      <c r="N22" s="834">
        <f>SUM(-15000-185268-2500-15000-45000-20000-2500-10000-2000-8000-3000-7000-31000-194000-10000-3500-27500-51000)</f>
        <v>-632268</v>
      </c>
      <c r="O22" s="833">
        <f t="shared" ref="O22:P24" si="1">+I22+K22+M22</f>
        <v>0</v>
      </c>
      <c r="P22" s="834">
        <f t="shared" si="1"/>
        <v>878494</v>
      </c>
      <c r="Q22" s="816" t="s">
        <v>0</v>
      </c>
      <c r="S22" s="838"/>
      <c r="T22" s="816"/>
    </row>
    <row r="23" spans="1:20">
      <c r="A23" s="842" t="s">
        <v>301</v>
      </c>
      <c r="B23" s="822"/>
      <c r="C23" s="833"/>
      <c r="D23" s="834">
        <v>1000</v>
      </c>
      <c r="E23" s="860"/>
      <c r="F23" s="833"/>
      <c r="G23" s="834">
        <v>1000</v>
      </c>
      <c r="H23" s="860"/>
      <c r="I23" s="833"/>
      <c r="J23" s="834">
        <f>1000-29</f>
        <v>971</v>
      </c>
      <c r="K23" s="833"/>
      <c r="L23" s="836"/>
      <c r="M23" s="833"/>
      <c r="N23" s="834"/>
      <c r="O23" s="833">
        <f t="shared" si="1"/>
        <v>0</v>
      </c>
      <c r="P23" s="834">
        <f t="shared" si="1"/>
        <v>971</v>
      </c>
      <c r="Q23" s="816" t="s">
        <v>0</v>
      </c>
      <c r="S23" s="838"/>
      <c r="T23" s="816"/>
    </row>
    <row r="24" spans="1:20">
      <c r="A24" s="842" t="s">
        <v>302</v>
      </c>
      <c r="B24" s="822"/>
      <c r="C24" s="833"/>
      <c r="D24" s="834"/>
      <c r="E24" s="860"/>
      <c r="F24" s="833"/>
      <c r="G24" s="834"/>
      <c r="H24" s="860"/>
      <c r="I24" s="833"/>
      <c r="J24" s="834"/>
      <c r="K24" s="833"/>
      <c r="L24" s="836">
        <f>SUM(25000+30000)</f>
        <v>55000</v>
      </c>
      <c r="M24" s="833"/>
      <c r="N24" s="834"/>
      <c r="O24" s="833">
        <f t="shared" si="1"/>
        <v>0</v>
      </c>
      <c r="P24" s="834">
        <f t="shared" si="1"/>
        <v>55000</v>
      </c>
      <c r="Q24" s="816" t="s">
        <v>0</v>
      </c>
      <c r="S24" s="838"/>
      <c r="T24" s="816"/>
    </row>
    <row r="25" spans="1:20">
      <c r="A25" s="842" t="s">
        <v>303</v>
      </c>
      <c r="B25" s="822"/>
      <c r="C25" s="833"/>
      <c r="D25" s="834"/>
      <c r="E25" s="860"/>
      <c r="F25" s="833"/>
      <c r="G25" s="834"/>
      <c r="H25" s="860"/>
      <c r="I25" s="833"/>
      <c r="J25" s="834"/>
      <c r="K25" s="833"/>
      <c r="L25" s="836"/>
      <c r="M25" s="833"/>
      <c r="N25" s="834"/>
      <c r="O25" s="833"/>
      <c r="P25" s="834"/>
      <c r="Q25" s="816" t="s">
        <v>0</v>
      </c>
      <c r="S25" s="838"/>
      <c r="T25" s="816"/>
    </row>
    <row r="26" spans="1:20" ht="25.5">
      <c r="A26" s="843" t="s">
        <v>304</v>
      </c>
      <c r="B26" s="822"/>
      <c r="C26" s="833"/>
      <c r="D26" s="834"/>
      <c r="E26" s="860"/>
      <c r="F26" s="833"/>
      <c r="G26" s="834"/>
      <c r="H26" s="860"/>
      <c r="I26" s="833"/>
      <c r="J26" s="834"/>
      <c r="K26" s="833"/>
      <c r="L26" s="836"/>
      <c r="M26" s="833"/>
      <c r="N26" s="834"/>
      <c r="O26" s="833"/>
      <c r="P26" s="834"/>
      <c r="Q26" s="816" t="s">
        <v>0</v>
      </c>
      <c r="S26" s="838"/>
      <c r="T26" s="816"/>
    </row>
    <row r="27" spans="1:20">
      <c r="A27" s="842" t="s">
        <v>305</v>
      </c>
      <c r="B27" s="822"/>
      <c r="C27" s="833"/>
      <c r="D27" s="834"/>
      <c r="E27" s="860"/>
      <c r="F27" s="833"/>
      <c r="G27" s="834"/>
      <c r="H27" s="860"/>
      <c r="I27" s="833"/>
      <c r="J27" s="834"/>
      <c r="K27" s="833"/>
      <c r="L27" s="836"/>
      <c r="M27" s="833"/>
      <c r="N27" s="834"/>
      <c r="O27" s="833"/>
      <c r="P27" s="834"/>
      <c r="Q27" s="816" t="s">
        <v>0</v>
      </c>
      <c r="S27" s="838"/>
      <c r="T27" s="816"/>
    </row>
    <row r="28" spans="1:20" ht="25.5">
      <c r="A28" s="843" t="s">
        <v>306</v>
      </c>
      <c r="B28" s="822"/>
      <c r="C28" s="833"/>
      <c r="D28" s="834"/>
      <c r="E28" s="860"/>
      <c r="F28" s="833"/>
      <c r="G28" s="834"/>
      <c r="H28" s="860"/>
      <c r="I28" s="833"/>
      <c r="J28" s="834"/>
      <c r="K28" s="833"/>
      <c r="L28" s="836"/>
      <c r="M28" s="833"/>
      <c r="N28" s="834"/>
      <c r="O28" s="833"/>
      <c r="P28" s="834"/>
      <c r="Q28" s="816" t="s">
        <v>0</v>
      </c>
      <c r="R28" s="838"/>
      <c r="S28" s="838"/>
      <c r="T28" s="816"/>
    </row>
    <row r="29" spans="1:20" ht="27.75" customHeight="1">
      <c r="A29" s="843" t="s">
        <v>307</v>
      </c>
      <c r="B29" s="844"/>
      <c r="C29" s="845"/>
      <c r="D29" s="846"/>
      <c r="E29" s="863"/>
      <c r="F29" s="845"/>
      <c r="G29" s="846"/>
      <c r="H29" s="864"/>
      <c r="I29" s="845"/>
      <c r="J29" s="846"/>
      <c r="K29" s="845"/>
      <c r="L29" s="849"/>
      <c r="M29" s="845"/>
      <c r="N29" s="846"/>
      <c r="O29" s="833"/>
      <c r="P29" s="865"/>
      <c r="Q29" s="816" t="s">
        <v>0</v>
      </c>
      <c r="R29" s="850"/>
      <c r="S29" s="850"/>
      <c r="T29" s="816"/>
    </row>
    <row r="30" spans="1:20">
      <c r="A30" s="851" t="s">
        <v>308</v>
      </c>
      <c r="B30" s="839"/>
      <c r="C30" s="852">
        <f>SUM(C22:C29)</f>
        <v>0</v>
      </c>
      <c r="D30" s="853">
        <f>SUM(D22:D29)</f>
        <v>1448768</v>
      </c>
      <c r="E30" s="866"/>
      <c r="F30" s="852">
        <f>SUM(F22:F29)</f>
        <v>0</v>
      </c>
      <c r="G30" s="853">
        <f>SUM(G22:G29)</f>
        <v>1448768</v>
      </c>
      <c r="H30" s="867"/>
      <c r="I30" s="852">
        <f t="shared" ref="I30:P30" si="2">SUM(I22:I29)</f>
        <v>0</v>
      </c>
      <c r="J30" s="853">
        <f t="shared" si="2"/>
        <v>1453233</v>
      </c>
      <c r="K30" s="868">
        <f t="shared" si="2"/>
        <v>0</v>
      </c>
      <c r="L30" s="869">
        <f t="shared" si="2"/>
        <v>113500</v>
      </c>
      <c r="M30" s="852">
        <f t="shared" si="2"/>
        <v>0</v>
      </c>
      <c r="N30" s="853">
        <f t="shared" si="2"/>
        <v>-632268</v>
      </c>
      <c r="O30" s="868">
        <f t="shared" si="2"/>
        <v>0</v>
      </c>
      <c r="P30" s="853">
        <f t="shared" si="2"/>
        <v>934465</v>
      </c>
      <c r="Q30" s="816" t="s">
        <v>0</v>
      </c>
      <c r="R30" s="856"/>
      <c r="S30" s="856"/>
      <c r="T30" s="816"/>
    </row>
    <row r="31" spans="1:20">
      <c r="A31" s="844"/>
      <c r="B31" s="822"/>
      <c r="C31" s="833"/>
      <c r="D31" s="834"/>
      <c r="E31" s="822"/>
      <c r="F31" s="833"/>
      <c r="G31" s="834"/>
      <c r="H31" s="822"/>
      <c r="I31" s="833"/>
      <c r="J31" s="834"/>
      <c r="K31" s="833"/>
      <c r="L31" s="836"/>
      <c r="M31" s="833"/>
      <c r="N31" s="834"/>
      <c r="O31" s="833"/>
      <c r="P31" s="834"/>
      <c r="Q31" s="816" t="s">
        <v>0</v>
      </c>
      <c r="R31" s="838"/>
      <c r="S31" s="838"/>
      <c r="T31" s="816"/>
    </row>
    <row r="32" spans="1:20" ht="25.5">
      <c r="A32" s="859" t="s">
        <v>309</v>
      </c>
      <c r="B32" s="822"/>
      <c r="C32" s="833"/>
      <c r="D32" s="834"/>
      <c r="E32" s="835"/>
      <c r="F32" s="833"/>
      <c r="G32" s="834"/>
      <c r="H32" s="835"/>
      <c r="I32" s="833"/>
      <c r="J32" s="834"/>
      <c r="K32" s="833"/>
      <c r="L32" s="836"/>
      <c r="M32" s="833"/>
      <c r="N32" s="834"/>
      <c r="O32" s="833"/>
      <c r="P32" s="834"/>
      <c r="Q32" s="816" t="s">
        <v>0</v>
      </c>
      <c r="R32" s="838"/>
      <c r="S32" s="838"/>
      <c r="T32" s="816"/>
    </row>
    <row r="33" spans="1:20" ht="38.25">
      <c r="A33" s="843" t="s">
        <v>310</v>
      </c>
      <c r="B33" s="822"/>
      <c r="C33" s="833"/>
      <c r="D33" s="834">
        <v>3000</v>
      </c>
      <c r="E33" s="835"/>
      <c r="F33" s="833"/>
      <c r="G33" s="834">
        <v>3000</v>
      </c>
      <c r="H33" s="835"/>
      <c r="I33" s="833"/>
      <c r="J33" s="834">
        <f>3000-86</f>
        <v>2914</v>
      </c>
      <c r="K33" s="833"/>
      <c r="L33" s="836"/>
      <c r="M33" s="833"/>
      <c r="N33" s="834"/>
      <c r="O33" s="833">
        <f t="shared" ref="O33:P41" si="3">+I33+K33+M33</f>
        <v>0</v>
      </c>
      <c r="P33" s="834">
        <f t="shared" si="3"/>
        <v>2914</v>
      </c>
      <c r="Q33" s="816" t="s">
        <v>0</v>
      </c>
      <c r="R33" s="838"/>
      <c r="S33" s="838"/>
      <c r="T33" s="816"/>
    </row>
    <row r="34" spans="1:20">
      <c r="A34" s="842" t="s">
        <v>311</v>
      </c>
      <c r="B34" s="822"/>
      <c r="C34" s="833"/>
      <c r="D34" s="834"/>
      <c r="E34" s="835"/>
      <c r="F34" s="833"/>
      <c r="G34" s="834"/>
      <c r="H34" s="835"/>
      <c r="I34" s="833"/>
      <c r="J34" s="834"/>
      <c r="K34" s="833"/>
      <c r="L34" s="836"/>
      <c r="M34" s="833"/>
      <c r="N34" s="834"/>
      <c r="O34" s="833"/>
      <c r="P34" s="834"/>
      <c r="Q34" s="816" t="s">
        <v>0</v>
      </c>
      <c r="R34" s="838"/>
      <c r="S34" s="838"/>
      <c r="T34" s="816"/>
    </row>
    <row r="35" spans="1:20" ht="42" customHeight="1">
      <c r="A35" s="843" t="s">
        <v>312</v>
      </c>
      <c r="B35" s="822"/>
      <c r="C35" s="833"/>
      <c r="D35" s="834"/>
      <c r="E35" s="835"/>
      <c r="F35" s="833"/>
      <c r="G35" s="834"/>
      <c r="H35" s="835"/>
      <c r="I35" s="833"/>
      <c r="J35" s="834"/>
      <c r="K35" s="833"/>
      <c r="L35" s="836"/>
      <c r="M35" s="833"/>
      <c r="N35" s="834"/>
      <c r="O35" s="833"/>
      <c r="P35" s="834"/>
      <c r="Q35" s="816" t="s">
        <v>0</v>
      </c>
      <c r="R35" s="838"/>
      <c r="S35" s="838"/>
      <c r="T35" s="816"/>
    </row>
    <row r="36" spans="1:20" ht="38.25">
      <c r="A36" s="843" t="s">
        <v>313</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314</v>
      </c>
      <c r="B37" s="822"/>
      <c r="C37" s="833"/>
      <c r="D37" s="1192"/>
      <c r="E37" s="835"/>
      <c r="F37" s="833"/>
      <c r="G37" s="1192"/>
      <c r="H37" s="835"/>
      <c r="I37" s="833"/>
      <c r="J37" s="834"/>
      <c r="K37" s="833"/>
      <c r="L37" s="836"/>
      <c r="M37" s="833"/>
      <c r="N37" s="834"/>
      <c r="O37" s="833"/>
      <c r="P37" s="834"/>
      <c r="Q37" s="816" t="s">
        <v>0</v>
      </c>
      <c r="R37" s="838"/>
      <c r="S37" s="838"/>
      <c r="T37" s="816"/>
    </row>
    <row r="38" spans="1:20" ht="25.5">
      <c r="A38" s="843" t="s">
        <v>456</v>
      </c>
      <c r="B38" s="822"/>
      <c r="C38" s="833"/>
      <c r="D38" s="834">
        <v>67500</v>
      </c>
      <c r="E38" s="835"/>
      <c r="F38" s="833"/>
      <c r="G38" s="834">
        <v>67500</v>
      </c>
      <c r="H38" s="835"/>
      <c r="I38" s="833"/>
      <c r="J38" s="834">
        <f>67500+161000-1935</f>
        <v>226565</v>
      </c>
      <c r="K38" s="833"/>
      <c r="L38" s="836">
        <f>SUM(8000+57000)</f>
        <v>65000</v>
      </c>
      <c r="M38" s="833"/>
      <c r="N38" s="834">
        <f>SUM(-12000-35000-10000-51000)</f>
        <v>-108000</v>
      </c>
      <c r="O38" s="833">
        <f t="shared" si="3"/>
        <v>0</v>
      </c>
      <c r="P38" s="834">
        <f t="shared" si="3"/>
        <v>183565</v>
      </c>
      <c r="Q38" s="816" t="s">
        <v>0</v>
      </c>
      <c r="R38" s="838"/>
      <c r="S38" s="838"/>
      <c r="T38" s="816"/>
    </row>
    <row r="39" spans="1:20">
      <c r="A39" s="842" t="s">
        <v>315</v>
      </c>
      <c r="B39" s="822"/>
      <c r="C39" s="833"/>
      <c r="D39" s="834">
        <v>15500</v>
      </c>
      <c r="E39" s="835"/>
      <c r="F39" s="833"/>
      <c r="G39" s="834">
        <v>15500</v>
      </c>
      <c r="H39" s="835"/>
      <c r="I39" s="833"/>
      <c r="J39" s="834">
        <f>15500-444</f>
        <v>15056</v>
      </c>
      <c r="K39" s="833"/>
      <c r="L39" s="836"/>
      <c r="M39" s="833"/>
      <c r="N39" s="834">
        <f>SUM(-3000-2500-1000)</f>
        <v>-6500</v>
      </c>
      <c r="O39" s="833">
        <f t="shared" si="3"/>
        <v>0</v>
      </c>
      <c r="P39" s="834">
        <f t="shared" si="3"/>
        <v>8556</v>
      </c>
      <c r="Q39" s="816" t="s">
        <v>0</v>
      </c>
      <c r="R39" s="838"/>
      <c r="S39" s="838"/>
      <c r="T39" s="816"/>
    </row>
    <row r="40" spans="1:20">
      <c r="A40" s="851" t="s">
        <v>316</v>
      </c>
      <c r="B40" s="839"/>
      <c r="C40" s="852">
        <f>SUM(C33:C39)</f>
        <v>0</v>
      </c>
      <c r="D40" s="853">
        <f>SUM(D33:D39)</f>
        <v>86000</v>
      </c>
      <c r="E40" s="854"/>
      <c r="F40" s="852">
        <f>SUM(F33:F39)</f>
        <v>0</v>
      </c>
      <c r="G40" s="853">
        <f>SUM(G33:G39)</f>
        <v>86000</v>
      </c>
      <c r="H40" s="855"/>
      <c r="I40" s="852">
        <f t="shared" ref="I40:P40" si="4">SUM(I33:I39)</f>
        <v>0</v>
      </c>
      <c r="J40" s="853">
        <f>SUM(J33:J39)</f>
        <v>244535</v>
      </c>
      <c r="K40" s="852">
        <f t="shared" si="4"/>
        <v>0</v>
      </c>
      <c r="L40" s="869">
        <f t="shared" si="4"/>
        <v>65000</v>
      </c>
      <c r="M40" s="852">
        <f t="shared" si="4"/>
        <v>0</v>
      </c>
      <c r="N40" s="853">
        <f t="shared" si="4"/>
        <v>-114500</v>
      </c>
      <c r="O40" s="852">
        <f t="shared" si="4"/>
        <v>0</v>
      </c>
      <c r="P40" s="853">
        <f t="shared" si="4"/>
        <v>195035</v>
      </c>
      <c r="Q40" s="816" t="s">
        <v>0</v>
      </c>
      <c r="R40" s="856"/>
      <c r="S40" s="856"/>
      <c r="T40" s="816"/>
    </row>
    <row r="41" spans="1:20">
      <c r="A41" s="1193" t="s">
        <v>457</v>
      </c>
      <c r="B41" s="822"/>
      <c r="C41" s="1194">
        <f>C19+C30+C40</f>
        <v>0</v>
      </c>
      <c r="D41" s="1195">
        <f>D19+D30+D40</f>
        <v>1534768</v>
      </c>
      <c r="E41" s="822"/>
      <c r="F41" s="1196">
        <f>F19+F30+F40</f>
        <v>0</v>
      </c>
      <c r="G41" s="1197">
        <f>G19+G30+G40</f>
        <v>1534768</v>
      </c>
      <c r="H41" s="1198"/>
      <c r="I41" s="1196">
        <f t="shared" ref="I41:O41" si="5">I19+I30+I40</f>
        <v>0</v>
      </c>
      <c r="J41" s="1197">
        <f t="shared" si="5"/>
        <v>1697768</v>
      </c>
      <c r="K41" s="1196">
        <f t="shared" si="5"/>
        <v>0</v>
      </c>
      <c r="L41" s="1197">
        <f t="shared" si="5"/>
        <v>178500</v>
      </c>
      <c r="M41" s="1196">
        <f t="shared" si="5"/>
        <v>0</v>
      </c>
      <c r="N41" s="1197">
        <f t="shared" si="5"/>
        <v>-746768</v>
      </c>
      <c r="O41" s="1196">
        <f t="shared" si="5"/>
        <v>0</v>
      </c>
      <c r="P41" s="1197">
        <f t="shared" si="3"/>
        <v>1129500</v>
      </c>
      <c r="Q41" s="816" t="s">
        <v>0</v>
      </c>
      <c r="R41" s="838"/>
      <c r="S41" s="838"/>
      <c r="T41" s="816"/>
    </row>
    <row r="42" spans="1:20">
      <c r="A42" s="1193" t="s">
        <v>269</v>
      </c>
      <c r="B42" s="822"/>
      <c r="C42" s="1194"/>
      <c r="D42" s="1195">
        <v>-42276</v>
      </c>
      <c r="E42" s="822"/>
      <c r="F42" s="1196"/>
      <c r="G42" s="1195">
        <v>-44000</v>
      </c>
      <c r="H42" s="1198"/>
      <c r="I42" s="1196"/>
      <c r="J42" s="1197">
        <v>44000</v>
      </c>
      <c r="K42" s="1196"/>
      <c r="L42" s="1197"/>
      <c r="M42" s="1196"/>
      <c r="N42" s="1197">
        <v>-36400</v>
      </c>
      <c r="O42" s="1196"/>
      <c r="P42" s="1197">
        <f>+L42+N42</f>
        <v>-36400</v>
      </c>
      <c r="Q42" s="816" t="s">
        <v>0</v>
      </c>
      <c r="R42" s="838"/>
      <c r="S42" s="838"/>
      <c r="T42" s="816"/>
    </row>
    <row r="43" spans="1:20">
      <c r="A43" s="1193" t="s">
        <v>53</v>
      </c>
      <c r="B43" s="822"/>
      <c r="C43" s="1194"/>
      <c r="D43" s="1195">
        <f>203000+3000+1500</f>
        <v>207500</v>
      </c>
      <c r="E43" s="822"/>
      <c r="F43" s="1196"/>
      <c r="G43" s="1197"/>
      <c r="H43" s="1198"/>
      <c r="I43" s="1196"/>
      <c r="J43" s="1197"/>
      <c r="K43" s="1196"/>
      <c r="L43" s="1197"/>
      <c r="M43" s="1196"/>
      <c r="N43" s="1197"/>
      <c r="O43" s="1196"/>
      <c r="P43" s="1197">
        <f>+J43+L43+N43</f>
        <v>0</v>
      </c>
      <c r="Q43" s="816" t="s">
        <v>0</v>
      </c>
      <c r="R43" s="838"/>
      <c r="S43" s="838"/>
      <c r="T43" s="816"/>
    </row>
    <row r="44" spans="1:20">
      <c r="A44" s="1193" t="s">
        <v>458</v>
      </c>
      <c r="B44" s="822"/>
      <c r="C44" s="1194"/>
      <c r="D44" s="1195">
        <v>-19818</v>
      </c>
      <c r="E44" s="822"/>
      <c r="F44" s="1196"/>
      <c r="G44" s="1197"/>
      <c r="H44" s="1198"/>
      <c r="I44" s="1196"/>
      <c r="J44" s="1197"/>
      <c r="K44" s="1196"/>
      <c r="L44" s="1197"/>
      <c r="M44" s="1196"/>
      <c r="N44" s="1197"/>
      <c r="O44" s="1196"/>
      <c r="P44" s="1197">
        <f>+J44+L44+N44</f>
        <v>0</v>
      </c>
      <c r="Q44" s="816" t="s">
        <v>0</v>
      </c>
      <c r="R44" s="838"/>
      <c r="S44" s="838"/>
      <c r="T44" s="816"/>
    </row>
    <row r="45" spans="1:20" ht="13.5" thickBot="1">
      <c r="A45" s="822"/>
      <c r="B45" s="822"/>
      <c r="C45" s="1199"/>
      <c r="D45" s="1199"/>
      <c r="E45" s="822"/>
      <c r="F45" s="1198"/>
      <c r="G45" s="1198"/>
      <c r="H45" s="1198"/>
      <c r="I45" s="1198"/>
      <c r="J45" s="1198"/>
      <c r="K45" s="1198"/>
      <c r="L45" s="1198"/>
      <c r="M45" s="1200"/>
      <c r="N45" s="1198"/>
      <c r="O45" s="1198"/>
      <c r="P45" s="1198"/>
      <c r="Q45" s="816" t="s">
        <v>0</v>
      </c>
      <c r="R45" s="838"/>
      <c r="S45" s="838"/>
      <c r="T45" s="816"/>
    </row>
    <row r="46" spans="1:20" s="883" customFormat="1" ht="18.75" customHeight="1" thickBot="1">
      <c r="A46" s="876" t="s">
        <v>317</v>
      </c>
      <c r="B46" s="877"/>
      <c r="C46" s="1201">
        <f>C19+C30+C40</f>
        <v>0</v>
      </c>
      <c r="D46" s="1202">
        <f>SUM(D41:D44)</f>
        <v>1680174</v>
      </c>
      <c r="E46" s="877"/>
      <c r="F46" s="878">
        <f t="shared" ref="F46:P46" si="6">SUM(F41:F44)</f>
        <v>0</v>
      </c>
      <c r="G46" s="879">
        <f t="shared" si="6"/>
        <v>1490768</v>
      </c>
      <c r="H46" s="1203"/>
      <c r="I46" s="878">
        <f t="shared" si="6"/>
        <v>0</v>
      </c>
      <c r="J46" s="879">
        <f t="shared" si="6"/>
        <v>1741768</v>
      </c>
      <c r="K46" s="878">
        <f t="shared" si="6"/>
        <v>0</v>
      </c>
      <c r="L46" s="879">
        <f t="shared" si="6"/>
        <v>178500</v>
      </c>
      <c r="M46" s="878">
        <f t="shared" si="6"/>
        <v>0</v>
      </c>
      <c r="N46" s="879">
        <f t="shared" si="6"/>
        <v>-783168</v>
      </c>
      <c r="O46" s="878">
        <f t="shared" si="6"/>
        <v>0</v>
      </c>
      <c r="P46" s="879">
        <f t="shared" si="6"/>
        <v>1093100</v>
      </c>
      <c r="Q46" s="816" t="s">
        <v>24</v>
      </c>
      <c r="R46" s="881"/>
      <c r="S46" s="882"/>
      <c r="T46" s="816"/>
    </row>
    <row r="47" spans="1:20">
      <c r="A47" s="884"/>
      <c r="B47" s="884"/>
      <c r="C47" s="881"/>
      <c r="D47" s="882"/>
      <c r="E47" s="884"/>
      <c r="F47" s="881"/>
      <c r="G47" s="882"/>
      <c r="H47" s="884"/>
      <c r="I47" s="881"/>
      <c r="J47" s="882"/>
      <c r="K47" s="883"/>
      <c r="L47" s="883"/>
      <c r="M47" s="883"/>
      <c r="N47" s="883"/>
      <c r="O47" s="883"/>
      <c r="P47" s="883"/>
      <c r="Q47" s="883"/>
      <c r="R47" s="885"/>
      <c r="S47" s="885"/>
      <c r="T47" s="816"/>
    </row>
    <row r="48" spans="1:20">
      <c r="A48" s="884"/>
      <c r="B48" s="884"/>
      <c r="C48" s="881"/>
      <c r="D48" s="882"/>
      <c r="E48" s="884"/>
      <c r="F48" s="881"/>
      <c r="G48" s="882"/>
      <c r="H48" s="884"/>
      <c r="I48" s="881"/>
      <c r="J48" s="882"/>
      <c r="K48" s="883"/>
      <c r="L48" s="883"/>
      <c r="M48" s="883"/>
      <c r="N48" s="883"/>
      <c r="O48" s="883"/>
      <c r="P48" s="883"/>
      <c r="Q48" s="883"/>
      <c r="R48" s="885"/>
      <c r="S48" s="885"/>
      <c r="T48" s="816"/>
    </row>
    <row r="49" spans="1:19" ht="15">
      <c r="A49" s="2184"/>
      <c r="B49" s="2185"/>
      <c r="C49" s="2185"/>
      <c r="D49" s="2185"/>
      <c r="E49" s="2185"/>
      <c r="F49" s="2185"/>
      <c r="G49" s="2185"/>
      <c r="H49" s="2185"/>
      <c r="I49" s="2185"/>
      <c r="J49" s="2186"/>
      <c r="K49" s="2186"/>
      <c r="L49" s="2186"/>
      <c r="M49" s="2186"/>
      <c r="N49" s="2186"/>
      <c r="O49" s="2186"/>
      <c r="P49" s="2186"/>
      <c r="Q49" s="2186"/>
      <c r="R49" s="2186"/>
      <c r="S49" s="2186"/>
    </row>
    <row r="50" spans="1:19" ht="15">
      <c r="A50" s="2184"/>
      <c r="B50" s="2185"/>
      <c r="C50" s="2185"/>
      <c r="D50" s="2185"/>
      <c r="E50" s="2185"/>
      <c r="F50" s="2185"/>
      <c r="G50" s="2185"/>
      <c r="H50" s="2185"/>
      <c r="I50" s="2185"/>
      <c r="J50" s="2186"/>
      <c r="K50" s="2186"/>
      <c r="L50" s="2186"/>
      <c r="M50" s="2186"/>
      <c r="N50" s="2186"/>
      <c r="O50" s="2186"/>
      <c r="P50" s="2186"/>
      <c r="Q50" s="2186"/>
      <c r="R50" s="2186"/>
      <c r="S50" s="2186"/>
    </row>
    <row r="51" spans="1:19">
      <c r="S51" s="816"/>
    </row>
  </sheetData>
  <mergeCells count="15">
    <mergeCell ref="K10:L10"/>
    <mergeCell ref="M10:N10"/>
    <mergeCell ref="A11:A12"/>
    <mergeCell ref="A49:S49"/>
    <mergeCell ref="A50:S50"/>
    <mergeCell ref="C9:D10"/>
    <mergeCell ref="F9:G10"/>
    <mergeCell ref="I9:J10"/>
    <mergeCell ref="K9:N9"/>
    <mergeCell ref="O9:P10"/>
    <mergeCell ref="A1:P1"/>
    <mergeCell ref="A3:P3"/>
    <mergeCell ref="A4:P4"/>
    <mergeCell ref="A5:P5"/>
    <mergeCell ref="A6:P6"/>
  </mergeCells>
  <printOptions horizontalCentered="1"/>
  <pageMargins left="0.75" right="0.75" top="1" bottom="0.79" header="0.5" footer="0.5"/>
  <pageSetup scale="55" orientation="landscape" r:id="rId1"/>
  <headerFooter alignWithMargins="0">
    <oddFooter>&amp;C&amp;"Times New Roman,Regular"Exhibit D - Resources by DOJ Strategic Goals &amp; Strategic Objectives&amp;R&amp;"Times New Roman,Regular"State and Local Law Enforcement Assistance</oddFooter>
  </headerFooter>
  <rowBreaks count="2" manualBreakCount="2">
    <brk id="46" max="15" man="1"/>
    <brk id="47" max="15" man="1"/>
  </rowBreaks>
</worksheet>
</file>

<file path=xl/worksheets/sheet26.xml><?xml version="1.0" encoding="utf-8"?>
<worksheet xmlns="http://schemas.openxmlformats.org/spreadsheetml/2006/main" xmlns:r="http://schemas.openxmlformats.org/officeDocument/2006/relationships">
  <dimension ref="A1:AC93"/>
  <sheetViews>
    <sheetView showGridLines="0" showOutlineSymbols="0" view="pageBreakPreview" zoomScale="75" zoomScaleNormal="100" zoomScaleSheetLayoutView="75" workbookViewId="0">
      <selection sqref="A1:O1"/>
    </sheetView>
  </sheetViews>
  <sheetFormatPr defaultColWidth="9.6640625" defaultRowHeight="15.75"/>
  <cols>
    <col min="1" max="1" width="59"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8" width="5.5546875" style="684" customWidth="1"/>
    <col min="9" max="9" width="5.6640625" style="684" customWidth="1"/>
    <col min="10" max="10" width="8.33203125" style="684" customWidth="1"/>
    <col min="11" max="11" width="8.77734375" style="761" customWidth="1"/>
    <col min="12" max="12" width="10" style="761" customWidth="1"/>
    <col min="13" max="13" width="7.5546875" style="684" bestFit="1" customWidth="1"/>
    <col min="14" max="14" width="6.77734375" style="684" customWidth="1"/>
    <col min="15" max="15" width="10.88671875" style="684" bestFit="1" customWidth="1"/>
    <col min="16" max="16" width="1" style="948" customWidth="1"/>
    <col min="17" max="16384" width="9.6640625" style="684"/>
  </cols>
  <sheetData>
    <row r="1" spans="1:16" s="1204" customFormat="1" ht="18.75">
      <c r="A1" s="2375" t="s">
        <v>240</v>
      </c>
      <c r="B1" s="2376"/>
      <c r="C1" s="2376"/>
      <c r="D1" s="2376"/>
      <c r="E1" s="2376"/>
      <c r="F1" s="2376"/>
      <c r="G1" s="2376"/>
      <c r="H1" s="2376"/>
      <c r="I1" s="2376"/>
      <c r="J1" s="2376"/>
      <c r="K1" s="2376"/>
      <c r="L1" s="2376"/>
      <c r="M1" s="2376"/>
      <c r="N1" s="2376"/>
      <c r="O1" s="2376"/>
      <c r="P1" s="904" t="s">
        <v>0</v>
      </c>
    </row>
    <row r="2" spans="1:16" s="1204" customFormat="1" ht="18.75">
      <c r="A2" s="2373"/>
      <c r="B2" s="2373"/>
      <c r="C2" s="2373"/>
      <c r="D2" s="2373"/>
      <c r="E2" s="2373"/>
      <c r="F2" s="2373"/>
      <c r="G2" s="2373"/>
      <c r="H2" s="2373"/>
      <c r="I2" s="2373"/>
      <c r="J2" s="2373"/>
      <c r="K2" s="2373"/>
      <c r="L2" s="2373"/>
      <c r="M2" s="2373"/>
      <c r="N2" s="2373"/>
      <c r="O2" s="2373"/>
      <c r="P2" s="904" t="s">
        <v>0</v>
      </c>
    </row>
    <row r="3" spans="1:16" s="1204" customFormat="1" ht="18.75">
      <c r="A3" s="2210" t="s">
        <v>231</v>
      </c>
      <c r="B3" s="2377"/>
      <c r="C3" s="2377"/>
      <c r="D3" s="2377"/>
      <c r="E3" s="2377"/>
      <c r="F3" s="2377"/>
      <c r="G3" s="2377"/>
      <c r="H3" s="2377"/>
      <c r="I3" s="2377"/>
      <c r="J3" s="2377"/>
      <c r="K3" s="2377"/>
      <c r="L3" s="2377"/>
      <c r="M3" s="2377"/>
      <c r="N3" s="2377"/>
      <c r="O3" s="2377"/>
      <c r="P3" s="904" t="s">
        <v>0</v>
      </c>
    </row>
    <row r="4" spans="1:16" s="1204" customFormat="1" ht="18.75">
      <c r="A4" s="2373" t="str">
        <f>+'B. Summ of Reqs - SLLEA '!A5</f>
        <v>Office of Justice Programs</v>
      </c>
      <c r="B4" s="2374"/>
      <c r="C4" s="2374"/>
      <c r="D4" s="2374"/>
      <c r="E4" s="2374"/>
      <c r="F4" s="2374"/>
      <c r="G4" s="2374"/>
      <c r="H4" s="2374"/>
      <c r="I4" s="2374"/>
      <c r="J4" s="2374"/>
      <c r="K4" s="2374"/>
      <c r="L4" s="2374"/>
      <c r="M4" s="2374"/>
      <c r="N4" s="2374"/>
      <c r="O4" s="2374"/>
      <c r="P4" s="904" t="s">
        <v>0</v>
      </c>
    </row>
    <row r="5" spans="1:16" s="1204" customFormat="1" ht="18.75">
      <c r="A5" s="2373" t="s">
        <v>482</v>
      </c>
      <c r="B5" s="2377"/>
      <c r="C5" s="2377"/>
      <c r="D5" s="2377"/>
      <c r="E5" s="2377"/>
      <c r="F5" s="2377"/>
      <c r="G5" s="2377"/>
      <c r="H5" s="2377"/>
      <c r="I5" s="2377"/>
      <c r="J5" s="2377"/>
      <c r="K5" s="2377"/>
      <c r="L5" s="2377"/>
      <c r="M5" s="2377"/>
      <c r="N5" s="2377"/>
      <c r="O5" s="2377"/>
      <c r="P5" s="904" t="s">
        <v>0</v>
      </c>
    </row>
    <row r="6" spans="1:16" s="1204" customFormat="1" ht="18.75">
      <c r="A6" s="2373" t="s">
        <v>257</v>
      </c>
      <c r="B6" s="2374"/>
      <c r="C6" s="2374"/>
      <c r="D6" s="2374"/>
      <c r="E6" s="2374"/>
      <c r="F6" s="2374"/>
      <c r="G6" s="2374"/>
      <c r="H6" s="2374"/>
      <c r="I6" s="2374"/>
      <c r="J6" s="2374"/>
      <c r="K6" s="2374"/>
      <c r="L6" s="2374"/>
      <c r="M6" s="2374"/>
      <c r="N6" s="2374"/>
      <c r="O6" s="2374"/>
      <c r="P6" s="904" t="s">
        <v>0</v>
      </c>
    </row>
    <row r="7" spans="1:16" s="1204" customFormat="1" ht="18.75">
      <c r="A7" s="2373"/>
      <c r="B7" s="2373"/>
      <c r="C7" s="2373"/>
      <c r="D7" s="2373"/>
      <c r="E7" s="2373"/>
      <c r="F7" s="2373"/>
      <c r="G7" s="2373"/>
      <c r="H7" s="2373"/>
      <c r="I7" s="2373"/>
      <c r="J7" s="2373"/>
      <c r="K7" s="2373"/>
      <c r="L7" s="2373"/>
      <c r="M7" s="2373"/>
      <c r="N7" s="2373"/>
      <c r="O7" s="2373"/>
      <c r="P7" s="904" t="s">
        <v>0</v>
      </c>
    </row>
    <row r="8" spans="1:16" s="1204" customFormat="1" ht="18.75">
      <c r="A8" s="2378"/>
      <c r="B8" s="2378"/>
      <c r="C8" s="2378"/>
      <c r="D8" s="2378"/>
      <c r="E8" s="2378"/>
      <c r="F8" s="2378"/>
      <c r="G8" s="2378"/>
      <c r="H8" s="2378"/>
      <c r="I8" s="2378"/>
      <c r="J8" s="2378"/>
      <c r="K8" s="2378"/>
      <c r="L8" s="2378"/>
      <c r="M8" s="2378"/>
      <c r="N8" s="2378"/>
      <c r="O8" s="2378"/>
      <c r="P8" s="904" t="s">
        <v>0</v>
      </c>
    </row>
    <row r="9" spans="1:16" ht="15.75" customHeight="1">
      <c r="A9" s="2379" t="s">
        <v>45</v>
      </c>
      <c r="B9" s="2217" t="s">
        <v>19</v>
      </c>
      <c r="C9" s="2218"/>
      <c r="D9" s="2219"/>
      <c r="E9" s="2223" t="s">
        <v>269</v>
      </c>
      <c r="F9" s="2224"/>
      <c r="G9" s="2225"/>
      <c r="H9" s="2217" t="s">
        <v>599</v>
      </c>
      <c r="I9" s="2218"/>
      <c r="J9" s="2218"/>
      <c r="K9" s="2382" t="s">
        <v>356</v>
      </c>
      <c r="L9" s="2382" t="s">
        <v>357</v>
      </c>
      <c r="M9" s="2217" t="s">
        <v>35</v>
      </c>
      <c r="N9" s="2218"/>
      <c r="O9" s="2219"/>
      <c r="P9" s="904" t="s">
        <v>0</v>
      </c>
    </row>
    <row r="10" spans="1:16">
      <c r="A10" s="2380"/>
      <c r="B10" s="2220"/>
      <c r="C10" s="2221"/>
      <c r="D10" s="2222"/>
      <c r="E10" s="2226"/>
      <c r="F10" s="2227"/>
      <c r="G10" s="2228"/>
      <c r="H10" s="2220"/>
      <c r="I10" s="2221"/>
      <c r="J10" s="2221"/>
      <c r="K10" s="2383"/>
      <c r="L10" s="2383"/>
      <c r="M10" s="2220"/>
      <c r="N10" s="2221"/>
      <c r="O10" s="2222"/>
      <c r="P10" s="904" t="s">
        <v>0</v>
      </c>
    </row>
    <row r="11" spans="1:16" ht="16.5" thickBot="1">
      <c r="A11" s="2381"/>
      <c r="B11" s="905" t="s">
        <v>277</v>
      </c>
      <c r="C11" s="906" t="s">
        <v>49</v>
      </c>
      <c r="D11" s="906" t="s">
        <v>279</v>
      </c>
      <c r="E11" s="905" t="s">
        <v>277</v>
      </c>
      <c r="F11" s="906" t="s">
        <v>49</v>
      </c>
      <c r="G11" s="906" t="s">
        <v>279</v>
      </c>
      <c r="H11" s="905" t="s">
        <v>277</v>
      </c>
      <c r="I11" s="906" t="s">
        <v>49</v>
      </c>
      <c r="J11" s="906" t="s">
        <v>279</v>
      </c>
      <c r="K11" s="1205" t="s">
        <v>279</v>
      </c>
      <c r="L11" s="1206" t="s">
        <v>279</v>
      </c>
      <c r="M11" s="905" t="s">
        <v>277</v>
      </c>
      <c r="N11" s="906" t="s">
        <v>49</v>
      </c>
      <c r="O11" s="909" t="s">
        <v>279</v>
      </c>
      <c r="P11" s="904" t="s">
        <v>0</v>
      </c>
    </row>
    <row r="12" spans="1:16">
      <c r="A12" s="1207" t="s">
        <v>522</v>
      </c>
      <c r="B12" s="738"/>
      <c r="C12" s="697"/>
      <c r="D12" s="697"/>
      <c r="E12" s="738"/>
      <c r="F12" s="697"/>
      <c r="G12" s="697"/>
      <c r="H12" s="738"/>
      <c r="I12" s="697"/>
      <c r="J12" s="697">
        <v>-447</v>
      </c>
      <c r="K12" s="1104">
        <v>1608</v>
      </c>
      <c r="L12" s="1208">
        <v>12719</v>
      </c>
      <c r="M12" s="738"/>
      <c r="N12" s="697"/>
      <c r="O12" s="667">
        <f>D12+G12+J12+K12+L12</f>
        <v>13880</v>
      </c>
      <c r="P12" s="904" t="s">
        <v>0</v>
      </c>
    </row>
    <row r="13" spans="1:16">
      <c r="A13" s="1209" t="s">
        <v>498</v>
      </c>
      <c r="B13" s="738"/>
      <c r="C13" s="697"/>
      <c r="D13" s="697">
        <v>40000</v>
      </c>
      <c r="E13" s="738"/>
      <c r="F13" s="697"/>
      <c r="G13" s="697"/>
      <c r="H13" s="738"/>
      <c r="I13" s="697"/>
      <c r="J13" s="697">
        <v>-502</v>
      </c>
      <c r="K13" s="1104">
        <v>273</v>
      </c>
      <c r="L13" s="1208">
        <v>17</v>
      </c>
      <c r="M13" s="738"/>
      <c r="N13" s="697"/>
      <c r="O13" s="667">
        <f t="shared" ref="O13:O35" si="0">D13+G13+J13+K13+L13</f>
        <v>39788</v>
      </c>
      <c r="P13" s="904" t="s">
        <v>0</v>
      </c>
    </row>
    <row r="14" spans="1:16">
      <c r="A14" s="1209" t="s">
        <v>499</v>
      </c>
      <c r="B14" s="738"/>
      <c r="C14" s="697"/>
      <c r="D14" s="697">
        <v>185268</v>
      </c>
      <c r="E14" s="738"/>
      <c r="F14" s="697"/>
      <c r="G14" s="697"/>
      <c r="H14" s="738"/>
      <c r="I14" s="697"/>
      <c r="J14" s="697"/>
      <c r="K14" s="1104">
        <v>11700</v>
      </c>
      <c r="L14" s="1208">
        <v>5933</v>
      </c>
      <c r="M14" s="738"/>
      <c r="N14" s="697"/>
      <c r="O14" s="667">
        <f t="shared" si="0"/>
        <v>202901</v>
      </c>
      <c r="P14" s="904" t="s">
        <v>0</v>
      </c>
    </row>
    <row r="15" spans="1:16">
      <c r="A15" s="1209" t="s">
        <v>600</v>
      </c>
      <c r="B15" s="738"/>
      <c r="C15" s="697"/>
      <c r="D15" s="697"/>
      <c r="E15" s="738"/>
      <c r="F15" s="697"/>
      <c r="G15" s="697"/>
      <c r="H15" s="738"/>
      <c r="I15" s="697"/>
      <c r="J15" s="697"/>
      <c r="K15" s="1104"/>
      <c r="L15" s="1208">
        <v>516</v>
      </c>
      <c r="M15" s="738"/>
      <c r="N15" s="697"/>
      <c r="O15" s="667">
        <f t="shared" si="0"/>
        <v>516</v>
      </c>
      <c r="P15" s="904" t="s">
        <v>0</v>
      </c>
    </row>
    <row r="16" spans="1:16">
      <c r="A16" s="1209" t="s">
        <v>601</v>
      </c>
      <c r="B16" s="738"/>
      <c r="C16" s="697"/>
      <c r="D16" s="697"/>
      <c r="E16" s="738"/>
      <c r="F16" s="697"/>
      <c r="G16" s="697"/>
      <c r="H16" s="738"/>
      <c r="I16" s="697"/>
      <c r="J16" s="697"/>
      <c r="K16" s="1104"/>
      <c r="L16" s="1208">
        <v>7</v>
      </c>
      <c r="M16" s="738"/>
      <c r="N16" s="697"/>
      <c r="O16" s="667">
        <f t="shared" si="0"/>
        <v>7</v>
      </c>
      <c r="P16" s="904" t="s">
        <v>0</v>
      </c>
    </row>
    <row r="17" spans="1:16">
      <c r="A17" s="1209" t="s">
        <v>524</v>
      </c>
      <c r="B17" s="738"/>
      <c r="C17" s="697"/>
      <c r="D17" s="697">
        <v>5500</v>
      </c>
      <c r="E17" s="738"/>
      <c r="F17" s="697"/>
      <c r="G17" s="697"/>
      <c r="H17" s="738"/>
      <c r="I17" s="697"/>
      <c r="J17" s="697">
        <v>-26</v>
      </c>
      <c r="K17" s="1104">
        <v>176</v>
      </c>
      <c r="L17" s="1208">
        <v>183</v>
      </c>
      <c r="M17" s="738"/>
      <c r="N17" s="697"/>
      <c r="O17" s="667">
        <f t="shared" si="0"/>
        <v>5833</v>
      </c>
      <c r="P17" s="904" t="s">
        <v>0</v>
      </c>
    </row>
    <row r="18" spans="1:16">
      <c r="A18" s="1210" t="s">
        <v>525</v>
      </c>
      <c r="B18" s="1211"/>
      <c r="C18" s="697"/>
      <c r="D18" s="697"/>
      <c r="E18" s="738"/>
      <c r="F18" s="697"/>
      <c r="G18" s="697"/>
      <c r="H18" s="738"/>
      <c r="I18" s="697"/>
      <c r="J18" s="697">
        <v>-31</v>
      </c>
      <c r="K18" s="1104">
        <v>233</v>
      </c>
      <c r="L18" s="1208"/>
      <c r="M18" s="738"/>
      <c r="N18" s="697"/>
      <c r="O18" s="667">
        <f t="shared" si="0"/>
        <v>202</v>
      </c>
      <c r="P18" s="904" t="s">
        <v>0</v>
      </c>
    </row>
    <row r="19" spans="1:16">
      <c r="A19" s="1209" t="s">
        <v>526</v>
      </c>
      <c r="B19" s="738"/>
      <c r="C19" s="697"/>
      <c r="D19" s="697">
        <v>2500</v>
      </c>
      <c r="E19" s="738"/>
      <c r="F19" s="697"/>
      <c r="G19" s="697"/>
      <c r="H19" s="738"/>
      <c r="I19" s="697"/>
      <c r="J19" s="697">
        <v>-26</v>
      </c>
      <c r="K19" s="1104">
        <v>28</v>
      </c>
      <c r="L19" s="1208"/>
      <c r="M19" s="738"/>
      <c r="N19" s="697"/>
      <c r="O19" s="667">
        <f t="shared" si="0"/>
        <v>2502</v>
      </c>
      <c r="P19" s="904" t="s">
        <v>0</v>
      </c>
    </row>
    <row r="20" spans="1:16">
      <c r="A20" s="1209" t="s">
        <v>527</v>
      </c>
      <c r="B20" s="738"/>
      <c r="C20" s="697"/>
      <c r="D20" s="697"/>
      <c r="E20" s="738"/>
      <c r="F20" s="697"/>
      <c r="G20" s="697"/>
      <c r="H20" s="738"/>
      <c r="I20" s="697"/>
      <c r="J20" s="697"/>
      <c r="K20" s="1104"/>
      <c r="L20" s="1208"/>
      <c r="M20" s="738"/>
      <c r="N20" s="697"/>
      <c r="O20" s="667"/>
      <c r="P20" s="904" t="s">
        <v>0</v>
      </c>
    </row>
    <row r="21" spans="1:16">
      <c r="A21" s="1210" t="s">
        <v>528</v>
      </c>
      <c r="B21" s="738"/>
      <c r="C21" s="697"/>
      <c r="D21" s="697"/>
      <c r="E21" s="738"/>
      <c r="F21" s="697"/>
      <c r="G21" s="697"/>
      <c r="H21" s="738"/>
      <c r="I21" s="697"/>
      <c r="J21" s="697">
        <v>-10</v>
      </c>
      <c r="K21" s="1104">
        <v>15</v>
      </c>
      <c r="L21" s="1208"/>
      <c r="M21" s="738"/>
      <c r="N21" s="697"/>
      <c r="O21" s="667">
        <f t="shared" si="0"/>
        <v>5</v>
      </c>
      <c r="P21" s="904" t="s">
        <v>0</v>
      </c>
    </row>
    <row r="22" spans="1:16">
      <c r="A22" s="1210" t="s">
        <v>529</v>
      </c>
      <c r="B22" s="738"/>
      <c r="C22" s="697"/>
      <c r="D22" s="697"/>
      <c r="E22" s="738"/>
      <c r="F22" s="697"/>
      <c r="G22" s="697"/>
      <c r="H22" s="738"/>
      <c r="I22" s="697"/>
      <c r="J22" s="697">
        <v>-200</v>
      </c>
      <c r="K22" s="1104">
        <v>47</v>
      </c>
      <c r="L22" s="1208">
        <v>25</v>
      </c>
      <c r="M22" s="738"/>
      <c r="N22" s="697"/>
      <c r="O22" s="667">
        <f t="shared" si="0"/>
        <v>-128</v>
      </c>
      <c r="P22" s="904" t="s">
        <v>0</v>
      </c>
    </row>
    <row r="23" spans="1:16">
      <c r="A23" s="1212" t="s">
        <v>488</v>
      </c>
      <c r="B23" s="738"/>
      <c r="C23" s="697"/>
      <c r="D23" s="697"/>
      <c r="E23" s="738"/>
      <c r="F23" s="697"/>
      <c r="G23" s="697"/>
      <c r="H23" s="738"/>
      <c r="I23" s="697"/>
      <c r="J23" s="697">
        <v>-28</v>
      </c>
      <c r="K23" s="1104"/>
      <c r="L23" s="1208"/>
      <c r="M23" s="738"/>
      <c r="N23" s="697"/>
      <c r="O23" s="667">
        <f t="shared" si="0"/>
        <v>-28</v>
      </c>
      <c r="P23" s="904" t="s">
        <v>0</v>
      </c>
    </row>
    <row r="24" spans="1:16">
      <c r="A24" s="1212" t="s">
        <v>602</v>
      </c>
      <c r="B24" s="738"/>
      <c r="C24" s="697"/>
      <c r="D24" s="697"/>
      <c r="E24" s="738"/>
      <c r="F24" s="697"/>
      <c r="G24" s="697"/>
      <c r="H24" s="738"/>
      <c r="I24" s="697"/>
      <c r="J24" s="697">
        <v>203000</v>
      </c>
      <c r="K24" s="1104"/>
      <c r="L24" s="1208"/>
      <c r="M24" s="738"/>
      <c r="N24" s="697"/>
      <c r="O24" s="667">
        <f t="shared" si="0"/>
        <v>203000</v>
      </c>
      <c r="P24" s="904" t="s">
        <v>0</v>
      </c>
    </row>
    <row r="25" spans="1:16">
      <c r="A25" s="1210" t="s">
        <v>531</v>
      </c>
      <c r="B25" s="738"/>
      <c r="C25" s="697"/>
      <c r="D25" s="697"/>
      <c r="E25" s="738"/>
      <c r="F25" s="697"/>
      <c r="G25" s="697"/>
      <c r="H25" s="738"/>
      <c r="I25" s="697"/>
      <c r="J25" s="697"/>
      <c r="K25" s="1104">
        <v>1573</v>
      </c>
      <c r="L25" s="1208">
        <v>3444</v>
      </c>
      <c r="M25" s="738"/>
      <c r="N25" s="697"/>
      <c r="O25" s="667">
        <f t="shared" si="0"/>
        <v>5017</v>
      </c>
      <c r="P25" s="904" t="s">
        <v>0</v>
      </c>
    </row>
    <row r="26" spans="1:16">
      <c r="A26" s="1212" t="s">
        <v>595</v>
      </c>
      <c r="B26" s="738"/>
      <c r="C26" s="697"/>
      <c r="D26" s="697"/>
      <c r="E26" s="738"/>
      <c r="F26" s="697"/>
      <c r="G26" s="697"/>
      <c r="H26" s="738"/>
      <c r="I26" s="697"/>
      <c r="J26" s="697">
        <v>-104</v>
      </c>
      <c r="K26" s="1104"/>
      <c r="L26" s="1208"/>
      <c r="M26" s="738"/>
      <c r="N26" s="697"/>
      <c r="O26" s="667">
        <f t="shared" si="0"/>
        <v>-104</v>
      </c>
      <c r="P26" s="904" t="s">
        <v>0</v>
      </c>
    </row>
    <row r="27" spans="1:16">
      <c r="A27" s="1212" t="s">
        <v>530</v>
      </c>
      <c r="B27" s="738"/>
      <c r="C27" s="697"/>
      <c r="D27" s="697">
        <v>15000</v>
      </c>
      <c r="E27" s="738"/>
      <c r="F27" s="697"/>
      <c r="G27" s="697"/>
      <c r="H27" s="738"/>
      <c r="I27" s="697"/>
      <c r="J27" s="697">
        <v>-156</v>
      </c>
      <c r="K27" s="1104">
        <v>119</v>
      </c>
      <c r="L27" s="1208"/>
      <c r="M27" s="738"/>
      <c r="N27" s="697"/>
      <c r="O27" s="667">
        <f t="shared" si="0"/>
        <v>14963</v>
      </c>
      <c r="P27" s="904" t="s">
        <v>0</v>
      </c>
    </row>
    <row r="28" spans="1:16">
      <c r="A28" s="1212" t="s">
        <v>490</v>
      </c>
      <c r="B28" s="738"/>
      <c r="C28" s="697"/>
      <c r="D28" s="697"/>
      <c r="E28" s="738"/>
      <c r="F28" s="697"/>
      <c r="G28" s="697"/>
      <c r="H28" s="738"/>
      <c r="I28" s="697"/>
      <c r="J28" s="697"/>
      <c r="K28" s="1104"/>
      <c r="L28" s="1208"/>
      <c r="M28" s="738"/>
      <c r="N28" s="697"/>
      <c r="O28" s="667"/>
      <c r="P28" s="904" t="s">
        <v>0</v>
      </c>
    </row>
    <row r="29" spans="1:16">
      <c r="A29" s="1210" t="s">
        <v>531</v>
      </c>
      <c r="B29" s="738"/>
      <c r="C29" s="697"/>
      <c r="D29" s="697"/>
      <c r="E29" s="738"/>
      <c r="F29" s="697"/>
      <c r="G29" s="697"/>
      <c r="H29" s="738"/>
      <c r="I29" s="697"/>
      <c r="J29" s="697">
        <v>-2309</v>
      </c>
      <c r="K29" s="1104"/>
      <c r="L29" s="1208"/>
      <c r="M29" s="738"/>
      <c r="N29" s="697"/>
      <c r="O29" s="667">
        <f t="shared" si="0"/>
        <v>-2309</v>
      </c>
      <c r="P29" s="904" t="s">
        <v>0</v>
      </c>
    </row>
    <row r="30" spans="1:16">
      <c r="A30" s="1210" t="s">
        <v>534</v>
      </c>
      <c r="B30" s="738"/>
      <c r="C30" s="697"/>
      <c r="D30" s="697"/>
      <c r="E30" s="738"/>
      <c r="F30" s="697"/>
      <c r="G30" s="697"/>
      <c r="H30" s="738"/>
      <c r="I30" s="697"/>
      <c r="J30" s="697">
        <v>-52</v>
      </c>
      <c r="K30" s="1104">
        <v>85</v>
      </c>
      <c r="L30" s="1208"/>
      <c r="M30" s="738"/>
      <c r="N30" s="697"/>
      <c r="O30" s="667">
        <f t="shared" si="0"/>
        <v>33</v>
      </c>
      <c r="P30" s="904" t="s">
        <v>0</v>
      </c>
    </row>
    <row r="31" spans="1:16">
      <c r="A31" s="1210" t="s">
        <v>535</v>
      </c>
      <c r="B31" s="738"/>
      <c r="C31" s="697"/>
      <c r="D31" s="697"/>
      <c r="E31" s="738"/>
      <c r="F31" s="697"/>
      <c r="G31" s="697"/>
      <c r="H31" s="738"/>
      <c r="I31" s="697"/>
      <c r="J31" s="697">
        <v>-52</v>
      </c>
      <c r="K31" s="1104"/>
      <c r="L31" s="1208"/>
      <c r="M31" s="738"/>
      <c r="N31" s="697"/>
      <c r="O31" s="667">
        <f t="shared" si="0"/>
        <v>-52</v>
      </c>
      <c r="P31" s="904" t="s">
        <v>0</v>
      </c>
    </row>
    <row r="32" spans="1:16">
      <c r="A32" s="1212" t="s">
        <v>536</v>
      </c>
      <c r="B32" s="738"/>
      <c r="C32" s="697"/>
      <c r="D32" s="697">
        <v>45000</v>
      </c>
      <c r="E32" s="738"/>
      <c r="F32" s="697"/>
      <c r="G32" s="697"/>
      <c r="H32" s="738"/>
      <c r="I32" s="697"/>
      <c r="J32" s="697">
        <v>-572</v>
      </c>
      <c r="K32" s="1104">
        <v>581</v>
      </c>
      <c r="L32" s="1208">
        <v>959</v>
      </c>
      <c r="M32" s="738"/>
      <c r="N32" s="697"/>
      <c r="O32" s="667">
        <f t="shared" si="0"/>
        <v>45968</v>
      </c>
      <c r="P32" s="904" t="s">
        <v>0</v>
      </c>
    </row>
    <row r="33" spans="1:16">
      <c r="A33" s="1209" t="s">
        <v>537</v>
      </c>
      <c r="B33" s="738"/>
      <c r="C33" s="697"/>
      <c r="D33" s="697">
        <v>20000</v>
      </c>
      <c r="E33" s="738"/>
      <c r="F33" s="697"/>
      <c r="G33" s="697"/>
      <c r="H33" s="738"/>
      <c r="I33" s="697"/>
      <c r="J33" s="697">
        <v>-308</v>
      </c>
      <c r="K33" s="1104">
        <v>460</v>
      </c>
      <c r="L33" s="1208"/>
      <c r="M33" s="738"/>
      <c r="N33" s="697"/>
      <c r="O33" s="667">
        <f t="shared" si="0"/>
        <v>20152</v>
      </c>
      <c r="P33" s="904" t="s">
        <v>0</v>
      </c>
    </row>
    <row r="34" spans="1:16">
      <c r="A34" s="1209" t="s">
        <v>538</v>
      </c>
      <c r="B34" s="738"/>
      <c r="C34" s="697"/>
      <c r="D34" s="697">
        <v>1000</v>
      </c>
      <c r="E34" s="738"/>
      <c r="F34" s="697"/>
      <c r="G34" s="697"/>
      <c r="H34" s="738"/>
      <c r="I34" s="697"/>
      <c r="J34" s="697">
        <v>-10</v>
      </c>
      <c r="K34" s="1104">
        <v>224</v>
      </c>
      <c r="L34" s="1208">
        <v>28</v>
      </c>
      <c r="M34" s="738"/>
      <c r="N34" s="697"/>
      <c r="O34" s="667">
        <f t="shared" si="0"/>
        <v>1242</v>
      </c>
      <c r="P34" s="904" t="s">
        <v>0</v>
      </c>
    </row>
    <row r="35" spans="1:16">
      <c r="A35" s="1209" t="s">
        <v>540</v>
      </c>
      <c r="B35" s="738"/>
      <c r="C35" s="697"/>
      <c r="D35" s="697">
        <v>50000</v>
      </c>
      <c r="E35" s="738"/>
      <c r="F35" s="697"/>
      <c r="G35" s="697"/>
      <c r="H35" s="738"/>
      <c r="I35" s="697"/>
      <c r="J35" s="697"/>
      <c r="K35" s="1104"/>
      <c r="L35" s="1208"/>
      <c r="M35" s="738"/>
      <c r="N35" s="697"/>
      <c r="O35" s="667">
        <f t="shared" si="0"/>
        <v>50000</v>
      </c>
      <c r="P35" s="904" t="s">
        <v>0</v>
      </c>
    </row>
    <row r="36" spans="1:16">
      <c r="A36" s="1210" t="s">
        <v>541</v>
      </c>
      <c r="B36" s="738"/>
      <c r="C36" s="697"/>
      <c r="D36" s="1123" t="s">
        <v>603</v>
      </c>
      <c r="E36" s="738"/>
      <c r="F36" s="697"/>
      <c r="G36" s="697"/>
      <c r="H36" s="738"/>
      <c r="I36" s="697"/>
      <c r="J36" s="697">
        <v>-125</v>
      </c>
      <c r="K36" s="1104">
        <v>609</v>
      </c>
      <c r="L36" s="1208">
        <v>594</v>
      </c>
      <c r="M36" s="738"/>
      <c r="N36" s="697"/>
      <c r="O36" s="667">
        <f>SUM(J36:L36)</f>
        <v>1078</v>
      </c>
      <c r="P36" s="904" t="s">
        <v>0</v>
      </c>
    </row>
    <row r="37" spans="1:16">
      <c r="A37" s="1210" t="s">
        <v>543</v>
      </c>
      <c r="B37" s="738"/>
      <c r="C37" s="697"/>
      <c r="D37" s="1123" t="s">
        <v>420</v>
      </c>
      <c r="E37" s="738"/>
      <c r="F37" s="697"/>
      <c r="G37" s="697"/>
      <c r="H37" s="738"/>
      <c r="I37" s="697"/>
      <c r="J37" s="697">
        <v>-104</v>
      </c>
      <c r="K37" s="1104"/>
      <c r="L37" s="1208">
        <v>1394</v>
      </c>
      <c r="M37" s="738"/>
      <c r="N37" s="697"/>
      <c r="O37" s="667">
        <f t="shared" ref="O37:O39" si="1">SUM(J37:L37)</f>
        <v>1290</v>
      </c>
      <c r="P37" s="904" t="s">
        <v>0</v>
      </c>
    </row>
    <row r="38" spans="1:16">
      <c r="A38" s="1210" t="s">
        <v>545</v>
      </c>
      <c r="B38" s="738"/>
      <c r="C38" s="697"/>
      <c r="D38" s="1123" t="s">
        <v>546</v>
      </c>
      <c r="E38" s="738"/>
      <c r="F38" s="697"/>
      <c r="G38" s="697"/>
      <c r="H38" s="738"/>
      <c r="I38" s="697"/>
      <c r="J38" s="697">
        <v>-31</v>
      </c>
      <c r="K38" s="1104"/>
      <c r="L38" s="1208"/>
      <c r="M38" s="738"/>
      <c r="N38" s="697"/>
      <c r="O38" s="667">
        <f t="shared" si="1"/>
        <v>-31</v>
      </c>
      <c r="P38" s="904" t="s">
        <v>0</v>
      </c>
    </row>
    <row r="39" spans="1:16">
      <c r="A39" s="1210" t="s">
        <v>548</v>
      </c>
      <c r="B39" s="738"/>
      <c r="C39" s="697"/>
      <c r="D39" s="1123" t="s">
        <v>549</v>
      </c>
      <c r="E39" s="738"/>
      <c r="F39" s="697"/>
      <c r="G39" s="697"/>
      <c r="H39" s="738"/>
      <c r="I39" s="697"/>
      <c r="J39" s="697">
        <v>-260</v>
      </c>
      <c r="K39" s="1104">
        <v>362</v>
      </c>
      <c r="L39" s="1208">
        <v>726</v>
      </c>
      <c r="M39" s="738"/>
      <c r="N39" s="697"/>
      <c r="O39" s="667">
        <f t="shared" si="1"/>
        <v>828</v>
      </c>
      <c r="P39" s="904" t="s">
        <v>0</v>
      </c>
    </row>
    <row r="40" spans="1:16">
      <c r="A40" s="1212" t="s">
        <v>604</v>
      </c>
      <c r="B40" s="738"/>
      <c r="C40" s="697"/>
      <c r="D40" s="697"/>
      <c r="E40" s="738"/>
      <c r="F40" s="697"/>
      <c r="G40" s="697"/>
      <c r="H40" s="738"/>
      <c r="I40" s="697"/>
      <c r="J40" s="697"/>
      <c r="K40" s="1104"/>
      <c r="L40" s="1208">
        <v>159</v>
      </c>
      <c r="M40" s="738"/>
      <c r="N40" s="697"/>
      <c r="O40" s="667">
        <f t="shared" ref="O40:O42" si="2">D40+G40+J40+K40+L40</f>
        <v>159</v>
      </c>
      <c r="P40" s="904" t="s">
        <v>0</v>
      </c>
    </row>
    <row r="41" spans="1:16">
      <c r="A41" s="1212" t="s">
        <v>506</v>
      </c>
      <c r="B41" s="738"/>
      <c r="C41" s="697"/>
      <c r="D41" s="697">
        <v>10000</v>
      </c>
      <c r="E41" s="738"/>
      <c r="F41" s="697"/>
      <c r="G41" s="697"/>
      <c r="H41" s="738"/>
      <c r="I41" s="697"/>
      <c r="J41" s="697">
        <v>-104</v>
      </c>
      <c r="K41" s="1104"/>
      <c r="L41" s="1208"/>
      <c r="M41" s="738"/>
      <c r="N41" s="697"/>
      <c r="O41" s="667">
        <f t="shared" si="2"/>
        <v>9896</v>
      </c>
      <c r="P41" s="904" t="s">
        <v>0</v>
      </c>
    </row>
    <row r="42" spans="1:16">
      <c r="A42" s="1212" t="s">
        <v>551</v>
      </c>
      <c r="B42" s="738"/>
      <c r="C42" s="697"/>
      <c r="D42" s="697">
        <v>519000</v>
      </c>
      <c r="E42" s="738"/>
      <c r="F42" s="697"/>
      <c r="G42" s="697"/>
      <c r="H42" s="738"/>
      <c r="I42" s="697"/>
      <c r="J42" s="697">
        <v>-5538</v>
      </c>
      <c r="K42" s="1104">
        <v>1648</v>
      </c>
      <c r="L42" s="1208">
        <v>1179</v>
      </c>
      <c r="M42" s="738"/>
      <c r="N42" s="697"/>
      <c r="O42" s="667">
        <f t="shared" si="2"/>
        <v>516289</v>
      </c>
      <c r="P42" s="904" t="s">
        <v>0</v>
      </c>
    </row>
    <row r="43" spans="1:16">
      <c r="A43" s="1210" t="s">
        <v>553</v>
      </c>
      <c r="B43" s="738"/>
      <c r="C43" s="697"/>
      <c r="D43" s="1123" t="s">
        <v>554</v>
      </c>
      <c r="E43" s="738"/>
      <c r="F43" s="697"/>
      <c r="G43" s="697"/>
      <c r="H43" s="738"/>
      <c r="I43" s="697"/>
      <c r="J43" s="697"/>
      <c r="K43" s="1104"/>
      <c r="L43" s="1208"/>
      <c r="M43" s="738"/>
      <c r="N43" s="697"/>
      <c r="O43" s="667"/>
      <c r="P43" s="904" t="s">
        <v>0</v>
      </c>
    </row>
    <row r="44" spans="1:16">
      <c r="A44" s="1210" t="s">
        <v>605</v>
      </c>
      <c r="B44" s="738"/>
      <c r="C44" s="697"/>
      <c r="D44" s="1123"/>
      <c r="E44" s="738"/>
      <c r="F44" s="697"/>
      <c r="G44" s="697"/>
      <c r="H44" s="738"/>
      <c r="I44" s="697"/>
      <c r="J44" s="697"/>
      <c r="K44" s="1104">
        <v>1268</v>
      </c>
      <c r="L44" s="1208"/>
      <c r="M44" s="738"/>
      <c r="N44" s="697"/>
      <c r="O44" s="667">
        <f t="shared" ref="O44:O45" si="3">D44+G44+J44+K44+L44</f>
        <v>1268</v>
      </c>
      <c r="P44" s="904" t="s">
        <v>0</v>
      </c>
    </row>
    <row r="45" spans="1:16">
      <c r="A45" s="1210" t="s">
        <v>606</v>
      </c>
      <c r="B45" s="738"/>
      <c r="C45" s="697"/>
      <c r="D45" s="1123"/>
      <c r="E45" s="738"/>
      <c r="F45" s="697"/>
      <c r="G45" s="697"/>
      <c r="H45" s="738"/>
      <c r="I45" s="697"/>
      <c r="J45" s="697"/>
      <c r="K45" s="1104">
        <v>11464</v>
      </c>
      <c r="L45" s="1208"/>
      <c r="M45" s="738"/>
      <c r="N45" s="697"/>
      <c r="O45" s="667">
        <f t="shared" si="3"/>
        <v>11464</v>
      </c>
      <c r="P45" s="904" t="s">
        <v>0</v>
      </c>
    </row>
    <row r="46" spans="1:16">
      <c r="A46" s="1210" t="s">
        <v>556</v>
      </c>
      <c r="B46" s="738"/>
      <c r="C46" s="697"/>
      <c r="D46" s="1123" t="s">
        <v>546</v>
      </c>
      <c r="E46" s="738"/>
      <c r="F46" s="697"/>
      <c r="G46" s="697"/>
      <c r="H46" s="738"/>
      <c r="I46" s="697"/>
      <c r="J46" s="697"/>
      <c r="K46" s="1104"/>
      <c r="L46" s="1208"/>
      <c r="M46" s="738"/>
      <c r="N46" s="697"/>
      <c r="O46" s="667">
        <v>0</v>
      </c>
      <c r="P46" s="904" t="s">
        <v>0</v>
      </c>
    </row>
    <row r="47" spans="1:16" ht="31.5">
      <c r="A47" s="1213" t="s">
        <v>560</v>
      </c>
      <c r="B47" s="738"/>
      <c r="C47" s="697"/>
      <c r="D47" s="697">
        <v>12000</v>
      </c>
      <c r="E47" s="738"/>
      <c r="F47" s="697"/>
      <c r="G47" s="697"/>
      <c r="H47" s="738"/>
      <c r="I47" s="697"/>
      <c r="J47" s="697">
        <v>-125</v>
      </c>
      <c r="K47" s="1104">
        <v>242</v>
      </c>
      <c r="L47" s="1208">
        <v>243</v>
      </c>
      <c r="M47" s="738"/>
      <c r="N47" s="697"/>
      <c r="O47" s="667">
        <f t="shared" ref="O47:O56" si="4">D47+G47+J47+K47+L47</f>
        <v>12360</v>
      </c>
      <c r="P47" s="904" t="s">
        <v>0</v>
      </c>
    </row>
    <row r="48" spans="1:16">
      <c r="A48" s="1212" t="s">
        <v>561</v>
      </c>
      <c r="B48" s="738"/>
      <c r="C48" s="697"/>
      <c r="D48" s="697">
        <v>2000</v>
      </c>
      <c r="E48" s="738"/>
      <c r="F48" s="697"/>
      <c r="G48" s="697"/>
      <c r="H48" s="738"/>
      <c r="I48" s="697"/>
      <c r="J48" s="697">
        <v>-21</v>
      </c>
      <c r="K48" s="1104">
        <v>221</v>
      </c>
      <c r="L48" s="1208"/>
      <c r="M48" s="738"/>
      <c r="N48" s="697"/>
      <c r="O48" s="667">
        <f t="shared" si="4"/>
        <v>2200</v>
      </c>
      <c r="P48" s="904" t="s">
        <v>0</v>
      </c>
    </row>
    <row r="49" spans="1:16">
      <c r="A49" s="1212" t="s">
        <v>562</v>
      </c>
      <c r="B49" s="738"/>
      <c r="C49" s="697"/>
      <c r="D49" s="697">
        <v>11500</v>
      </c>
      <c r="E49" s="738"/>
      <c r="F49" s="697"/>
      <c r="G49" s="697"/>
      <c r="H49" s="738"/>
      <c r="I49" s="697"/>
      <c r="J49" s="697">
        <v>-147</v>
      </c>
      <c r="K49" s="1104"/>
      <c r="L49" s="1208"/>
      <c r="M49" s="738"/>
      <c r="N49" s="697"/>
      <c r="O49" s="667">
        <f t="shared" si="4"/>
        <v>11353</v>
      </c>
      <c r="P49" s="904" t="s">
        <v>0</v>
      </c>
    </row>
    <row r="50" spans="1:16">
      <c r="A50" s="1212" t="s">
        <v>607</v>
      </c>
      <c r="B50" s="738"/>
      <c r="C50" s="697"/>
      <c r="D50" s="697">
        <v>20000</v>
      </c>
      <c r="E50" s="738"/>
      <c r="F50" s="697"/>
      <c r="G50" s="697"/>
      <c r="H50" s="738"/>
      <c r="I50" s="697"/>
      <c r="J50" s="697">
        <v>-232</v>
      </c>
      <c r="K50" s="1104">
        <v>7854</v>
      </c>
      <c r="L50" s="1208"/>
      <c r="M50" s="738"/>
      <c r="N50" s="697"/>
      <c r="O50" s="667">
        <f t="shared" si="4"/>
        <v>27622</v>
      </c>
      <c r="P50" s="904" t="s">
        <v>0</v>
      </c>
    </row>
    <row r="51" spans="1:16">
      <c r="A51" s="1212" t="s">
        <v>564</v>
      </c>
      <c r="B51" s="738"/>
      <c r="C51" s="697"/>
      <c r="D51" s="697">
        <v>3000</v>
      </c>
      <c r="E51" s="738"/>
      <c r="F51" s="697"/>
      <c r="G51" s="697"/>
      <c r="H51" s="738"/>
      <c r="I51" s="697"/>
      <c r="J51" s="697">
        <v>-81</v>
      </c>
      <c r="K51" s="1104">
        <v>205</v>
      </c>
      <c r="L51" s="1208"/>
      <c r="M51" s="738"/>
      <c r="N51" s="697"/>
      <c r="O51" s="667">
        <f t="shared" si="4"/>
        <v>3124</v>
      </c>
      <c r="P51" s="904" t="s">
        <v>0</v>
      </c>
    </row>
    <row r="52" spans="1:16">
      <c r="A52" s="1212" t="s">
        <v>608</v>
      </c>
      <c r="B52" s="738"/>
      <c r="C52" s="697"/>
      <c r="D52" s="697"/>
      <c r="E52" s="738"/>
      <c r="F52" s="697"/>
      <c r="G52" s="697"/>
      <c r="H52" s="738"/>
      <c r="I52" s="697"/>
      <c r="J52" s="697">
        <v>1500</v>
      </c>
      <c r="K52" s="1104"/>
      <c r="L52" s="1208"/>
      <c r="M52" s="738"/>
      <c r="N52" s="697"/>
      <c r="O52" s="667">
        <f t="shared" si="4"/>
        <v>1500</v>
      </c>
      <c r="P52" s="904" t="s">
        <v>0</v>
      </c>
    </row>
    <row r="53" spans="1:16">
      <c r="A53" s="1212" t="s">
        <v>609</v>
      </c>
      <c r="B53" s="738"/>
      <c r="C53" s="697"/>
      <c r="D53" s="697"/>
      <c r="E53" s="738"/>
      <c r="F53" s="697"/>
      <c r="G53" s="697"/>
      <c r="H53" s="738"/>
      <c r="I53" s="697"/>
      <c r="J53" s="697">
        <v>3000</v>
      </c>
      <c r="K53" s="1104">
        <v>26</v>
      </c>
      <c r="L53" s="1208">
        <v>61</v>
      </c>
      <c r="M53" s="738"/>
      <c r="N53" s="697"/>
      <c r="O53" s="667">
        <f t="shared" si="4"/>
        <v>3087</v>
      </c>
      <c r="P53" s="904" t="s">
        <v>0</v>
      </c>
    </row>
    <row r="54" spans="1:16">
      <c r="A54" s="1212" t="s">
        <v>565</v>
      </c>
      <c r="B54" s="738"/>
      <c r="C54" s="697"/>
      <c r="D54" s="697">
        <v>35000</v>
      </c>
      <c r="E54" s="738"/>
      <c r="F54" s="697"/>
      <c r="G54" s="697"/>
      <c r="H54" s="738"/>
      <c r="I54" s="697"/>
      <c r="J54" s="697">
        <v>-414</v>
      </c>
      <c r="K54" s="1104">
        <v>726</v>
      </c>
      <c r="L54" s="1208">
        <v>299</v>
      </c>
      <c r="M54" s="738"/>
      <c r="N54" s="697"/>
      <c r="O54" s="667">
        <f t="shared" si="4"/>
        <v>35611</v>
      </c>
      <c r="P54" s="904" t="s">
        <v>0</v>
      </c>
    </row>
    <row r="55" spans="1:16">
      <c r="A55" s="1212" t="s">
        <v>512</v>
      </c>
      <c r="B55" s="738"/>
      <c r="C55" s="697"/>
      <c r="D55" s="697">
        <v>7000</v>
      </c>
      <c r="E55" s="738"/>
      <c r="F55" s="697"/>
      <c r="G55" s="697"/>
      <c r="H55" s="738"/>
      <c r="I55" s="697"/>
      <c r="J55" s="697">
        <v>-73</v>
      </c>
      <c r="K55" s="1104">
        <v>288</v>
      </c>
      <c r="L55" s="1208">
        <v>387</v>
      </c>
      <c r="M55" s="738"/>
      <c r="N55" s="697"/>
      <c r="O55" s="667">
        <f t="shared" si="4"/>
        <v>7602</v>
      </c>
      <c r="P55" s="904" t="s">
        <v>0</v>
      </c>
    </row>
    <row r="56" spans="1:16">
      <c r="A56" s="1214" t="s">
        <v>513</v>
      </c>
      <c r="B56" s="692"/>
      <c r="C56" s="697"/>
      <c r="D56" s="697">
        <v>15000</v>
      </c>
      <c r="E56" s="738"/>
      <c r="F56" s="697"/>
      <c r="G56" s="697"/>
      <c r="H56" s="738"/>
      <c r="I56" s="697"/>
      <c r="J56" s="697">
        <v>-156</v>
      </c>
      <c r="K56" s="1104">
        <v>1288</v>
      </c>
      <c r="L56" s="1208">
        <v>831</v>
      </c>
      <c r="M56" s="738"/>
      <c r="N56" s="697"/>
      <c r="O56" s="667">
        <f t="shared" si="4"/>
        <v>16963</v>
      </c>
      <c r="P56" s="904" t="s">
        <v>0</v>
      </c>
    </row>
    <row r="57" spans="1:16">
      <c r="A57" s="1214" t="s">
        <v>514</v>
      </c>
      <c r="B57" s="692"/>
      <c r="C57" s="697"/>
      <c r="D57" s="697">
        <v>1000</v>
      </c>
      <c r="E57" s="738"/>
      <c r="F57" s="697"/>
      <c r="G57" s="697"/>
      <c r="H57" s="738"/>
      <c r="I57" s="697"/>
      <c r="J57" s="697">
        <v>-10</v>
      </c>
      <c r="K57" s="1104">
        <v>26</v>
      </c>
      <c r="L57" s="1208"/>
      <c r="M57" s="738"/>
      <c r="N57" s="697"/>
      <c r="O57" s="667">
        <f t="shared" ref="O57:O59" si="5">D57+G57+J57+K57+L57</f>
        <v>1016</v>
      </c>
      <c r="P57" s="904" t="s">
        <v>0</v>
      </c>
    </row>
    <row r="58" spans="1:16">
      <c r="A58" s="1214" t="s">
        <v>568</v>
      </c>
      <c r="B58" s="692"/>
      <c r="C58" s="697"/>
      <c r="D58" s="697">
        <v>30000</v>
      </c>
      <c r="E58" s="738"/>
      <c r="F58" s="697"/>
      <c r="G58" s="697"/>
      <c r="H58" s="738"/>
      <c r="I58" s="697"/>
      <c r="J58" s="697">
        <v>-312</v>
      </c>
      <c r="K58" s="1104">
        <v>114</v>
      </c>
      <c r="L58" s="1208">
        <v>338</v>
      </c>
      <c r="M58" s="738"/>
      <c r="N58" s="697"/>
      <c r="O58" s="667">
        <f t="shared" si="5"/>
        <v>30140</v>
      </c>
      <c r="P58" s="904" t="s">
        <v>0</v>
      </c>
    </row>
    <row r="59" spans="1:16">
      <c r="A59" s="1214" t="s">
        <v>569</v>
      </c>
      <c r="B59" s="692"/>
      <c r="C59" s="697"/>
      <c r="D59" s="697">
        <v>100000</v>
      </c>
      <c r="E59" s="738"/>
      <c r="F59" s="697"/>
      <c r="G59" s="697"/>
      <c r="H59" s="738"/>
      <c r="I59" s="697"/>
      <c r="J59" s="697">
        <v>-1072</v>
      </c>
      <c r="K59" s="1104">
        <v>538</v>
      </c>
      <c r="L59" s="1208">
        <v>86</v>
      </c>
      <c r="M59" s="738"/>
      <c r="N59" s="697"/>
      <c r="O59" s="667">
        <f t="shared" si="5"/>
        <v>99552</v>
      </c>
      <c r="P59" s="904" t="s">
        <v>0</v>
      </c>
    </row>
    <row r="60" spans="1:16">
      <c r="A60" s="1216" t="s">
        <v>571</v>
      </c>
      <c r="B60" s="692"/>
      <c r="C60" s="697"/>
      <c r="D60" s="1123" t="s">
        <v>572</v>
      </c>
      <c r="E60" s="738"/>
      <c r="F60" s="697"/>
      <c r="G60" s="697"/>
      <c r="H60" s="738"/>
      <c r="I60" s="697"/>
      <c r="J60" s="697"/>
      <c r="K60" s="1104"/>
      <c r="L60" s="1208"/>
      <c r="M60" s="738"/>
      <c r="N60" s="697"/>
      <c r="O60" s="667"/>
      <c r="P60" s="904" t="s">
        <v>0</v>
      </c>
    </row>
    <row r="61" spans="1:16">
      <c r="A61" s="1217" t="s">
        <v>574</v>
      </c>
      <c r="B61" s="1218"/>
      <c r="C61" s="697"/>
      <c r="D61" s="1123" t="s">
        <v>417</v>
      </c>
      <c r="E61" s="738"/>
      <c r="F61" s="697"/>
      <c r="G61" s="697"/>
      <c r="H61" s="738"/>
      <c r="I61" s="697"/>
      <c r="J61" s="697"/>
      <c r="K61" s="1104"/>
      <c r="L61" s="1208"/>
      <c r="M61" s="738"/>
      <c r="N61" s="697"/>
      <c r="O61" s="667"/>
      <c r="P61" s="904" t="s">
        <v>0</v>
      </c>
    </row>
    <row r="62" spans="1:16">
      <c r="A62" s="1216" t="s">
        <v>576</v>
      </c>
      <c r="B62" s="692"/>
      <c r="C62" s="697"/>
      <c r="D62" s="1123" t="s">
        <v>533</v>
      </c>
      <c r="E62" s="738"/>
      <c r="F62" s="697"/>
      <c r="G62" s="697"/>
      <c r="H62" s="738"/>
      <c r="I62" s="697"/>
      <c r="J62" s="697"/>
      <c r="K62" s="1104"/>
      <c r="L62" s="1208"/>
      <c r="M62" s="738"/>
      <c r="N62" s="697"/>
      <c r="O62" s="667"/>
      <c r="P62" s="904" t="s">
        <v>0</v>
      </c>
    </row>
    <row r="63" spans="1:16">
      <c r="A63" s="1216" t="s">
        <v>578</v>
      </c>
      <c r="B63" s="692"/>
      <c r="C63" s="697"/>
      <c r="D63" s="1123" t="s">
        <v>438</v>
      </c>
      <c r="E63" s="738"/>
      <c r="F63" s="697"/>
      <c r="G63" s="697"/>
      <c r="H63" s="738"/>
      <c r="I63" s="697"/>
      <c r="J63" s="697"/>
      <c r="K63" s="1104"/>
      <c r="L63" s="1208"/>
      <c r="M63" s="738"/>
      <c r="N63" s="697"/>
      <c r="O63" s="667"/>
      <c r="P63" s="904" t="s">
        <v>0</v>
      </c>
    </row>
    <row r="64" spans="1:16">
      <c r="A64" s="1216" t="s">
        <v>580</v>
      </c>
      <c r="B64" s="692"/>
      <c r="C64" s="697"/>
      <c r="D64" s="1123" t="s">
        <v>581</v>
      </c>
      <c r="E64" s="738"/>
      <c r="F64" s="697"/>
      <c r="G64" s="697"/>
      <c r="H64" s="738"/>
      <c r="I64" s="697"/>
      <c r="J64" s="697"/>
      <c r="K64" s="1104"/>
      <c r="L64" s="1208"/>
      <c r="M64" s="738"/>
      <c r="N64" s="697"/>
      <c r="O64" s="667"/>
      <c r="P64" s="904" t="s">
        <v>0</v>
      </c>
    </row>
    <row r="65" spans="1:29">
      <c r="A65" s="1216" t="s">
        <v>583</v>
      </c>
      <c r="B65" s="692"/>
      <c r="C65" s="697"/>
      <c r="D65" s="1123" t="s">
        <v>420</v>
      </c>
      <c r="E65" s="738"/>
      <c r="F65" s="697"/>
      <c r="G65" s="697"/>
      <c r="H65" s="738"/>
      <c r="I65" s="697"/>
      <c r="J65" s="697"/>
      <c r="K65" s="1104"/>
      <c r="L65" s="1208"/>
      <c r="M65" s="738"/>
      <c r="N65" s="697"/>
      <c r="O65" s="667"/>
      <c r="P65" s="904" t="s">
        <v>0</v>
      </c>
    </row>
    <row r="66" spans="1:29">
      <c r="A66" s="1216" t="s">
        <v>587</v>
      </c>
      <c r="B66" s="692"/>
      <c r="C66" s="697"/>
      <c r="D66" s="1123" t="s">
        <v>420</v>
      </c>
      <c r="E66" s="738"/>
      <c r="F66" s="697"/>
      <c r="G66" s="697"/>
      <c r="H66" s="738"/>
      <c r="I66" s="697"/>
      <c r="J66" s="697"/>
      <c r="K66" s="1104"/>
      <c r="L66" s="1208"/>
      <c r="M66" s="738"/>
      <c r="N66" s="697"/>
      <c r="O66" s="667"/>
      <c r="P66" s="904" t="s">
        <v>0</v>
      </c>
    </row>
    <row r="67" spans="1:29">
      <c r="A67" s="1219" t="s">
        <v>592</v>
      </c>
      <c r="B67" s="709"/>
      <c r="C67" s="697"/>
      <c r="D67" s="1123" t="s">
        <v>554</v>
      </c>
      <c r="E67" s="738"/>
      <c r="F67" s="697"/>
      <c r="G67" s="697"/>
      <c r="H67" s="738"/>
      <c r="I67" s="697"/>
      <c r="J67" s="697"/>
      <c r="K67" s="1104"/>
      <c r="L67" s="1208"/>
      <c r="M67" s="738"/>
      <c r="N67" s="697"/>
      <c r="O67" s="667"/>
      <c r="P67" s="904" t="s">
        <v>0</v>
      </c>
    </row>
    <row r="68" spans="1:29">
      <c r="A68" s="1214" t="s">
        <v>593</v>
      </c>
      <c r="B68" s="692"/>
      <c r="C68" s="697"/>
      <c r="D68" s="697">
        <v>31000</v>
      </c>
      <c r="E68" s="738"/>
      <c r="F68" s="697"/>
      <c r="G68" s="697"/>
      <c r="H68" s="738"/>
      <c r="I68" s="697"/>
      <c r="J68" s="697">
        <v>-673</v>
      </c>
      <c r="K68" s="1104">
        <v>14688</v>
      </c>
      <c r="L68" s="1208">
        <v>8052</v>
      </c>
      <c r="M68" s="738"/>
      <c r="N68" s="697"/>
      <c r="O68" s="667">
        <f t="shared" ref="O68:O78" si="6">D68+G68+J68+K68+L68</f>
        <v>53067</v>
      </c>
      <c r="P68" s="904" t="s">
        <v>0</v>
      </c>
    </row>
    <row r="69" spans="1:29">
      <c r="A69" s="1215" t="s">
        <v>594</v>
      </c>
      <c r="B69" s="692"/>
      <c r="C69" s="697"/>
      <c r="D69" s="697">
        <v>15000</v>
      </c>
      <c r="E69" s="738"/>
      <c r="F69" s="697"/>
      <c r="G69" s="697"/>
      <c r="H69" s="738"/>
      <c r="I69" s="697"/>
      <c r="J69" s="697">
        <v>-156</v>
      </c>
      <c r="K69" s="1104">
        <v>1779</v>
      </c>
      <c r="L69" s="1208">
        <v>5</v>
      </c>
      <c r="M69" s="738"/>
      <c r="N69" s="697"/>
      <c r="O69" s="667">
        <f t="shared" si="6"/>
        <v>16628</v>
      </c>
      <c r="P69" s="904" t="s">
        <v>0</v>
      </c>
    </row>
    <row r="70" spans="1:29">
      <c r="A70" s="1214" t="s">
        <v>517</v>
      </c>
      <c r="B70" s="692"/>
      <c r="C70" s="697"/>
      <c r="D70" s="697">
        <v>330000</v>
      </c>
      <c r="E70" s="738"/>
      <c r="F70" s="697"/>
      <c r="G70" s="697"/>
      <c r="H70" s="738"/>
      <c r="I70" s="697"/>
      <c r="J70" s="697">
        <v>-5086</v>
      </c>
      <c r="K70" s="1104">
        <v>6810</v>
      </c>
      <c r="L70" s="1208">
        <v>1035</v>
      </c>
      <c r="M70" s="738"/>
      <c r="N70" s="697"/>
      <c r="O70" s="667">
        <f t="shared" si="6"/>
        <v>332759</v>
      </c>
      <c r="P70" s="904" t="s">
        <v>0</v>
      </c>
    </row>
    <row r="71" spans="1:29">
      <c r="A71" s="1214" t="s">
        <v>518</v>
      </c>
      <c r="B71" s="692"/>
      <c r="C71" s="697"/>
      <c r="D71" s="697">
        <v>10000</v>
      </c>
      <c r="E71" s="738"/>
      <c r="F71" s="697"/>
      <c r="G71" s="697"/>
      <c r="H71" s="738"/>
      <c r="I71" s="697"/>
      <c r="J71" s="697">
        <v>-104</v>
      </c>
      <c r="K71" s="1104">
        <v>416</v>
      </c>
      <c r="L71" s="1208">
        <v>362</v>
      </c>
      <c r="M71" s="738"/>
      <c r="N71" s="697"/>
      <c r="O71" s="667">
        <f t="shared" si="6"/>
        <v>10674</v>
      </c>
      <c r="P71" s="904" t="s">
        <v>0</v>
      </c>
    </row>
    <row r="72" spans="1:29">
      <c r="A72" s="1214" t="s">
        <v>596</v>
      </c>
      <c r="B72" s="692"/>
      <c r="C72" s="697"/>
      <c r="D72" s="697">
        <v>3500</v>
      </c>
      <c r="E72" s="738"/>
      <c r="F72" s="697"/>
      <c r="G72" s="697"/>
      <c r="H72" s="738"/>
      <c r="I72" s="697"/>
      <c r="J72" s="697">
        <v>-36</v>
      </c>
      <c r="K72" s="1104">
        <v>377</v>
      </c>
      <c r="L72" s="1208">
        <v>16</v>
      </c>
      <c r="M72" s="738"/>
      <c r="N72" s="697"/>
      <c r="O72" s="667">
        <f t="shared" si="6"/>
        <v>3857</v>
      </c>
      <c r="P72" s="904" t="s">
        <v>0</v>
      </c>
    </row>
    <row r="73" spans="1:29">
      <c r="A73" s="1214" t="s">
        <v>611</v>
      </c>
      <c r="B73" s="692"/>
      <c r="C73" s="697"/>
      <c r="D73" s="697"/>
      <c r="E73" s="738"/>
      <c r="F73" s="697"/>
      <c r="G73" s="697"/>
      <c r="H73" s="738"/>
      <c r="I73" s="697"/>
      <c r="J73" s="697"/>
      <c r="K73" s="1104"/>
      <c r="L73" s="1208">
        <v>404</v>
      </c>
      <c r="M73" s="738"/>
      <c r="N73" s="697"/>
      <c r="O73" s="667">
        <f t="shared" si="6"/>
        <v>404</v>
      </c>
      <c r="P73" s="904" t="s">
        <v>0</v>
      </c>
    </row>
    <row r="74" spans="1:29">
      <c r="A74" s="1214" t="s">
        <v>465</v>
      </c>
      <c r="B74" s="692"/>
      <c r="C74" s="697"/>
      <c r="D74" s="697"/>
      <c r="E74" s="738"/>
      <c r="F74" s="697"/>
      <c r="G74" s="697">
        <v>-42276</v>
      </c>
      <c r="H74" s="738"/>
      <c r="I74" s="697"/>
      <c r="J74" s="697"/>
      <c r="K74" s="1104"/>
      <c r="L74" s="1208"/>
      <c r="M74" s="738"/>
      <c r="N74" s="697"/>
      <c r="O74" s="667">
        <f t="shared" si="6"/>
        <v>-42276</v>
      </c>
      <c r="P74" s="904" t="s">
        <v>0</v>
      </c>
    </row>
    <row r="75" spans="1:29">
      <c r="A75" s="1220" t="s">
        <v>520</v>
      </c>
      <c r="B75" s="709"/>
      <c r="C75" s="697"/>
      <c r="D75" s="697">
        <v>3000</v>
      </c>
      <c r="E75" s="738"/>
      <c r="F75" s="697"/>
      <c r="G75" s="697"/>
      <c r="H75" s="738"/>
      <c r="I75" s="697"/>
      <c r="J75" s="697"/>
      <c r="K75" s="1104">
        <v>2449</v>
      </c>
      <c r="L75" s="1208">
        <v>85</v>
      </c>
      <c r="M75" s="738"/>
      <c r="N75" s="697"/>
      <c r="O75" s="667">
        <f t="shared" si="6"/>
        <v>5534</v>
      </c>
      <c r="P75" s="904" t="s">
        <v>0</v>
      </c>
    </row>
    <row r="76" spans="1:29">
      <c r="A76" s="1638" t="s">
        <v>521</v>
      </c>
      <c r="B76" s="1129"/>
      <c r="C76" s="915"/>
      <c r="D76" s="915">
        <v>12500</v>
      </c>
      <c r="E76" s="914"/>
      <c r="F76" s="915"/>
      <c r="G76" s="915"/>
      <c r="H76" s="914"/>
      <c r="I76" s="915"/>
      <c r="J76" s="915">
        <v>-125</v>
      </c>
      <c r="K76" s="916">
        <v>386</v>
      </c>
      <c r="L76" s="915">
        <v>961</v>
      </c>
      <c r="M76" s="738"/>
      <c r="N76" s="697"/>
      <c r="O76" s="667">
        <f t="shared" si="6"/>
        <v>13722</v>
      </c>
      <c r="P76" s="904" t="s">
        <v>0</v>
      </c>
    </row>
    <row r="77" spans="1:29">
      <c r="A77" s="1224" t="s">
        <v>612</v>
      </c>
      <c r="B77" s="710"/>
      <c r="C77" s="915"/>
      <c r="D77" s="915"/>
      <c r="E77" s="914"/>
      <c r="F77" s="915"/>
      <c r="G77" s="915"/>
      <c r="H77" s="914"/>
      <c r="I77" s="915"/>
      <c r="J77" s="915"/>
      <c r="K77" s="916">
        <v>578</v>
      </c>
      <c r="L77" s="915">
        <v>1049</v>
      </c>
      <c r="M77" s="1639"/>
      <c r="N77" s="1640"/>
      <c r="O77" s="1641">
        <f t="shared" si="6"/>
        <v>1627</v>
      </c>
      <c r="P77" s="904" t="s">
        <v>0</v>
      </c>
    </row>
    <row r="78" spans="1:29">
      <c r="A78" s="1224" t="s">
        <v>810</v>
      </c>
      <c r="B78" s="710"/>
      <c r="C78" s="915"/>
      <c r="D78" s="915"/>
      <c r="E78" s="914"/>
      <c r="F78" s="915"/>
      <c r="G78" s="915"/>
      <c r="H78" s="914"/>
      <c r="I78" s="915"/>
      <c r="J78" s="915"/>
      <c r="K78" s="916">
        <v>11480</v>
      </c>
      <c r="L78" s="915">
        <v>1371</v>
      </c>
      <c r="M78" s="1000"/>
      <c r="N78" s="1001"/>
      <c r="O78" s="917">
        <f t="shared" si="6"/>
        <v>12851</v>
      </c>
      <c r="P78" s="904" t="s">
        <v>0</v>
      </c>
    </row>
    <row r="79" spans="1:29">
      <c r="A79" s="1221" t="s">
        <v>286</v>
      </c>
      <c r="B79" s="919">
        <f>SUM(B12:B76)</f>
        <v>0</v>
      </c>
      <c r="C79" s="920">
        <f>SUM(C12:C76)</f>
        <v>0</v>
      </c>
      <c r="D79" s="921">
        <f>SUM(D12:D17,D19:D20,D23:D24,D27:D28,D32:D35,D40:D42,D47:D59,D68:D76)</f>
        <v>1534768</v>
      </c>
      <c r="E79" s="919">
        <f t="shared" ref="E79:I79" si="7">SUM(E12:E76)</f>
        <v>0</v>
      </c>
      <c r="F79" s="920">
        <f t="shared" si="7"/>
        <v>0</v>
      </c>
      <c r="G79" s="922">
        <f t="shared" si="7"/>
        <v>-42276</v>
      </c>
      <c r="H79" s="919">
        <f t="shared" si="7"/>
        <v>0</v>
      </c>
      <c r="I79" s="920">
        <f t="shared" si="7"/>
        <v>0</v>
      </c>
      <c r="J79" s="921">
        <f>SUM(J12:J77)</f>
        <v>187682</v>
      </c>
      <c r="K79" s="1222">
        <f>SUM(K12:K78)</f>
        <v>82964</v>
      </c>
      <c r="L79" s="1223">
        <f>SUM(L12:L78)</f>
        <v>43468</v>
      </c>
      <c r="M79" s="924">
        <f>SUM(M12:M76)</f>
        <v>0</v>
      </c>
      <c r="N79" s="925">
        <f>SUM(N12:N76)</f>
        <v>0</v>
      </c>
      <c r="O79" s="950">
        <f>SUM(O12:O78)</f>
        <v>1806606</v>
      </c>
      <c r="P79" s="904" t="s">
        <v>0</v>
      </c>
    </row>
    <row r="80" spans="1:29">
      <c r="A80" s="1224" t="s">
        <v>263</v>
      </c>
      <c r="B80" s="735" t="s">
        <v>278</v>
      </c>
      <c r="C80" s="736"/>
      <c r="D80" s="736"/>
      <c r="E80" s="735"/>
      <c r="F80" s="736"/>
      <c r="G80" s="736"/>
      <c r="H80" s="735"/>
      <c r="I80" s="736"/>
      <c r="J80" s="736"/>
      <c r="K80" s="916"/>
      <c r="L80" s="915"/>
      <c r="M80" s="735"/>
      <c r="N80" s="736"/>
      <c r="O80" s="1225">
        <f>SUM(O12:O76)</f>
        <v>1792128</v>
      </c>
      <c r="P80" s="904" t="s">
        <v>0</v>
      </c>
      <c r="Q80" s="928"/>
      <c r="R80" s="928"/>
      <c r="S80" s="928"/>
      <c r="T80" s="928"/>
      <c r="U80" s="928"/>
      <c r="V80" s="928"/>
      <c r="W80" s="928"/>
      <c r="X80" s="928"/>
      <c r="Y80" s="928"/>
      <c r="Z80" s="928"/>
      <c r="AA80" s="928"/>
      <c r="AB80" s="928"/>
      <c r="AC80" s="928"/>
    </row>
    <row r="81" spans="1:16">
      <c r="A81" s="1224" t="s">
        <v>262</v>
      </c>
      <c r="B81" s="929"/>
      <c r="C81" s="930">
        <f>SUM(C79:C80)</f>
        <v>0</v>
      </c>
      <c r="D81" s="930"/>
      <c r="E81" s="929"/>
      <c r="F81" s="930">
        <f>+F79+F80</f>
        <v>0</v>
      </c>
      <c r="G81" s="930"/>
      <c r="H81" s="929"/>
      <c r="I81" s="930">
        <f>+I79+I80</f>
        <v>0</v>
      </c>
      <c r="J81" s="930"/>
      <c r="K81" s="1226"/>
      <c r="L81" s="1227"/>
      <c r="M81" s="929"/>
      <c r="N81" s="930">
        <f>SUM(N79:N80)</f>
        <v>0</v>
      </c>
      <c r="O81" s="932"/>
      <c r="P81" s="904" t="s">
        <v>0</v>
      </c>
    </row>
    <row r="82" spans="1:16">
      <c r="A82" s="1228" t="s">
        <v>264</v>
      </c>
      <c r="B82" s="738"/>
      <c r="C82" s="697"/>
      <c r="D82" s="697"/>
      <c r="E82" s="738"/>
      <c r="F82" s="697"/>
      <c r="G82" s="697"/>
      <c r="H82" s="738"/>
      <c r="I82" s="697"/>
      <c r="J82" s="697"/>
      <c r="K82" s="1104"/>
      <c r="L82" s="1208"/>
      <c r="M82" s="738"/>
      <c r="N82" s="697"/>
      <c r="O82" s="667"/>
      <c r="P82" s="904" t="s">
        <v>0</v>
      </c>
    </row>
    <row r="83" spans="1:16">
      <c r="A83" s="1229" t="s">
        <v>55</v>
      </c>
      <c r="B83" s="738"/>
      <c r="C83" s="697"/>
      <c r="D83" s="697"/>
      <c r="E83" s="738"/>
      <c r="F83" s="697"/>
      <c r="G83" s="697"/>
      <c r="H83" s="738"/>
      <c r="I83" s="697"/>
      <c r="J83" s="697"/>
      <c r="K83" s="1104"/>
      <c r="L83" s="1208"/>
      <c r="M83" s="738"/>
      <c r="N83" s="697"/>
      <c r="O83" s="667"/>
      <c r="P83" s="904" t="s">
        <v>0</v>
      </c>
    </row>
    <row r="84" spans="1:16">
      <c r="A84" s="1230" t="s">
        <v>103</v>
      </c>
      <c r="B84" s="735"/>
      <c r="C84" s="736"/>
      <c r="D84" s="736"/>
      <c r="E84" s="735"/>
      <c r="F84" s="736"/>
      <c r="G84" s="736"/>
      <c r="H84" s="735"/>
      <c r="I84" s="736"/>
      <c r="J84" s="736"/>
      <c r="K84" s="916"/>
      <c r="L84" s="915"/>
      <c r="M84" s="735"/>
      <c r="N84" s="736"/>
      <c r="O84" s="737"/>
      <c r="P84" s="904" t="s">
        <v>0</v>
      </c>
    </row>
    <row r="85" spans="1:16">
      <c r="A85" s="1224" t="s">
        <v>265</v>
      </c>
      <c r="B85" s="735"/>
      <c r="C85" s="736">
        <f>C84+C83+C81</f>
        <v>0</v>
      </c>
      <c r="D85" s="936"/>
      <c r="E85" s="735"/>
      <c r="F85" s="736">
        <f>F84+F83+F81</f>
        <v>0</v>
      </c>
      <c r="G85" s="936"/>
      <c r="H85" s="735"/>
      <c r="I85" s="736">
        <f>I84+I83+I81</f>
        <v>0</v>
      </c>
      <c r="J85" s="936"/>
      <c r="K85" s="1231"/>
      <c r="L85" s="1232"/>
      <c r="M85" s="735"/>
      <c r="N85" s="736">
        <f>N84+N83+N81</f>
        <v>0</v>
      </c>
      <c r="O85" s="938"/>
      <c r="P85" s="904" t="s">
        <v>0</v>
      </c>
    </row>
    <row r="86" spans="1:16">
      <c r="A86" s="939"/>
      <c r="C86" s="939"/>
      <c r="D86" s="939"/>
      <c r="E86" s="939"/>
      <c r="F86" s="939"/>
      <c r="G86" s="939"/>
      <c r="H86" s="939"/>
      <c r="I86" s="939"/>
      <c r="J86" s="939"/>
      <c r="K86" s="939"/>
      <c r="L86" s="942"/>
      <c r="M86" s="939"/>
      <c r="N86" s="939"/>
      <c r="O86" s="939"/>
      <c r="P86" s="904" t="s">
        <v>0</v>
      </c>
    </row>
    <row r="87" spans="1:16">
      <c r="A87" s="939" t="s">
        <v>812</v>
      </c>
      <c r="C87" s="939"/>
      <c r="D87" s="939"/>
      <c r="E87" s="939"/>
      <c r="F87" s="939"/>
      <c r="G87" s="939"/>
      <c r="H87" s="939"/>
      <c r="I87" s="939"/>
      <c r="J87" s="939"/>
      <c r="K87" s="939"/>
      <c r="L87" s="942"/>
      <c r="M87" s="939"/>
      <c r="N87" s="939"/>
      <c r="O87" s="939"/>
      <c r="P87" s="904" t="s">
        <v>0</v>
      </c>
    </row>
    <row r="88" spans="1:16">
      <c r="A88" s="939"/>
      <c r="C88" s="939"/>
      <c r="D88" s="939"/>
      <c r="E88" s="939"/>
      <c r="F88" s="939"/>
      <c r="G88" s="939"/>
      <c r="H88" s="939"/>
      <c r="I88" s="939"/>
      <c r="J88" s="939"/>
      <c r="K88" s="939"/>
      <c r="L88" s="942"/>
      <c r="M88" s="939"/>
      <c r="N88" s="939"/>
      <c r="O88" s="939"/>
      <c r="P88" s="904" t="s">
        <v>0</v>
      </c>
    </row>
    <row r="89" spans="1:16">
      <c r="A89" s="939" t="s">
        <v>813</v>
      </c>
      <c r="C89" s="939"/>
      <c r="D89" s="939"/>
      <c r="E89" s="939"/>
      <c r="F89" s="939"/>
      <c r="G89" s="939"/>
      <c r="H89" s="939"/>
      <c r="I89" s="939"/>
      <c r="J89" s="939"/>
      <c r="K89" s="939"/>
      <c r="L89" s="942"/>
      <c r="M89" s="939"/>
      <c r="N89" s="939"/>
      <c r="O89" s="939"/>
      <c r="P89" s="904" t="s">
        <v>0</v>
      </c>
    </row>
    <row r="90" spans="1:16">
      <c r="A90" s="939"/>
      <c r="C90" s="939"/>
      <c r="D90" s="939"/>
      <c r="E90" s="939"/>
      <c r="F90" s="939"/>
      <c r="G90" s="939"/>
      <c r="H90" s="939"/>
      <c r="I90" s="939"/>
      <c r="J90" s="939"/>
      <c r="K90" s="939"/>
      <c r="L90" s="942"/>
      <c r="M90" s="939"/>
      <c r="N90" s="939"/>
      <c r="O90" s="939"/>
      <c r="P90" s="904" t="s">
        <v>0</v>
      </c>
    </row>
    <row r="91" spans="1:16">
      <c r="A91" s="939" t="s">
        <v>818</v>
      </c>
      <c r="B91" s="940"/>
      <c r="C91" s="940"/>
      <c r="D91" s="940"/>
      <c r="E91" s="940"/>
      <c r="F91" s="940"/>
      <c r="G91" s="940"/>
      <c r="H91" s="940"/>
      <c r="I91" s="940"/>
      <c r="J91" s="940"/>
      <c r="K91" s="940"/>
      <c r="L91" s="942"/>
      <c r="M91" s="939"/>
      <c r="N91" s="939"/>
      <c r="O91" s="939"/>
      <c r="P91" s="904" t="s">
        <v>0</v>
      </c>
    </row>
    <row r="92" spans="1:16" ht="14.45" customHeight="1">
      <c r="A92" s="939"/>
      <c r="B92" s="940"/>
      <c r="C92" s="940"/>
      <c r="D92" s="940"/>
      <c r="E92" s="940"/>
      <c r="F92" s="940"/>
      <c r="G92" s="940"/>
      <c r="H92" s="940"/>
      <c r="I92" s="940"/>
      <c r="J92" s="940"/>
      <c r="K92" s="995"/>
      <c r="L92" s="995"/>
      <c r="M92" s="939"/>
      <c r="N92" s="939"/>
      <c r="O92" s="939"/>
      <c r="P92" s="904" t="s">
        <v>0</v>
      </c>
    </row>
    <row r="93" spans="1:16">
      <c r="A93" s="941"/>
      <c r="B93" s="939"/>
      <c r="C93" s="939"/>
      <c r="D93" s="939"/>
      <c r="E93" s="939"/>
      <c r="F93" s="939"/>
      <c r="G93" s="939"/>
      <c r="H93" s="939"/>
      <c r="I93" s="939"/>
      <c r="J93" s="939"/>
      <c r="K93" s="942"/>
      <c r="L93" s="942"/>
      <c r="M93" s="939"/>
      <c r="N93" s="939"/>
      <c r="O93" s="939"/>
      <c r="P93" s="816" t="s">
        <v>24</v>
      </c>
    </row>
  </sheetData>
  <mergeCells count="15">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5" top="0.5" bottom="0.55000000000000004" header="0" footer="0"/>
  <pageSetup scale="50" firstPageNumber="2" orientation="landscape" useFirstPageNumber="1" horizontalDpi="300" verticalDpi="300" r:id="rId1"/>
  <headerFooter alignWithMargins="0">
    <oddFooter>&amp;C&amp;"Times New Roman,Regular"Exhibit F - Crosswalk of 2010 Availability&amp;R&amp;"Times New Roman,Regular"State and Local Law Enforcement Assistance</oddFooter>
  </headerFooter>
  <rowBreaks count="1" manualBreakCount="1">
    <brk id="58" max="14" man="1"/>
  </rowBreaks>
</worksheet>
</file>

<file path=xl/worksheets/sheet27.xml><?xml version="1.0" encoding="utf-8"?>
<worksheet xmlns="http://schemas.openxmlformats.org/spreadsheetml/2006/main" xmlns:r="http://schemas.openxmlformats.org/officeDocument/2006/relationships">
  <dimension ref="A1:Q84"/>
  <sheetViews>
    <sheetView view="pageBreakPreview" zoomScale="60" zoomScaleNormal="100" workbookViewId="0">
      <selection sqref="A1:O1"/>
    </sheetView>
  </sheetViews>
  <sheetFormatPr defaultRowHeight="15.75"/>
  <cols>
    <col min="1" max="1" width="62.44140625" style="949" customWidth="1"/>
    <col min="2" max="3" width="8.88671875" style="949"/>
    <col min="4" max="4" width="14.6640625" style="949" customWidth="1"/>
    <col min="5" max="6" width="8.88671875" style="1251"/>
    <col min="7" max="7" width="11.77734375" style="1251" customWidth="1"/>
    <col min="8" max="10" width="8.88671875" style="1251"/>
    <col min="11" max="11" width="11.21875" style="761" customWidth="1"/>
    <col min="12" max="12" width="13.6640625" style="761" customWidth="1"/>
    <col min="13" max="14" width="8.88671875" style="1251"/>
    <col min="15" max="15" width="13.88671875" style="1251" customWidth="1"/>
    <col min="16" max="16384" width="8.88671875" style="949"/>
  </cols>
  <sheetData>
    <row r="1" spans="1:17" s="1233" customFormat="1" ht="18.75">
      <c r="A1" s="2375" t="s">
        <v>613</v>
      </c>
      <c r="B1" s="2376"/>
      <c r="C1" s="2376"/>
      <c r="D1" s="2376"/>
      <c r="E1" s="2376"/>
      <c r="F1" s="2376"/>
      <c r="G1" s="2376"/>
      <c r="H1" s="2376"/>
      <c r="I1" s="2376"/>
      <c r="J1" s="2376"/>
      <c r="K1" s="2376"/>
      <c r="L1" s="2376"/>
      <c r="M1" s="2376"/>
      <c r="N1" s="2376"/>
      <c r="O1" s="2376"/>
      <c r="P1" s="904" t="s">
        <v>0</v>
      </c>
      <c r="Q1" s="1204"/>
    </row>
    <row r="2" spans="1:17" s="1233" customFormat="1" ht="18.75">
      <c r="A2" s="2373"/>
      <c r="B2" s="2373"/>
      <c r="C2" s="2373"/>
      <c r="D2" s="2373"/>
      <c r="E2" s="2373"/>
      <c r="F2" s="2373"/>
      <c r="G2" s="2373"/>
      <c r="H2" s="2373"/>
      <c r="I2" s="2373"/>
      <c r="J2" s="2373"/>
      <c r="K2" s="2373"/>
      <c r="L2" s="2373"/>
      <c r="M2" s="2373"/>
      <c r="N2" s="2373"/>
      <c r="O2" s="2373"/>
      <c r="P2" s="904" t="s">
        <v>0</v>
      </c>
      <c r="Q2" s="1204"/>
    </row>
    <row r="3" spans="1:17" s="1233" customFormat="1" ht="18.75">
      <c r="A3" s="2210" t="s">
        <v>329</v>
      </c>
      <c r="B3" s="2377"/>
      <c r="C3" s="2377"/>
      <c r="D3" s="2377"/>
      <c r="E3" s="2377"/>
      <c r="F3" s="2377"/>
      <c r="G3" s="2377"/>
      <c r="H3" s="2377"/>
      <c r="I3" s="2377"/>
      <c r="J3" s="2377"/>
      <c r="K3" s="2377"/>
      <c r="L3" s="2377"/>
      <c r="M3" s="2377"/>
      <c r="N3" s="2377"/>
      <c r="O3" s="2377"/>
      <c r="P3" s="904" t="s">
        <v>0</v>
      </c>
      <c r="Q3" s="1204"/>
    </row>
    <row r="4" spans="1:17" s="1233" customFormat="1" ht="18.75">
      <c r="A4" s="2373" t="str">
        <f>+'B. Summ of Reqs - SLLEA '!A5</f>
        <v>Office of Justice Programs</v>
      </c>
      <c r="B4" s="2374"/>
      <c r="C4" s="2374"/>
      <c r="D4" s="2374"/>
      <c r="E4" s="2374"/>
      <c r="F4" s="2374"/>
      <c r="G4" s="2374"/>
      <c r="H4" s="2374"/>
      <c r="I4" s="2374"/>
      <c r="J4" s="2374"/>
      <c r="K4" s="2374"/>
      <c r="L4" s="2374"/>
      <c r="M4" s="2374"/>
      <c r="N4" s="2374"/>
      <c r="O4" s="2374"/>
      <c r="P4" s="904" t="s">
        <v>0</v>
      </c>
      <c r="Q4" s="1204"/>
    </row>
    <row r="5" spans="1:17" s="1233" customFormat="1" ht="18.75">
      <c r="A5" s="2373" t="s">
        <v>482</v>
      </c>
      <c r="B5" s="2377"/>
      <c r="C5" s="2377"/>
      <c r="D5" s="2377"/>
      <c r="E5" s="2377"/>
      <c r="F5" s="2377"/>
      <c r="G5" s="2377"/>
      <c r="H5" s="2377"/>
      <c r="I5" s="2377"/>
      <c r="J5" s="2377"/>
      <c r="K5" s="2377"/>
      <c r="L5" s="2377"/>
      <c r="M5" s="2377"/>
      <c r="N5" s="2377"/>
      <c r="O5" s="2377"/>
      <c r="P5" s="904" t="s">
        <v>0</v>
      </c>
      <c r="Q5" s="1204"/>
    </row>
    <row r="6" spans="1:17" s="1233" customFormat="1" ht="18.75">
      <c r="A6" s="2373" t="s">
        <v>257</v>
      </c>
      <c r="B6" s="2374"/>
      <c r="C6" s="2374"/>
      <c r="D6" s="2374"/>
      <c r="E6" s="2374"/>
      <c r="F6" s="2374"/>
      <c r="G6" s="2374"/>
      <c r="H6" s="2374"/>
      <c r="I6" s="2374"/>
      <c r="J6" s="2374"/>
      <c r="K6" s="2374"/>
      <c r="L6" s="2374"/>
      <c r="M6" s="2374"/>
      <c r="N6" s="2374"/>
      <c r="O6" s="2374"/>
      <c r="P6" s="904" t="s">
        <v>0</v>
      </c>
      <c r="Q6" s="1204"/>
    </row>
    <row r="7" spans="1:17" s="1233" customFormat="1" ht="18.75">
      <c r="A7" s="2373"/>
      <c r="B7" s="2373"/>
      <c r="C7" s="2373"/>
      <c r="D7" s="2373"/>
      <c r="E7" s="2373"/>
      <c r="F7" s="2373"/>
      <c r="G7" s="2373"/>
      <c r="H7" s="2373"/>
      <c r="I7" s="2373"/>
      <c r="J7" s="2373"/>
      <c r="K7" s="2373"/>
      <c r="L7" s="2373"/>
      <c r="M7" s="2373"/>
      <c r="N7" s="2373"/>
      <c r="O7" s="2373"/>
      <c r="P7" s="904" t="s">
        <v>0</v>
      </c>
      <c r="Q7" s="1204"/>
    </row>
    <row r="8" spans="1:17" s="1233" customFormat="1" ht="18.75">
      <c r="A8" s="2378"/>
      <c r="B8" s="2378"/>
      <c r="C8" s="2378"/>
      <c r="D8" s="2378"/>
      <c r="E8" s="2378"/>
      <c r="F8" s="2378"/>
      <c r="G8" s="2378"/>
      <c r="H8" s="2378"/>
      <c r="I8" s="2378"/>
      <c r="J8" s="2378"/>
      <c r="K8" s="2378"/>
      <c r="L8" s="2378"/>
      <c r="M8" s="2378"/>
      <c r="N8" s="2378"/>
      <c r="O8" s="2378"/>
      <c r="P8" s="904" t="s">
        <v>0</v>
      </c>
      <c r="Q8" s="1204"/>
    </row>
    <row r="9" spans="1:17" ht="15.75" customHeight="1">
      <c r="A9" s="2214" t="s">
        <v>45</v>
      </c>
      <c r="B9" s="2217" t="s">
        <v>359</v>
      </c>
      <c r="C9" s="2218"/>
      <c r="D9" s="2219"/>
      <c r="E9" s="2384" t="s">
        <v>269</v>
      </c>
      <c r="F9" s="2385"/>
      <c r="G9" s="2386"/>
      <c r="H9" s="2390" t="s">
        <v>23</v>
      </c>
      <c r="I9" s="2391"/>
      <c r="J9" s="2392"/>
      <c r="K9" s="2382" t="s">
        <v>356</v>
      </c>
      <c r="L9" s="2396" t="s">
        <v>357</v>
      </c>
      <c r="M9" s="2390" t="s">
        <v>330</v>
      </c>
      <c r="N9" s="2391"/>
      <c r="O9" s="2392"/>
      <c r="P9" s="904" t="s">
        <v>0</v>
      </c>
      <c r="Q9" s="684"/>
    </row>
    <row r="10" spans="1:17">
      <c r="A10" s="2215"/>
      <c r="B10" s="2220"/>
      <c r="C10" s="2221"/>
      <c r="D10" s="2222"/>
      <c r="E10" s="2387"/>
      <c r="F10" s="2388"/>
      <c r="G10" s="2389"/>
      <c r="H10" s="2393"/>
      <c r="I10" s="2394"/>
      <c r="J10" s="2395"/>
      <c r="K10" s="2383"/>
      <c r="L10" s="2397"/>
      <c r="M10" s="2393"/>
      <c r="N10" s="2394"/>
      <c r="O10" s="2395"/>
      <c r="P10" s="904" t="s">
        <v>0</v>
      </c>
      <c r="Q10" s="684"/>
    </row>
    <row r="11" spans="1:17" ht="16.5" thickBot="1">
      <c r="A11" s="2216"/>
      <c r="B11" s="905" t="s">
        <v>277</v>
      </c>
      <c r="C11" s="906" t="s">
        <v>49</v>
      </c>
      <c r="D11" s="906" t="s">
        <v>279</v>
      </c>
      <c r="E11" s="1234" t="s">
        <v>277</v>
      </c>
      <c r="F11" s="1235" t="s">
        <v>49</v>
      </c>
      <c r="G11" s="1235" t="s">
        <v>279</v>
      </c>
      <c r="H11" s="1234" t="s">
        <v>277</v>
      </c>
      <c r="I11" s="1235" t="s">
        <v>49</v>
      </c>
      <c r="J11" s="1235" t="s">
        <v>279</v>
      </c>
      <c r="K11" s="1205" t="s">
        <v>279</v>
      </c>
      <c r="L11" s="1206" t="s">
        <v>279</v>
      </c>
      <c r="M11" s="1234" t="s">
        <v>277</v>
      </c>
      <c r="N11" s="1235" t="s">
        <v>49</v>
      </c>
      <c r="O11" s="1236" t="s">
        <v>279</v>
      </c>
      <c r="P11" s="904" t="s">
        <v>0</v>
      </c>
      <c r="Q11" s="684"/>
    </row>
    <row r="12" spans="1:17">
      <c r="A12" s="1207" t="s">
        <v>522</v>
      </c>
      <c r="B12" s="738"/>
      <c r="C12" s="697"/>
      <c r="D12" s="697"/>
      <c r="E12" s="1237"/>
      <c r="F12" s="1208"/>
      <c r="G12" s="1208"/>
      <c r="H12" s="1237"/>
      <c r="I12" s="1208"/>
      <c r="J12" s="1208"/>
      <c r="K12" s="1104">
        <v>6328</v>
      </c>
      <c r="L12" s="1208"/>
      <c r="M12" s="1237">
        <f>B12+E12+H12</f>
        <v>0</v>
      </c>
      <c r="N12" s="1208">
        <f>C12+F12+I12</f>
        <v>0</v>
      </c>
      <c r="O12" s="1095">
        <f>D12+G12+J12+K12+L12</f>
        <v>6328</v>
      </c>
      <c r="P12" s="904" t="s">
        <v>0</v>
      </c>
      <c r="Q12" s="684"/>
    </row>
    <row r="13" spans="1:17">
      <c r="A13" s="1209" t="s">
        <v>498</v>
      </c>
      <c r="B13" s="738"/>
      <c r="C13" s="697"/>
      <c r="D13" s="697">
        <v>40000</v>
      </c>
      <c r="E13" s="1237"/>
      <c r="F13" s="1208"/>
      <c r="G13" s="1208"/>
      <c r="H13" s="1237"/>
      <c r="I13" s="1208"/>
      <c r="J13" s="1208"/>
      <c r="K13" s="1104">
        <v>342</v>
      </c>
      <c r="L13" s="1208">
        <v>30</v>
      </c>
      <c r="M13" s="1237"/>
      <c r="N13" s="1208"/>
      <c r="O13" s="1095">
        <f t="shared" ref="O13:O31" si="0">D13+G13+J13+K13+L13</f>
        <v>40372</v>
      </c>
      <c r="P13" s="904" t="s">
        <v>0</v>
      </c>
      <c r="Q13" s="684"/>
    </row>
    <row r="14" spans="1:17">
      <c r="A14" s="1209" t="s">
        <v>499</v>
      </c>
      <c r="B14" s="738"/>
      <c r="C14" s="697"/>
      <c r="D14" s="697">
        <v>185268</v>
      </c>
      <c r="E14" s="1237"/>
      <c r="F14" s="1208"/>
      <c r="G14" s="1208"/>
      <c r="H14" s="1237"/>
      <c r="I14" s="1208"/>
      <c r="J14" s="1208"/>
      <c r="K14" s="1104">
        <v>11312</v>
      </c>
      <c r="L14" s="1208">
        <v>2054</v>
      </c>
      <c r="M14" s="1237"/>
      <c r="N14" s="1208"/>
      <c r="O14" s="1095">
        <f t="shared" si="0"/>
        <v>198634</v>
      </c>
      <c r="P14" s="904" t="s">
        <v>0</v>
      </c>
      <c r="Q14" s="684"/>
    </row>
    <row r="15" spans="1:17">
      <c r="A15" s="1209" t="s">
        <v>600</v>
      </c>
      <c r="B15" s="738"/>
      <c r="C15" s="697"/>
      <c r="D15" s="697"/>
      <c r="E15" s="1237"/>
      <c r="F15" s="1208"/>
      <c r="G15" s="1208"/>
      <c r="H15" s="1237"/>
      <c r="I15" s="1208"/>
      <c r="J15" s="1208"/>
      <c r="K15" s="1104">
        <v>116</v>
      </c>
      <c r="L15" s="1208">
        <v>123</v>
      </c>
      <c r="M15" s="1237"/>
      <c r="N15" s="1208"/>
      <c r="O15" s="1095">
        <f t="shared" si="0"/>
        <v>239</v>
      </c>
      <c r="P15" s="904" t="s">
        <v>0</v>
      </c>
      <c r="Q15" s="684"/>
    </row>
    <row r="16" spans="1:17">
      <c r="A16" s="1209" t="s">
        <v>524</v>
      </c>
      <c r="B16" s="738"/>
      <c r="C16" s="697"/>
      <c r="D16" s="697">
        <v>5500</v>
      </c>
      <c r="E16" s="1237"/>
      <c r="F16" s="1208"/>
      <c r="G16" s="1208"/>
      <c r="H16" s="1237"/>
      <c r="I16" s="1208"/>
      <c r="J16" s="1208"/>
      <c r="K16" s="1104">
        <v>211</v>
      </c>
      <c r="L16" s="1208">
        <v>166</v>
      </c>
      <c r="M16" s="1237"/>
      <c r="N16" s="1208"/>
      <c r="O16" s="1095">
        <f t="shared" si="0"/>
        <v>5877</v>
      </c>
      <c r="P16" s="904" t="s">
        <v>0</v>
      </c>
      <c r="Q16" s="684"/>
    </row>
    <row r="17" spans="1:17">
      <c r="A17" s="1210" t="s">
        <v>525</v>
      </c>
      <c r="B17" s="1211"/>
      <c r="C17" s="697"/>
      <c r="D17" s="697"/>
      <c r="E17" s="1237"/>
      <c r="F17" s="1208"/>
      <c r="G17" s="1208"/>
      <c r="H17" s="1237"/>
      <c r="I17" s="1208"/>
      <c r="J17" s="1208"/>
      <c r="K17" s="1104">
        <v>234</v>
      </c>
      <c r="L17" s="1208"/>
      <c r="M17" s="1237"/>
      <c r="N17" s="1208"/>
      <c r="O17" s="1095">
        <f t="shared" si="0"/>
        <v>234</v>
      </c>
      <c r="P17" s="904" t="s">
        <v>0</v>
      </c>
      <c r="Q17" s="684"/>
    </row>
    <row r="18" spans="1:17">
      <c r="A18" s="1209" t="s">
        <v>526</v>
      </c>
      <c r="B18" s="738"/>
      <c r="C18" s="697"/>
      <c r="D18" s="697">
        <v>2500</v>
      </c>
      <c r="E18" s="1237"/>
      <c r="F18" s="1208"/>
      <c r="G18" s="1208"/>
      <c r="H18" s="1237"/>
      <c r="I18" s="1208"/>
      <c r="J18" s="1208"/>
      <c r="K18" s="1104">
        <v>28</v>
      </c>
      <c r="L18" s="1208"/>
      <c r="M18" s="1237"/>
      <c r="N18" s="1208"/>
      <c r="O18" s="1095">
        <f t="shared" si="0"/>
        <v>2528</v>
      </c>
      <c r="P18" s="904" t="s">
        <v>0</v>
      </c>
      <c r="Q18" s="684"/>
    </row>
    <row r="19" spans="1:17">
      <c r="A19" s="1209" t="s">
        <v>527</v>
      </c>
      <c r="B19" s="738"/>
      <c r="C19" s="697"/>
      <c r="D19" s="697"/>
      <c r="E19" s="1237"/>
      <c r="F19" s="1208"/>
      <c r="G19" s="1208"/>
      <c r="H19" s="1237"/>
      <c r="I19" s="1208"/>
      <c r="J19" s="1208"/>
      <c r="K19" s="1104"/>
      <c r="L19" s="1208"/>
      <c r="M19" s="1237"/>
      <c r="N19" s="1208"/>
      <c r="O19" s="1095"/>
      <c r="P19" s="904" t="s">
        <v>0</v>
      </c>
      <c r="Q19" s="684"/>
    </row>
    <row r="20" spans="1:17">
      <c r="A20" s="1210" t="s">
        <v>528</v>
      </c>
      <c r="B20" s="738"/>
      <c r="C20" s="697"/>
      <c r="D20" s="697"/>
      <c r="E20" s="1237"/>
      <c r="F20" s="1208"/>
      <c r="G20" s="1208"/>
      <c r="H20" s="1237"/>
      <c r="I20" s="1208"/>
      <c r="J20" s="1208"/>
      <c r="K20" s="1104">
        <v>30</v>
      </c>
      <c r="L20" s="1208"/>
      <c r="M20" s="1237"/>
      <c r="N20" s="1208"/>
      <c r="O20" s="1095">
        <f t="shared" si="0"/>
        <v>30</v>
      </c>
      <c r="P20" s="904" t="s">
        <v>0</v>
      </c>
      <c r="Q20" s="684"/>
    </row>
    <row r="21" spans="1:17">
      <c r="A21" s="1210" t="s">
        <v>529</v>
      </c>
      <c r="B21" s="738"/>
      <c r="C21" s="697"/>
      <c r="D21" s="697"/>
      <c r="E21" s="1237"/>
      <c r="F21" s="1208"/>
      <c r="G21" s="1208"/>
      <c r="H21" s="1237"/>
      <c r="I21" s="1208"/>
      <c r="J21" s="1208"/>
      <c r="K21" s="1104">
        <v>172</v>
      </c>
      <c r="L21" s="1208">
        <v>50</v>
      </c>
      <c r="M21" s="1237"/>
      <c r="N21" s="1208"/>
      <c r="O21" s="1095">
        <f t="shared" si="0"/>
        <v>222</v>
      </c>
      <c r="P21" s="904" t="s">
        <v>0</v>
      </c>
      <c r="Q21" s="684"/>
    </row>
    <row r="22" spans="1:17">
      <c r="A22" s="1210" t="s">
        <v>531</v>
      </c>
      <c r="B22" s="738"/>
      <c r="C22" s="697"/>
      <c r="D22" s="697"/>
      <c r="E22" s="1237"/>
      <c r="F22" s="1208"/>
      <c r="G22" s="1208"/>
      <c r="H22" s="1237"/>
      <c r="I22" s="1208"/>
      <c r="J22" s="1208"/>
      <c r="K22" s="1104">
        <v>0</v>
      </c>
      <c r="L22" s="1208">
        <v>575</v>
      </c>
      <c r="M22" s="1237"/>
      <c r="N22" s="1208"/>
      <c r="O22" s="1095">
        <f t="shared" si="0"/>
        <v>575</v>
      </c>
      <c r="P22" s="904" t="s">
        <v>0</v>
      </c>
      <c r="Q22" s="684"/>
    </row>
    <row r="23" spans="1:17">
      <c r="A23" s="1212" t="s">
        <v>530</v>
      </c>
      <c r="B23" s="738"/>
      <c r="C23" s="697"/>
      <c r="D23" s="697">
        <v>15000</v>
      </c>
      <c r="E23" s="1237"/>
      <c r="F23" s="1208"/>
      <c r="G23" s="1208"/>
      <c r="H23" s="1237"/>
      <c r="I23" s="1208"/>
      <c r="J23" s="1208"/>
      <c r="K23" s="1104">
        <v>119</v>
      </c>
      <c r="L23" s="1208"/>
      <c r="M23" s="1237"/>
      <c r="N23" s="1208"/>
      <c r="O23" s="1095">
        <f t="shared" si="0"/>
        <v>15119</v>
      </c>
      <c r="P23" s="904" t="s">
        <v>0</v>
      </c>
      <c r="Q23" s="684"/>
    </row>
    <row r="24" spans="1:17">
      <c r="A24" s="1212" t="s">
        <v>490</v>
      </c>
      <c r="B24" s="738"/>
      <c r="C24" s="697"/>
      <c r="D24" s="697"/>
      <c r="E24" s="1237"/>
      <c r="F24" s="1208"/>
      <c r="G24" s="1208"/>
      <c r="H24" s="1237"/>
      <c r="I24" s="1208"/>
      <c r="J24" s="1208"/>
      <c r="K24" s="1104"/>
      <c r="L24" s="1208"/>
      <c r="M24" s="1237"/>
      <c r="N24" s="1208"/>
      <c r="O24" s="1095"/>
      <c r="P24" s="904" t="s">
        <v>0</v>
      </c>
      <c r="Q24" s="684"/>
    </row>
    <row r="25" spans="1:17">
      <c r="A25" s="1210" t="s">
        <v>531</v>
      </c>
      <c r="B25" s="738"/>
      <c r="C25" s="697"/>
      <c r="D25" s="697"/>
      <c r="E25" s="1237"/>
      <c r="F25" s="1208"/>
      <c r="G25" s="1208"/>
      <c r="H25" s="1237"/>
      <c r="I25" s="1208"/>
      <c r="J25" s="1208"/>
      <c r="K25" s="1104">
        <v>6012</v>
      </c>
      <c r="L25" s="1208"/>
      <c r="M25" s="1237"/>
      <c r="N25" s="1208"/>
      <c r="O25" s="1095">
        <f t="shared" si="0"/>
        <v>6012</v>
      </c>
      <c r="P25" s="904" t="s">
        <v>0</v>
      </c>
      <c r="Q25" s="684"/>
    </row>
    <row r="26" spans="1:17">
      <c r="A26" s="1210" t="s">
        <v>534</v>
      </c>
      <c r="B26" s="738"/>
      <c r="C26" s="697"/>
      <c r="D26" s="697"/>
      <c r="E26" s="1237"/>
      <c r="F26" s="1208"/>
      <c r="G26" s="1208"/>
      <c r="H26" s="1237"/>
      <c r="I26" s="1208"/>
      <c r="J26" s="1208"/>
      <c r="K26" s="1104">
        <v>3441</v>
      </c>
      <c r="L26" s="1208"/>
      <c r="M26" s="1237"/>
      <c r="N26" s="1208"/>
      <c r="O26" s="1095">
        <f t="shared" si="0"/>
        <v>3441</v>
      </c>
      <c r="P26" s="904" t="s">
        <v>0</v>
      </c>
      <c r="Q26" s="684"/>
    </row>
    <row r="27" spans="1:17">
      <c r="A27" s="1210" t="s">
        <v>535</v>
      </c>
      <c r="B27" s="738"/>
      <c r="C27" s="697"/>
      <c r="D27" s="697"/>
      <c r="E27" s="1237"/>
      <c r="F27" s="1208"/>
      <c r="G27" s="1208"/>
      <c r="H27" s="1237"/>
      <c r="I27" s="1208"/>
      <c r="J27" s="1208"/>
      <c r="K27" s="1104">
        <v>2525</v>
      </c>
      <c r="L27" s="1208"/>
      <c r="M27" s="1237"/>
      <c r="N27" s="1208"/>
      <c r="O27" s="1095">
        <f t="shared" si="0"/>
        <v>2525</v>
      </c>
      <c r="P27" s="904" t="s">
        <v>0</v>
      </c>
      <c r="Q27" s="684"/>
    </row>
    <row r="28" spans="1:17">
      <c r="A28" s="1212" t="s">
        <v>536</v>
      </c>
      <c r="B28" s="738"/>
      <c r="C28" s="697"/>
      <c r="D28" s="697">
        <v>45000</v>
      </c>
      <c r="E28" s="1237"/>
      <c r="F28" s="1208"/>
      <c r="G28" s="1208"/>
      <c r="H28" s="1237"/>
      <c r="I28" s="1208"/>
      <c r="J28" s="1208"/>
      <c r="K28" s="1104">
        <v>764</v>
      </c>
      <c r="L28" s="1208">
        <v>144</v>
      </c>
      <c r="M28" s="1237"/>
      <c r="N28" s="1208"/>
      <c r="O28" s="1095">
        <f t="shared" si="0"/>
        <v>45908</v>
      </c>
      <c r="P28" s="904" t="s">
        <v>0</v>
      </c>
      <c r="Q28" s="684"/>
    </row>
    <row r="29" spans="1:17">
      <c r="A29" s="1209" t="s">
        <v>537</v>
      </c>
      <c r="B29" s="738"/>
      <c r="C29" s="697"/>
      <c r="D29" s="697">
        <v>20000</v>
      </c>
      <c r="E29" s="1237"/>
      <c r="F29" s="1208"/>
      <c r="G29" s="1208"/>
      <c r="H29" s="1237"/>
      <c r="I29" s="1208"/>
      <c r="J29" s="1208"/>
      <c r="K29" s="1104">
        <v>397</v>
      </c>
      <c r="L29" s="1208"/>
      <c r="M29" s="1237"/>
      <c r="N29" s="1208"/>
      <c r="O29" s="1095">
        <f t="shared" si="0"/>
        <v>20397</v>
      </c>
      <c r="P29" s="904" t="s">
        <v>0</v>
      </c>
      <c r="Q29" s="684"/>
    </row>
    <row r="30" spans="1:17">
      <c r="A30" s="1209" t="s">
        <v>538</v>
      </c>
      <c r="B30" s="738"/>
      <c r="C30" s="697"/>
      <c r="D30" s="697">
        <v>1000</v>
      </c>
      <c r="E30" s="1237"/>
      <c r="F30" s="1208"/>
      <c r="G30" s="1208"/>
      <c r="H30" s="1237"/>
      <c r="I30" s="1208"/>
      <c r="J30" s="1208"/>
      <c r="K30" s="1104">
        <v>224</v>
      </c>
      <c r="L30" s="1208"/>
      <c r="M30" s="1237"/>
      <c r="N30" s="1208"/>
      <c r="O30" s="1095">
        <f t="shared" si="0"/>
        <v>1224</v>
      </c>
      <c r="P30" s="904" t="s">
        <v>0</v>
      </c>
      <c r="Q30" s="684"/>
    </row>
    <row r="31" spans="1:17">
      <c r="A31" s="1209" t="s">
        <v>540</v>
      </c>
      <c r="B31" s="738"/>
      <c r="C31" s="697"/>
      <c r="D31" s="697">
        <v>50000</v>
      </c>
      <c r="E31" s="1237"/>
      <c r="F31" s="1208"/>
      <c r="G31" s="1208"/>
      <c r="H31" s="1237"/>
      <c r="I31" s="1208"/>
      <c r="J31" s="1208"/>
      <c r="K31" s="1104">
        <v>2640</v>
      </c>
      <c r="L31" s="1208">
        <v>367</v>
      </c>
      <c r="M31" s="1237"/>
      <c r="N31" s="1208"/>
      <c r="O31" s="1095">
        <f t="shared" si="0"/>
        <v>53007</v>
      </c>
      <c r="P31" s="904" t="s">
        <v>0</v>
      </c>
      <c r="Q31" s="684"/>
    </row>
    <row r="32" spans="1:17">
      <c r="A32" s="1210" t="s">
        <v>541</v>
      </c>
      <c r="B32" s="738"/>
      <c r="C32" s="697"/>
      <c r="D32" s="1123" t="s">
        <v>603</v>
      </c>
      <c r="E32" s="1237"/>
      <c r="F32" s="1208"/>
      <c r="G32" s="1208"/>
      <c r="H32" s="1237"/>
      <c r="I32" s="1208"/>
      <c r="J32" s="1208"/>
      <c r="K32" s="1104"/>
      <c r="L32" s="1208"/>
      <c r="M32" s="1237"/>
      <c r="N32" s="1208"/>
      <c r="O32" s="1238" t="s">
        <v>603</v>
      </c>
      <c r="P32" s="904" t="s">
        <v>0</v>
      </c>
      <c r="Q32" s="684"/>
    </row>
    <row r="33" spans="1:17">
      <c r="A33" s="1210" t="s">
        <v>543</v>
      </c>
      <c r="B33" s="738"/>
      <c r="C33" s="697"/>
      <c r="D33" s="1123" t="s">
        <v>420</v>
      </c>
      <c r="E33" s="1237"/>
      <c r="F33" s="1208"/>
      <c r="G33" s="1208"/>
      <c r="H33" s="1237"/>
      <c r="I33" s="1208"/>
      <c r="J33" s="1208"/>
      <c r="K33" s="1104"/>
      <c r="L33" s="1208"/>
      <c r="M33" s="1237"/>
      <c r="N33" s="1208"/>
      <c r="O33" s="1238" t="s">
        <v>420</v>
      </c>
      <c r="P33" s="904" t="s">
        <v>0</v>
      </c>
      <c r="Q33" s="684"/>
    </row>
    <row r="34" spans="1:17">
      <c r="A34" s="1210" t="s">
        <v>545</v>
      </c>
      <c r="B34" s="738"/>
      <c r="C34" s="697"/>
      <c r="D34" s="1123" t="s">
        <v>546</v>
      </c>
      <c r="E34" s="1237"/>
      <c r="F34" s="1208"/>
      <c r="G34" s="1208"/>
      <c r="H34" s="1237"/>
      <c r="I34" s="1208"/>
      <c r="J34" s="1208"/>
      <c r="K34" s="1104"/>
      <c r="L34" s="1208"/>
      <c r="M34" s="1237"/>
      <c r="N34" s="1208"/>
      <c r="O34" s="1238" t="s">
        <v>546</v>
      </c>
      <c r="P34" s="904" t="s">
        <v>0</v>
      </c>
      <c r="Q34" s="684"/>
    </row>
    <row r="35" spans="1:17">
      <c r="A35" s="1210" t="s">
        <v>548</v>
      </c>
      <c r="B35" s="738"/>
      <c r="C35" s="697"/>
      <c r="D35" s="1123" t="s">
        <v>549</v>
      </c>
      <c r="E35" s="1237"/>
      <c r="F35" s="1208"/>
      <c r="G35" s="1208"/>
      <c r="H35" s="1237"/>
      <c r="I35" s="1208"/>
      <c r="J35" s="1208"/>
      <c r="K35" s="1104"/>
      <c r="L35" s="1208"/>
      <c r="M35" s="1237"/>
      <c r="N35" s="1208"/>
      <c r="O35" s="1238" t="s">
        <v>549</v>
      </c>
      <c r="P35" s="904" t="s">
        <v>0</v>
      </c>
      <c r="Q35" s="684"/>
    </row>
    <row r="36" spans="1:17">
      <c r="A36" s="1212" t="s">
        <v>614</v>
      </c>
      <c r="B36" s="738"/>
      <c r="C36" s="697"/>
      <c r="D36" s="697"/>
      <c r="E36" s="1237"/>
      <c r="F36" s="1208"/>
      <c r="G36" s="1208"/>
      <c r="H36" s="1237"/>
      <c r="I36" s="1208"/>
      <c r="J36" s="1208"/>
      <c r="K36" s="1104">
        <v>134</v>
      </c>
      <c r="L36" s="1208"/>
      <c r="M36" s="1237"/>
      <c r="N36" s="1208"/>
      <c r="O36" s="1095">
        <f t="shared" ref="O36:O38" si="1">D36+G36+J36+K36+L36</f>
        <v>134</v>
      </c>
      <c r="P36" s="904" t="s">
        <v>0</v>
      </c>
      <c r="Q36" s="684"/>
    </row>
    <row r="37" spans="1:17">
      <c r="A37" s="1212" t="s">
        <v>506</v>
      </c>
      <c r="B37" s="738"/>
      <c r="C37" s="697"/>
      <c r="D37" s="697">
        <v>10000</v>
      </c>
      <c r="E37" s="1237"/>
      <c r="F37" s="1208"/>
      <c r="G37" s="1208"/>
      <c r="H37" s="1237"/>
      <c r="I37" s="1208"/>
      <c r="J37" s="1208"/>
      <c r="K37" s="1104">
        <v>0</v>
      </c>
      <c r="L37" s="1208"/>
      <c r="M37" s="1237"/>
      <c r="N37" s="1208"/>
      <c r="O37" s="1095">
        <f t="shared" si="1"/>
        <v>10000</v>
      </c>
      <c r="P37" s="904" t="s">
        <v>0</v>
      </c>
      <c r="Q37" s="684"/>
    </row>
    <row r="38" spans="1:17">
      <c r="A38" s="1212" t="s">
        <v>551</v>
      </c>
      <c r="B38" s="738"/>
      <c r="C38" s="697"/>
      <c r="D38" s="697">
        <v>519000</v>
      </c>
      <c r="E38" s="1237"/>
      <c r="F38" s="1208"/>
      <c r="G38" s="1208"/>
      <c r="H38" s="1237"/>
      <c r="I38" s="1208"/>
      <c r="J38" s="1208"/>
      <c r="K38" s="1104">
        <v>2435</v>
      </c>
      <c r="L38" s="1208">
        <v>338</v>
      </c>
      <c r="M38" s="1237"/>
      <c r="N38" s="1208"/>
      <c r="O38" s="1095">
        <f t="shared" si="1"/>
        <v>521773</v>
      </c>
      <c r="P38" s="904" t="s">
        <v>0</v>
      </c>
      <c r="Q38" s="684"/>
    </row>
    <row r="39" spans="1:17">
      <c r="A39" s="1210" t="s">
        <v>553</v>
      </c>
      <c r="B39" s="738"/>
      <c r="C39" s="697"/>
      <c r="D39" s="1123" t="s">
        <v>554</v>
      </c>
      <c r="E39" s="1237"/>
      <c r="F39" s="1208"/>
      <c r="G39" s="1208"/>
      <c r="H39" s="1237"/>
      <c r="I39" s="1208"/>
      <c r="J39" s="1208"/>
      <c r="K39" s="1104">
        <v>-27</v>
      </c>
      <c r="L39" s="1208"/>
      <c r="M39" s="1237"/>
      <c r="N39" s="1208"/>
      <c r="O39" s="1238" t="s">
        <v>554</v>
      </c>
      <c r="P39" s="904" t="s">
        <v>0</v>
      </c>
      <c r="Q39" s="684"/>
    </row>
    <row r="40" spans="1:17">
      <c r="A40" s="1210" t="s">
        <v>556</v>
      </c>
      <c r="B40" s="738"/>
      <c r="C40" s="697"/>
      <c r="D40" s="1123" t="s">
        <v>546</v>
      </c>
      <c r="E40" s="1237"/>
      <c r="F40" s="1208"/>
      <c r="G40" s="1208"/>
      <c r="H40" s="1237"/>
      <c r="I40" s="1208"/>
      <c r="J40" s="1208"/>
      <c r="K40" s="1104"/>
      <c r="L40" s="1208"/>
      <c r="M40" s="1237"/>
      <c r="N40" s="1208"/>
      <c r="O40" s="1238" t="s">
        <v>546</v>
      </c>
      <c r="P40" s="904" t="s">
        <v>0</v>
      </c>
      <c r="Q40" s="684"/>
    </row>
    <row r="41" spans="1:17" ht="31.5">
      <c r="A41" s="1213" t="s">
        <v>560</v>
      </c>
      <c r="B41" s="738"/>
      <c r="C41" s="697"/>
      <c r="D41" s="697">
        <v>12000</v>
      </c>
      <c r="E41" s="1237"/>
      <c r="F41" s="1208"/>
      <c r="G41" s="1208"/>
      <c r="H41" s="1237"/>
      <c r="I41" s="1208"/>
      <c r="J41" s="1208"/>
      <c r="K41" s="1104">
        <v>103</v>
      </c>
      <c r="L41" s="1208">
        <v>54</v>
      </c>
      <c r="M41" s="1237"/>
      <c r="N41" s="1208"/>
      <c r="O41" s="1095">
        <f t="shared" ref="O41:O52" si="2">D41+G41+J41+K41+L41</f>
        <v>12157</v>
      </c>
      <c r="P41" s="904" t="s">
        <v>0</v>
      </c>
      <c r="Q41" s="684"/>
    </row>
    <row r="42" spans="1:17">
      <c r="A42" s="1239" t="s">
        <v>561</v>
      </c>
      <c r="B42" s="1240"/>
      <c r="C42" s="1155"/>
      <c r="D42" s="1155">
        <v>2000</v>
      </c>
      <c r="E42" s="1241"/>
      <c r="F42" s="1242"/>
      <c r="G42" s="1242"/>
      <c r="H42" s="1241"/>
      <c r="I42" s="1242"/>
      <c r="J42" s="1242"/>
      <c r="K42" s="1243">
        <v>221</v>
      </c>
      <c r="L42" s="1242"/>
      <c r="M42" s="1241"/>
      <c r="N42" s="1242"/>
      <c r="O42" s="1091">
        <f t="shared" si="2"/>
        <v>2221</v>
      </c>
      <c r="P42" s="904" t="s">
        <v>0</v>
      </c>
      <c r="Q42" s="684"/>
    </row>
    <row r="43" spans="1:17">
      <c r="A43" s="1212" t="s">
        <v>562</v>
      </c>
      <c r="B43" s="738"/>
      <c r="C43" s="697"/>
      <c r="D43" s="697">
        <v>11500</v>
      </c>
      <c r="E43" s="1237"/>
      <c r="F43" s="1208"/>
      <c r="G43" s="1208"/>
      <c r="H43" s="1237"/>
      <c r="I43" s="1208"/>
      <c r="J43" s="1208"/>
      <c r="K43" s="1104">
        <v>0</v>
      </c>
      <c r="L43" s="1208"/>
      <c r="M43" s="1237"/>
      <c r="N43" s="1208"/>
      <c r="O43" s="1095">
        <f t="shared" si="2"/>
        <v>11500</v>
      </c>
      <c r="P43" s="904" t="s">
        <v>0</v>
      </c>
      <c r="Q43" s="684"/>
    </row>
    <row r="44" spans="1:17">
      <c r="A44" s="1212" t="s">
        <v>607</v>
      </c>
      <c r="B44" s="738"/>
      <c r="C44" s="697"/>
      <c r="D44" s="697">
        <v>20000</v>
      </c>
      <c r="E44" s="1237"/>
      <c r="F44" s="1208"/>
      <c r="G44" s="1208"/>
      <c r="H44" s="1237"/>
      <c r="I44" s="1208"/>
      <c r="J44" s="1208"/>
      <c r="K44" s="1104">
        <v>10316</v>
      </c>
      <c r="L44" s="1208"/>
      <c r="M44" s="1237"/>
      <c r="N44" s="1208"/>
      <c r="O44" s="1095">
        <f t="shared" si="2"/>
        <v>30316</v>
      </c>
      <c r="P44" s="904" t="s">
        <v>0</v>
      </c>
      <c r="Q44" s="684"/>
    </row>
    <row r="45" spans="1:17">
      <c r="A45" s="1212" t="s">
        <v>564</v>
      </c>
      <c r="B45" s="738"/>
      <c r="C45" s="697"/>
      <c r="D45" s="697">
        <v>3000</v>
      </c>
      <c r="E45" s="1237"/>
      <c r="F45" s="1208"/>
      <c r="G45" s="1208"/>
      <c r="H45" s="1237"/>
      <c r="I45" s="1208"/>
      <c r="J45" s="1208"/>
      <c r="K45" s="1104">
        <v>205</v>
      </c>
      <c r="L45" s="1208"/>
      <c r="M45" s="1237"/>
      <c r="N45" s="1208"/>
      <c r="O45" s="1095">
        <f t="shared" si="2"/>
        <v>3205</v>
      </c>
      <c r="P45" s="904" t="s">
        <v>0</v>
      </c>
      <c r="Q45" s="684"/>
    </row>
    <row r="46" spans="1:17">
      <c r="A46" s="1212" t="s">
        <v>565</v>
      </c>
      <c r="B46" s="738"/>
      <c r="C46" s="697"/>
      <c r="D46" s="697">
        <v>35000</v>
      </c>
      <c r="E46" s="1237"/>
      <c r="F46" s="1208"/>
      <c r="G46" s="1208"/>
      <c r="H46" s="1237"/>
      <c r="I46" s="1208"/>
      <c r="J46" s="1208"/>
      <c r="K46" s="1104">
        <v>1601</v>
      </c>
      <c r="L46" s="1208">
        <v>33</v>
      </c>
      <c r="M46" s="1237"/>
      <c r="N46" s="1208"/>
      <c r="O46" s="1095">
        <f t="shared" si="2"/>
        <v>36634</v>
      </c>
      <c r="P46" s="904" t="s">
        <v>0</v>
      </c>
      <c r="Q46" s="684"/>
    </row>
    <row r="47" spans="1:17">
      <c r="A47" s="1212" t="s">
        <v>512</v>
      </c>
      <c r="B47" s="738"/>
      <c r="C47" s="697"/>
      <c r="D47" s="697">
        <v>7000</v>
      </c>
      <c r="E47" s="1237"/>
      <c r="F47" s="1208"/>
      <c r="G47" s="1208"/>
      <c r="H47" s="1237"/>
      <c r="I47" s="1208"/>
      <c r="J47" s="1208"/>
      <c r="K47" s="1104">
        <v>402</v>
      </c>
      <c r="L47" s="1208">
        <v>69</v>
      </c>
      <c r="M47" s="1237"/>
      <c r="N47" s="1208"/>
      <c r="O47" s="1095">
        <f t="shared" si="2"/>
        <v>7471</v>
      </c>
      <c r="P47" s="904" t="s">
        <v>0</v>
      </c>
      <c r="Q47" s="684"/>
    </row>
    <row r="48" spans="1:17">
      <c r="A48" s="1214" t="s">
        <v>513</v>
      </c>
      <c r="B48" s="692"/>
      <c r="C48" s="697"/>
      <c r="D48" s="697">
        <v>15000</v>
      </c>
      <c r="E48" s="1237"/>
      <c r="F48" s="1208"/>
      <c r="G48" s="1208"/>
      <c r="H48" s="1237"/>
      <c r="I48" s="1208"/>
      <c r="J48" s="1208"/>
      <c r="K48" s="1104">
        <v>1301</v>
      </c>
      <c r="L48" s="1208">
        <v>95</v>
      </c>
      <c r="M48" s="1237"/>
      <c r="N48" s="1208"/>
      <c r="O48" s="1095">
        <f t="shared" si="2"/>
        <v>16396</v>
      </c>
      <c r="P48" s="904" t="s">
        <v>0</v>
      </c>
      <c r="Q48" s="684"/>
    </row>
    <row r="49" spans="1:17">
      <c r="A49" s="1215" t="s">
        <v>610</v>
      </c>
      <c r="B49" s="692"/>
      <c r="C49" s="697"/>
      <c r="D49" s="697"/>
      <c r="E49" s="1237"/>
      <c r="F49" s="1208"/>
      <c r="G49" s="1208"/>
      <c r="H49" s="1237"/>
      <c r="I49" s="1208"/>
      <c r="J49" s="1208"/>
      <c r="K49" s="1104">
        <v>0</v>
      </c>
      <c r="L49" s="1208">
        <v>285</v>
      </c>
      <c r="M49" s="1237"/>
      <c r="N49" s="1208"/>
      <c r="O49" s="1095">
        <f t="shared" si="2"/>
        <v>285</v>
      </c>
      <c r="P49" s="904" t="s">
        <v>0</v>
      </c>
      <c r="Q49" s="684"/>
    </row>
    <row r="50" spans="1:17">
      <c r="A50" s="1214" t="s">
        <v>514</v>
      </c>
      <c r="B50" s="692"/>
      <c r="C50" s="697"/>
      <c r="D50" s="697">
        <v>1000</v>
      </c>
      <c r="E50" s="1237"/>
      <c r="F50" s="1208"/>
      <c r="G50" s="1208"/>
      <c r="H50" s="1237"/>
      <c r="I50" s="1208"/>
      <c r="J50" s="1208"/>
      <c r="K50" s="1104">
        <v>931</v>
      </c>
      <c r="L50" s="1208"/>
      <c r="M50" s="1237"/>
      <c r="N50" s="1208"/>
      <c r="O50" s="1095">
        <f t="shared" si="2"/>
        <v>1931</v>
      </c>
      <c r="P50" s="904" t="s">
        <v>0</v>
      </c>
      <c r="Q50" s="684"/>
    </row>
    <row r="51" spans="1:17">
      <c r="A51" s="1214" t="s">
        <v>568</v>
      </c>
      <c r="B51" s="692"/>
      <c r="C51" s="697"/>
      <c r="D51" s="697">
        <v>30000</v>
      </c>
      <c r="E51" s="1237"/>
      <c r="F51" s="1208"/>
      <c r="G51" s="1208"/>
      <c r="H51" s="1237"/>
      <c r="I51" s="1208"/>
      <c r="J51" s="1208"/>
      <c r="K51" s="1104">
        <v>235</v>
      </c>
      <c r="L51" s="1208">
        <v>10</v>
      </c>
      <c r="M51" s="1237"/>
      <c r="N51" s="1208"/>
      <c r="O51" s="1095">
        <f t="shared" si="2"/>
        <v>30245</v>
      </c>
      <c r="P51" s="904" t="s">
        <v>0</v>
      </c>
      <c r="Q51" s="684"/>
    </row>
    <row r="52" spans="1:17">
      <c r="A52" s="1220" t="s">
        <v>569</v>
      </c>
      <c r="B52" s="709"/>
      <c r="C52" s="1155"/>
      <c r="D52" s="1155">
        <v>100000</v>
      </c>
      <c r="E52" s="1241"/>
      <c r="F52" s="1242"/>
      <c r="G52" s="1242"/>
      <c r="H52" s="1241"/>
      <c r="I52" s="1242"/>
      <c r="J52" s="1242"/>
      <c r="K52" s="1243">
        <v>654</v>
      </c>
      <c r="L52" s="1242">
        <v>1</v>
      </c>
      <c r="M52" s="1241"/>
      <c r="N52" s="1242"/>
      <c r="O52" s="1091">
        <f t="shared" si="2"/>
        <v>100655</v>
      </c>
      <c r="P52" s="904" t="s">
        <v>0</v>
      </c>
      <c r="Q52" s="684"/>
    </row>
    <row r="53" spans="1:17">
      <c r="A53" s="1216" t="s">
        <v>571</v>
      </c>
      <c r="B53" s="692"/>
      <c r="C53" s="697"/>
      <c r="D53" s="1123" t="s">
        <v>572</v>
      </c>
      <c r="E53" s="1237"/>
      <c r="F53" s="1208"/>
      <c r="G53" s="1208"/>
      <c r="H53" s="1237"/>
      <c r="I53" s="1208"/>
      <c r="J53" s="1208"/>
      <c r="K53" s="1104"/>
      <c r="L53" s="1208"/>
      <c r="M53" s="1237"/>
      <c r="N53" s="1208"/>
      <c r="O53" s="1238" t="s">
        <v>572</v>
      </c>
      <c r="P53" s="904" t="s">
        <v>0</v>
      </c>
      <c r="Q53" s="684"/>
    </row>
    <row r="54" spans="1:17">
      <c r="A54" s="1217" t="s">
        <v>574</v>
      </c>
      <c r="B54" s="1218"/>
      <c r="C54" s="697"/>
      <c r="D54" s="1123" t="s">
        <v>417</v>
      </c>
      <c r="E54" s="1237"/>
      <c r="F54" s="1208"/>
      <c r="G54" s="1208"/>
      <c r="H54" s="1237"/>
      <c r="I54" s="1208"/>
      <c r="J54" s="1208"/>
      <c r="K54" s="1104"/>
      <c r="L54" s="1208"/>
      <c r="M54" s="1237"/>
      <c r="N54" s="1208"/>
      <c r="O54" s="1238" t="s">
        <v>417</v>
      </c>
      <c r="P54" s="904" t="s">
        <v>0</v>
      </c>
      <c r="Q54" s="684"/>
    </row>
    <row r="55" spans="1:17">
      <c r="A55" s="1216" t="s">
        <v>576</v>
      </c>
      <c r="B55" s="692"/>
      <c r="C55" s="697"/>
      <c r="D55" s="1123" t="s">
        <v>533</v>
      </c>
      <c r="E55" s="1237"/>
      <c r="F55" s="1208"/>
      <c r="G55" s="1208"/>
      <c r="H55" s="1237"/>
      <c r="I55" s="1208"/>
      <c r="J55" s="1208"/>
      <c r="K55" s="1104"/>
      <c r="L55" s="1208"/>
      <c r="M55" s="1237"/>
      <c r="N55" s="1208"/>
      <c r="O55" s="1238" t="s">
        <v>533</v>
      </c>
      <c r="P55" s="904" t="s">
        <v>0</v>
      </c>
      <c r="Q55" s="684"/>
    </row>
    <row r="56" spans="1:17">
      <c r="A56" s="1216" t="s">
        <v>578</v>
      </c>
      <c r="B56" s="692"/>
      <c r="C56" s="697"/>
      <c r="D56" s="1123" t="s">
        <v>438</v>
      </c>
      <c r="E56" s="1237"/>
      <c r="F56" s="1208"/>
      <c r="G56" s="1208"/>
      <c r="H56" s="1237"/>
      <c r="I56" s="1208"/>
      <c r="J56" s="1208"/>
      <c r="K56" s="1104"/>
      <c r="L56" s="1208"/>
      <c r="M56" s="1237"/>
      <c r="N56" s="1208"/>
      <c r="O56" s="1238" t="s">
        <v>438</v>
      </c>
      <c r="P56" s="904" t="s">
        <v>0</v>
      </c>
      <c r="Q56" s="684"/>
    </row>
    <row r="57" spans="1:17">
      <c r="A57" s="1216" t="s">
        <v>580</v>
      </c>
      <c r="B57" s="692"/>
      <c r="C57" s="697"/>
      <c r="D57" s="1123" t="s">
        <v>581</v>
      </c>
      <c r="E57" s="1237"/>
      <c r="F57" s="1208"/>
      <c r="G57" s="1208"/>
      <c r="H57" s="1237"/>
      <c r="I57" s="1208"/>
      <c r="J57" s="1208"/>
      <c r="K57" s="1104"/>
      <c r="L57" s="1208"/>
      <c r="M57" s="1237"/>
      <c r="N57" s="1208"/>
      <c r="O57" s="1238" t="s">
        <v>581</v>
      </c>
      <c r="P57" s="904" t="s">
        <v>0</v>
      </c>
      <c r="Q57" s="684"/>
    </row>
    <row r="58" spans="1:17">
      <c r="A58" s="1216" t="s">
        <v>583</v>
      </c>
      <c r="B58" s="692"/>
      <c r="C58" s="697"/>
      <c r="D58" s="1123" t="s">
        <v>420</v>
      </c>
      <c r="E58" s="1237"/>
      <c r="F58" s="1208"/>
      <c r="G58" s="1208"/>
      <c r="H58" s="1237"/>
      <c r="I58" s="1208"/>
      <c r="J58" s="1208"/>
      <c r="K58" s="1104"/>
      <c r="L58" s="1208">
        <v>0</v>
      </c>
      <c r="M58" s="1237"/>
      <c r="N58" s="1208"/>
      <c r="O58" s="1238" t="s">
        <v>420</v>
      </c>
      <c r="P58" s="904" t="s">
        <v>0</v>
      </c>
      <c r="Q58" s="684"/>
    </row>
    <row r="59" spans="1:17">
      <c r="A59" s="1216" t="s">
        <v>587</v>
      </c>
      <c r="B59" s="692"/>
      <c r="C59" s="697"/>
      <c r="D59" s="1123" t="s">
        <v>420</v>
      </c>
      <c r="E59" s="1237"/>
      <c r="F59" s="1208"/>
      <c r="G59" s="1208"/>
      <c r="H59" s="1237"/>
      <c r="I59" s="1208"/>
      <c r="J59" s="1208"/>
      <c r="K59" s="1104">
        <v>0</v>
      </c>
      <c r="L59" s="1208"/>
      <c r="M59" s="1237"/>
      <c r="N59" s="1208"/>
      <c r="O59" s="1238" t="s">
        <v>420</v>
      </c>
      <c r="P59" s="904" t="s">
        <v>0</v>
      </c>
      <c r="Q59" s="684"/>
    </row>
    <row r="60" spans="1:17">
      <c r="A60" s="1216" t="s">
        <v>592</v>
      </c>
      <c r="B60" s="709"/>
      <c r="C60" s="697"/>
      <c r="D60" s="1123" t="s">
        <v>554</v>
      </c>
      <c r="E60" s="1237"/>
      <c r="F60" s="1208"/>
      <c r="G60" s="1208"/>
      <c r="H60" s="1237"/>
      <c r="I60" s="1208"/>
      <c r="J60" s="1208"/>
      <c r="K60" s="1104">
        <v>0</v>
      </c>
      <c r="L60" s="1208"/>
      <c r="M60" s="1237"/>
      <c r="N60" s="1208"/>
      <c r="O60" s="1238" t="s">
        <v>554</v>
      </c>
      <c r="P60" s="904" t="s">
        <v>0</v>
      </c>
      <c r="Q60" s="684"/>
    </row>
    <row r="61" spans="1:17">
      <c r="A61" s="1214" t="s">
        <v>593</v>
      </c>
      <c r="B61" s="692"/>
      <c r="C61" s="697"/>
      <c r="D61" s="697">
        <v>31000</v>
      </c>
      <c r="E61" s="1237"/>
      <c r="F61" s="1208"/>
      <c r="G61" s="1208"/>
      <c r="H61" s="1237"/>
      <c r="I61" s="1208"/>
      <c r="J61" s="1208"/>
      <c r="K61" s="1104">
        <v>7474</v>
      </c>
      <c r="L61" s="1208"/>
      <c r="M61" s="1237"/>
      <c r="N61" s="1208"/>
      <c r="O61" s="1095">
        <f t="shared" ref="O61:O71" si="3">D61+G61+J61+K61+L61</f>
        <v>38474</v>
      </c>
      <c r="P61" s="904" t="s">
        <v>0</v>
      </c>
      <c r="Q61" s="684"/>
    </row>
    <row r="62" spans="1:17">
      <c r="A62" s="1215" t="s">
        <v>594</v>
      </c>
      <c r="B62" s="692"/>
      <c r="C62" s="697"/>
      <c r="D62" s="697">
        <v>15000</v>
      </c>
      <c r="E62" s="1237"/>
      <c r="F62" s="1208"/>
      <c r="G62" s="1208"/>
      <c r="H62" s="1237"/>
      <c r="I62" s="1208"/>
      <c r="J62" s="1208"/>
      <c r="K62" s="1104">
        <v>784</v>
      </c>
      <c r="L62" s="1208">
        <v>1</v>
      </c>
      <c r="M62" s="1237"/>
      <c r="N62" s="1208"/>
      <c r="O62" s="1095">
        <f t="shared" si="3"/>
        <v>15785</v>
      </c>
      <c r="P62" s="904" t="s">
        <v>0</v>
      </c>
      <c r="Q62" s="684"/>
    </row>
    <row r="63" spans="1:17">
      <c r="A63" s="1214" t="s">
        <v>517</v>
      </c>
      <c r="B63" s="692"/>
      <c r="C63" s="697"/>
      <c r="D63" s="697">
        <v>330000</v>
      </c>
      <c r="E63" s="1237"/>
      <c r="F63" s="1208"/>
      <c r="G63" s="1208"/>
      <c r="H63" s="1237"/>
      <c r="I63" s="1208"/>
      <c r="J63" s="1208"/>
      <c r="K63" s="1104">
        <v>5924</v>
      </c>
      <c r="L63" s="1208"/>
      <c r="M63" s="1237"/>
      <c r="N63" s="1208"/>
      <c r="O63" s="1095">
        <f t="shared" si="3"/>
        <v>335924</v>
      </c>
      <c r="P63" s="904" t="s">
        <v>0</v>
      </c>
      <c r="Q63" s="684"/>
    </row>
    <row r="64" spans="1:17">
      <c r="A64" s="1214" t="s">
        <v>518</v>
      </c>
      <c r="B64" s="692"/>
      <c r="C64" s="697"/>
      <c r="D64" s="697">
        <v>10000</v>
      </c>
      <c r="E64" s="1237"/>
      <c r="F64" s="1208"/>
      <c r="G64" s="1208"/>
      <c r="H64" s="1237"/>
      <c r="I64" s="1208"/>
      <c r="J64" s="1208"/>
      <c r="K64" s="1104">
        <v>0</v>
      </c>
      <c r="L64" s="1208"/>
      <c r="M64" s="1237"/>
      <c r="N64" s="1208"/>
      <c r="O64" s="1095">
        <f t="shared" si="3"/>
        <v>10000</v>
      </c>
      <c r="P64" s="904" t="s">
        <v>0</v>
      </c>
      <c r="Q64" s="684"/>
    </row>
    <row r="65" spans="1:17">
      <c r="A65" s="1214" t="s">
        <v>596</v>
      </c>
      <c r="B65" s="692"/>
      <c r="C65" s="697"/>
      <c r="D65" s="697">
        <v>3500</v>
      </c>
      <c r="E65" s="1237"/>
      <c r="F65" s="1208"/>
      <c r="G65" s="1208"/>
      <c r="H65" s="1237"/>
      <c r="I65" s="1208"/>
      <c r="J65" s="1208"/>
      <c r="K65" s="1104">
        <v>390</v>
      </c>
      <c r="L65" s="1208"/>
      <c r="M65" s="1237"/>
      <c r="N65" s="1208"/>
      <c r="O65" s="1095">
        <f t="shared" si="3"/>
        <v>3890</v>
      </c>
      <c r="P65" s="904" t="s">
        <v>0</v>
      </c>
      <c r="Q65" s="684"/>
    </row>
    <row r="66" spans="1:17">
      <c r="A66" s="1214" t="s">
        <v>611</v>
      </c>
      <c r="B66" s="692"/>
      <c r="C66" s="697"/>
      <c r="D66" s="697"/>
      <c r="E66" s="1237"/>
      <c r="F66" s="1208"/>
      <c r="G66" s="1208"/>
      <c r="H66" s="1237"/>
      <c r="I66" s="1208"/>
      <c r="J66" s="1208"/>
      <c r="K66" s="1104">
        <v>1</v>
      </c>
      <c r="L66" s="1208"/>
      <c r="M66" s="1237"/>
      <c r="N66" s="1208"/>
      <c r="O66" s="1095">
        <f t="shared" si="3"/>
        <v>1</v>
      </c>
      <c r="P66" s="904" t="s">
        <v>0</v>
      </c>
      <c r="Q66" s="684"/>
    </row>
    <row r="67" spans="1:17">
      <c r="A67" s="1214" t="s">
        <v>465</v>
      </c>
      <c r="B67" s="692"/>
      <c r="C67" s="697"/>
      <c r="D67" s="697"/>
      <c r="E67" s="1237"/>
      <c r="F67" s="1208"/>
      <c r="G67" s="1208">
        <v>-44000</v>
      </c>
      <c r="H67" s="1237"/>
      <c r="I67" s="1208"/>
      <c r="J67" s="1208"/>
      <c r="K67" s="1104">
        <v>0</v>
      </c>
      <c r="L67" s="1208"/>
      <c r="M67" s="1237"/>
      <c r="N67" s="1208"/>
      <c r="O67" s="1095">
        <f t="shared" si="3"/>
        <v>-44000</v>
      </c>
      <c r="P67" s="904" t="s">
        <v>0</v>
      </c>
      <c r="Q67" s="684"/>
    </row>
    <row r="68" spans="1:17">
      <c r="A68" s="1220" t="s">
        <v>520</v>
      </c>
      <c r="B68" s="709"/>
      <c r="C68" s="697"/>
      <c r="D68" s="697">
        <v>3000</v>
      </c>
      <c r="E68" s="1237"/>
      <c r="F68" s="1208"/>
      <c r="G68" s="1208"/>
      <c r="H68" s="1237"/>
      <c r="I68" s="1208"/>
      <c r="J68" s="1208"/>
      <c r="K68" s="1104">
        <v>4445</v>
      </c>
      <c r="L68" s="1208"/>
      <c r="M68" s="1237"/>
      <c r="N68" s="1208"/>
      <c r="O68" s="1095">
        <f t="shared" si="3"/>
        <v>7445</v>
      </c>
      <c r="P68" s="904" t="s">
        <v>0</v>
      </c>
      <c r="Q68" s="684"/>
    </row>
    <row r="69" spans="1:17">
      <c r="A69" s="1220" t="s">
        <v>615</v>
      </c>
      <c r="B69" s="739"/>
      <c r="C69" s="1155"/>
      <c r="D69" s="1155"/>
      <c r="E69" s="1241"/>
      <c r="F69" s="1242"/>
      <c r="G69" s="1242"/>
      <c r="H69" s="1241"/>
      <c r="I69" s="1242"/>
      <c r="J69" s="1242"/>
      <c r="K69" s="1243">
        <v>1429</v>
      </c>
      <c r="L69" s="1242"/>
      <c r="M69" s="1241"/>
      <c r="N69" s="1242"/>
      <c r="O69" s="1091">
        <f t="shared" si="3"/>
        <v>1429</v>
      </c>
      <c r="P69" s="904"/>
      <c r="Q69" s="684"/>
    </row>
    <row r="70" spans="1:17">
      <c r="A70" s="1220" t="s">
        <v>521</v>
      </c>
      <c r="B70" s="1129"/>
      <c r="C70" s="915"/>
      <c r="D70" s="915">
        <v>12500</v>
      </c>
      <c r="E70" s="914"/>
      <c r="F70" s="915"/>
      <c r="G70" s="915"/>
      <c r="H70" s="914"/>
      <c r="I70" s="915"/>
      <c r="J70" s="915"/>
      <c r="K70" s="916">
        <v>784</v>
      </c>
      <c r="L70" s="915"/>
      <c r="M70" s="914"/>
      <c r="N70" s="915"/>
      <c r="O70" s="999">
        <f t="shared" si="3"/>
        <v>13284</v>
      </c>
      <c r="P70" s="904" t="s">
        <v>0</v>
      </c>
      <c r="Q70" s="684"/>
    </row>
    <row r="71" spans="1:17" s="1643" customFormat="1">
      <c r="A71" s="716" t="s">
        <v>810</v>
      </c>
      <c r="B71" s="710"/>
      <c r="C71" s="915"/>
      <c r="D71" s="915"/>
      <c r="E71" s="914"/>
      <c r="F71" s="915"/>
      <c r="G71" s="915"/>
      <c r="H71" s="914"/>
      <c r="I71" s="915"/>
      <c r="J71" s="915"/>
      <c r="K71" s="916">
        <v>548</v>
      </c>
      <c r="L71" s="915"/>
      <c r="M71" s="914"/>
      <c r="N71" s="915"/>
      <c r="O71" s="999">
        <f t="shared" si="3"/>
        <v>548</v>
      </c>
      <c r="P71" s="904"/>
      <c r="Q71" s="684"/>
    </row>
    <row r="72" spans="1:17">
      <c r="A72" s="918" t="s">
        <v>286</v>
      </c>
      <c r="B72" s="919">
        <f t="shared" ref="B72:M72" si="4">SUM(B12:B70)</f>
        <v>0</v>
      </c>
      <c r="C72" s="920">
        <f t="shared" si="4"/>
        <v>0</v>
      </c>
      <c r="D72" s="921">
        <f>SUM(D12:D16,D18:D19,D23:D24,D28:D31,D36:D38,D41:D52,D61:D70)</f>
        <v>1534768</v>
      </c>
      <c r="E72" s="1244">
        <f t="shared" si="4"/>
        <v>0</v>
      </c>
      <c r="F72" s="1245">
        <f t="shared" si="4"/>
        <v>0</v>
      </c>
      <c r="G72" s="1246">
        <f t="shared" si="4"/>
        <v>-44000</v>
      </c>
      <c r="H72" s="1244">
        <f t="shared" si="4"/>
        <v>0</v>
      </c>
      <c r="I72" s="1245">
        <f t="shared" si="4"/>
        <v>0</v>
      </c>
      <c r="J72" s="1223">
        <f t="shared" si="4"/>
        <v>0</v>
      </c>
      <c r="K72" s="1222">
        <f>SUM(K12:K71)</f>
        <v>75185</v>
      </c>
      <c r="L72" s="1223">
        <f t="shared" si="4"/>
        <v>4395</v>
      </c>
      <c r="M72" s="1244">
        <f t="shared" si="4"/>
        <v>0</v>
      </c>
      <c r="N72" s="1245">
        <f>SUM(N12:N70)</f>
        <v>0</v>
      </c>
      <c r="O72" s="1247">
        <f>SUM(O12:O71)</f>
        <v>1570375</v>
      </c>
      <c r="P72" s="904" t="s">
        <v>0</v>
      </c>
      <c r="Q72" s="684"/>
    </row>
    <row r="73" spans="1:17">
      <c r="A73" s="927" t="s">
        <v>263</v>
      </c>
      <c r="B73" s="735" t="s">
        <v>278</v>
      </c>
      <c r="C73" s="736"/>
      <c r="D73" s="736"/>
      <c r="E73" s="914"/>
      <c r="F73" s="915"/>
      <c r="G73" s="915"/>
      <c r="H73" s="914"/>
      <c r="I73" s="915"/>
      <c r="J73" s="915"/>
      <c r="K73" s="916"/>
      <c r="L73" s="915"/>
      <c r="M73" s="914"/>
      <c r="N73" s="915"/>
      <c r="O73" s="999"/>
      <c r="P73" s="904" t="s">
        <v>0</v>
      </c>
      <c r="Q73" s="928"/>
    </row>
    <row r="74" spans="1:17">
      <c r="A74" s="927" t="s">
        <v>262</v>
      </c>
      <c r="B74" s="929"/>
      <c r="C74" s="930">
        <f>SUM(C72:C73)</f>
        <v>0</v>
      </c>
      <c r="D74" s="930"/>
      <c r="E74" s="1248"/>
      <c r="F74" s="1227">
        <f>+F72+F73</f>
        <v>0</v>
      </c>
      <c r="G74" s="1227"/>
      <c r="H74" s="1248"/>
      <c r="I74" s="1227">
        <f>+I72+I73</f>
        <v>0</v>
      </c>
      <c r="J74" s="1227"/>
      <c r="K74" s="1226"/>
      <c r="L74" s="1227"/>
      <c r="M74" s="1248"/>
      <c r="N74" s="1227">
        <f>SUM(N72:N73)</f>
        <v>0</v>
      </c>
      <c r="O74" s="1249"/>
      <c r="P74" s="904" t="s">
        <v>0</v>
      </c>
      <c r="Q74" s="684"/>
    </row>
    <row r="75" spans="1:17">
      <c r="A75" s="933" t="s">
        <v>264</v>
      </c>
      <c r="B75" s="738"/>
      <c r="C75" s="697"/>
      <c r="D75" s="697"/>
      <c r="E75" s="1237"/>
      <c r="F75" s="1208"/>
      <c r="G75" s="1208"/>
      <c r="H75" s="1237"/>
      <c r="I75" s="1208"/>
      <c r="J75" s="1208"/>
      <c r="K75" s="1104"/>
      <c r="L75" s="1208"/>
      <c r="M75" s="1237"/>
      <c r="N75" s="1208"/>
      <c r="O75" s="1095"/>
      <c r="P75" s="904" t="s">
        <v>0</v>
      </c>
      <c r="Q75" s="684"/>
    </row>
    <row r="76" spans="1:17">
      <c r="A76" s="934" t="s">
        <v>55</v>
      </c>
      <c r="B76" s="738"/>
      <c r="C76" s="697"/>
      <c r="D76" s="697"/>
      <c r="E76" s="1237"/>
      <c r="F76" s="1208"/>
      <c r="G76" s="1208"/>
      <c r="H76" s="1237"/>
      <c r="I76" s="1208"/>
      <c r="J76" s="1208"/>
      <c r="K76" s="1104"/>
      <c r="L76" s="1208"/>
      <c r="M76" s="1237"/>
      <c r="N76" s="1208"/>
      <c r="O76" s="1095"/>
      <c r="P76" s="904" t="s">
        <v>0</v>
      </c>
      <c r="Q76" s="684"/>
    </row>
    <row r="77" spans="1:17">
      <c r="A77" s="935" t="s">
        <v>103</v>
      </c>
      <c r="B77" s="735"/>
      <c r="C77" s="736"/>
      <c r="D77" s="736"/>
      <c r="E77" s="914"/>
      <c r="F77" s="915"/>
      <c r="G77" s="915"/>
      <c r="H77" s="914"/>
      <c r="I77" s="915"/>
      <c r="J77" s="915"/>
      <c r="K77" s="916"/>
      <c r="L77" s="915"/>
      <c r="M77" s="914"/>
      <c r="N77" s="915"/>
      <c r="O77" s="999"/>
      <c r="P77" s="904" t="s">
        <v>0</v>
      </c>
      <c r="Q77" s="684"/>
    </row>
    <row r="78" spans="1:17">
      <c r="A78" s="927" t="s">
        <v>265</v>
      </c>
      <c r="B78" s="735"/>
      <c r="C78" s="736">
        <f>C77+C76+C74</f>
        <v>0</v>
      </c>
      <c r="D78" s="936"/>
      <c r="E78" s="914"/>
      <c r="F78" s="915">
        <f>F77+F76+F74</f>
        <v>0</v>
      </c>
      <c r="G78" s="1232"/>
      <c r="H78" s="914"/>
      <c r="I78" s="915">
        <f>I77+I76+I74</f>
        <v>0</v>
      </c>
      <c r="J78" s="1232"/>
      <c r="K78" s="1231"/>
      <c r="L78" s="1232"/>
      <c r="M78" s="914"/>
      <c r="N78" s="915">
        <f>N77+N76+N74</f>
        <v>0</v>
      </c>
      <c r="O78" s="1250"/>
      <c r="P78" s="904" t="s">
        <v>0</v>
      </c>
      <c r="Q78" s="684"/>
    </row>
    <row r="79" spans="1:17" s="1644" customFormat="1">
      <c r="A79" s="1133"/>
      <c r="B79" s="730"/>
      <c r="C79" s="730"/>
      <c r="D79" s="1455"/>
      <c r="E79" s="1657"/>
      <c r="F79" s="1657"/>
      <c r="G79" s="1658"/>
      <c r="H79" s="1657"/>
      <c r="I79" s="1657"/>
      <c r="J79" s="1658"/>
      <c r="K79" s="1658"/>
      <c r="L79" s="1658"/>
      <c r="M79" s="1657"/>
      <c r="N79" s="1657"/>
      <c r="O79" s="1658"/>
      <c r="P79" s="904" t="s">
        <v>0</v>
      </c>
      <c r="Q79" s="684"/>
    </row>
    <row r="80" spans="1:17">
      <c r="A80" s="939" t="s">
        <v>814</v>
      </c>
      <c r="B80" s="684"/>
      <c r="C80" s="939"/>
      <c r="D80" s="939"/>
      <c r="E80" s="939"/>
      <c r="F80" s="939"/>
      <c r="G80" s="939"/>
      <c r="H80" s="942"/>
      <c r="I80" s="942"/>
      <c r="J80" s="942"/>
      <c r="K80" s="942"/>
      <c r="L80" s="942"/>
      <c r="M80" s="942"/>
      <c r="N80" s="942"/>
      <c r="O80" s="942"/>
      <c r="P80" s="904" t="s">
        <v>0</v>
      </c>
      <c r="Q80" s="684"/>
    </row>
    <row r="81" spans="1:17">
      <c r="A81" s="939"/>
      <c r="B81" s="684"/>
      <c r="C81" s="939"/>
      <c r="D81" s="939"/>
      <c r="E81" s="939"/>
      <c r="F81" s="939"/>
      <c r="G81" s="939"/>
      <c r="H81" s="942"/>
      <c r="I81" s="942"/>
      <c r="J81" s="942"/>
      <c r="K81" s="942"/>
      <c r="L81" s="942"/>
      <c r="M81" s="942"/>
      <c r="N81" s="942"/>
      <c r="O81" s="942"/>
      <c r="P81" s="904" t="s">
        <v>0</v>
      </c>
      <c r="Q81" s="684"/>
    </row>
    <row r="82" spans="1:17">
      <c r="A82" s="939" t="s">
        <v>819</v>
      </c>
      <c r="B82" s="940"/>
      <c r="C82" s="940"/>
      <c r="D82" s="940"/>
      <c r="E82" s="940"/>
      <c r="F82" s="940"/>
      <c r="G82" s="940"/>
      <c r="H82" s="942"/>
      <c r="I82" s="942"/>
      <c r="J82" s="942"/>
      <c r="K82" s="942"/>
      <c r="L82" s="942"/>
      <c r="M82" s="942"/>
      <c r="N82" s="942"/>
      <c r="O82" s="942"/>
      <c r="P82" s="997" t="s">
        <v>24</v>
      </c>
      <c r="Q82" s="684"/>
    </row>
    <row r="83" spans="1:17">
      <c r="A83" s="939"/>
      <c r="B83" s="684"/>
      <c r="C83" s="939"/>
      <c r="D83" s="939"/>
      <c r="E83" s="942"/>
      <c r="F83" s="942"/>
      <c r="G83" s="942"/>
      <c r="H83" s="942"/>
      <c r="I83" s="942"/>
      <c r="J83" s="942"/>
      <c r="K83" s="942"/>
      <c r="L83" s="942"/>
      <c r="M83" s="942"/>
      <c r="N83" s="942"/>
      <c r="O83" s="942"/>
      <c r="P83" s="904"/>
      <c r="Q83" s="684"/>
    </row>
    <row r="84" spans="1:17">
      <c r="A84" s="939"/>
      <c r="B84" s="684"/>
      <c r="C84" s="939"/>
      <c r="D84" s="939"/>
      <c r="E84" s="942"/>
      <c r="F84" s="942"/>
      <c r="G84" s="942"/>
      <c r="H84" s="942"/>
      <c r="I84" s="942"/>
      <c r="J84" s="942"/>
      <c r="K84" s="942"/>
      <c r="L84" s="942"/>
      <c r="M84" s="942"/>
      <c r="N84" s="942"/>
      <c r="O84" s="942"/>
      <c r="P84" s="904"/>
      <c r="Q84" s="684"/>
    </row>
  </sheetData>
  <mergeCells count="15">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75" right="0.75" top="1" bottom="1" header="0.5" footer="0.5"/>
  <pageSetup scale="48" orientation="landscape" r:id="rId1"/>
  <headerFooter alignWithMargins="0">
    <oddFooter>&amp;C&amp;"Times New Roman,Regular"Exhibit G:  Crosswalk of 2011 Availability&amp;R&amp;"Times New Roman,Regular"State and Local Law Enforcement Assistance</oddFooter>
  </headerFooter>
  <rowBreaks count="1" manualBreakCount="1">
    <brk id="40" max="14" man="1"/>
  </rowBreaks>
</worksheet>
</file>

<file path=xl/worksheets/sheet28.xml><?xml version="1.0" encoding="utf-8"?>
<worksheet xmlns="http://schemas.openxmlformats.org/spreadsheetml/2006/main" xmlns:r="http://schemas.openxmlformats.org/officeDocument/2006/relationships">
  <sheetPr>
    <pageSetUpPr fitToPage="1"/>
  </sheetPr>
  <dimension ref="A1:AF21"/>
  <sheetViews>
    <sheetView showGridLines="0" showOutlineSymbols="0" view="pageBreakPreview" zoomScale="75" zoomScaleNormal="64" zoomScaleSheetLayoutView="75" workbookViewId="0">
      <selection activeCell="N11" sqref="N11"/>
    </sheetView>
  </sheetViews>
  <sheetFormatPr defaultColWidth="9.6640625" defaultRowHeight="15.75"/>
  <cols>
    <col min="1" max="1" width="4.44140625" style="684" customWidth="1"/>
    <col min="2" max="2" width="45.6640625" style="684" customWidth="1"/>
    <col min="3" max="3" width="6.5546875" style="684" customWidth="1"/>
    <col min="4" max="4" width="5.6640625" style="684" customWidth="1"/>
    <col min="5" max="5" width="10.44140625" style="684" bestFit="1" customWidth="1"/>
    <col min="6" max="7" width="5.6640625" style="684" customWidth="1"/>
    <col min="8" max="8" width="11.77734375" style="684" customWidth="1"/>
    <col min="9" max="10" width="5.6640625" style="684" customWidth="1"/>
    <col min="11" max="11" width="10.44140625" style="684" bestFit="1" customWidth="1"/>
    <col min="12" max="13" width="5.6640625" style="684" customWidth="1"/>
    <col min="14" max="14" width="8.33203125" style="684" customWidth="1"/>
    <col min="15" max="15" width="1.21875" style="1012" customWidth="1"/>
    <col min="16" max="16" width="27.5546875" style="684" customWidth="1"/>
    <col min="17" max="20" width="7.6640625" style="684" customWidth="1"/>
    <col min="21" max="21" width="3.6640625" style="684" customWidth="1"/>
    <col min="22" max="24" width="7.6640625" style="684" customWidth="1"/>
    <col min="25" max="25" width="3.6640625" style="684" customWidth="1"/>
    <col min="26" max="28" width="7.6640625" style="684" customWidth="1"/>
    <col min="29" max="29" width="3.6640625" style="684" customWidth="1"/>
    <col min="30" max="32" width="7.6640625" style="684" customWidth="1"/>
    <col min="33" max="16384" width="9.6640625" style="684"/>
  </cols>
  <sheetData>
    <row r="1" spans="1:21" ht="20.25">
      <c r="A1" s="2061" t="s">
        <v>31</v>
      </c>
      <c r="B1" s="2240"/>
      <c r="C1" s="2240"/>
      <c r="D1" s="2240"/>
      <c r="E1" s="2240"/>
      <c r="F1" s="2240"/>
      <c r="G1" s="2240"/>
      <c r="H1" s="2240"/>
      <c r="I1" s="2240"/>
      <c r="J1" s="2240"/>
      <c r="K1" s="2240"/>
      <c r="L1" s="2240"/>
      <c r="M1" s="2240"/>
      <c r="N1" s="2240"/>
      <c r="O1" s="997" t="s">
        <v>0</v>
      </c>
      <c r="P1" s="939"/>
      <c r="Q1" s="939"/>
      <c r="R1" s="939"/>
      <c r="S1" s="939"/>
      <c r="T1" s="939"/>
      <c r="U1" s="939"/>
    </row>
    <row r="2" spans="1:21" ht="13.9" customHeight="1">
      <c r="A2" s="504"/>
      <c r="O2" s="997" t="s">
        <v>0</v>
      </c>
      <c r="P2" s="939"/>
      <c r="Q2" s="939"/>
      <c r="R2" s="939"/>
      <c r="S2" s="939"/>
      <c r="T2" s="939"/>
      <c r="U2" s="939"/>
    </row>
    <row r="3" spans="1:21" ht="18.75">
      <c r="A3" s="2241" t="s">
        <v>101</v>
      </c>
      <c r="B3" s="2242"/>
      <c r="C3" s="2242"/>
      <c r="D3" s="2242"/>
      <c r="E3" s="2242"/>
      <c r="F3" s="2242"/>
      <c r="G3" s="2242"/>
      <c r="H3" s="2242"/>
      <c r="I3" s="2242"/>
      <c r="J3" s="2242"/>
      <c r="K3" s="2242"/>
      <c r="L3" s="2242"/>
      <c r="M3" s="2242"/>
      <c r="N3" s="2242"/>
      <c r="O3" s="997" t="s">
        <v>0</v>
      </c>
      <c r="P3" s="939"/>
      <c r="Q3" s="939"/>
      <c r="R3" s="939"/>
      <c r="S3" s="939"/>
      <c r="T3" s="939"/>
      <c r="U3" s="939"/>
    </row>
    <row r="4" spans="1:21" ht="16.5">
      <c r="A4" s="2243" t="str">
        <f>+'B. Summ of Reqs - SLLEA '!A5</f>
        <v>Office of Justice Programs</v>
      </c>
      <c r="B4" s="2244"/>
      <c r="C4" s="2244"/>
      <c r="D4" s="2244"/>
      <c r="E4" s="2244"/>
      <c r="F4" s="2244"/>
      <c r="G4" s="2244"/>
      <c r="H4" s="2244"/>
      <c r="I4" s="2244"/>
      <c r="J4" s="2244"/>
      <c r="K4" s="2244"/>
      <c r="L4" s="2244"/>
      <c r="M4" s="2244"/>
      <c r="N4" s="2244"/>
      <c r="O4" s="997" t="s">
        <v>0</v>
      </c>
      <c r="P4" s="939"/>
      <c r="Q4" s="939"/>
      <c r="R4" s="939"/>
      <c r="S4" s="939"/>
      <c r="T4" s="939"/>
      <c r="U4" s="939"/>
    </row>
    <row r="5" spans="1:21" ht="16.5">
      <c r="A5" s="2243" t="s">
        <v>482</v>
      </c>
      <c r="B5" s="2242"/>
      <c r="C5" s="2242"/>
      <c r="D5" s="2242"/>
      <c r="E5" s="2242"/>
      <c r="F5" s="2242"/>
      <c r="G5" s="2242"/>
      <c r="H5" s="2242"/>
      <c r="I5" s="2242"/>
      <c r="J5" s="2242"/>
      <c r="K5" s="2242"/>
      <c r="L5" s="2242"/>
      <c r="M5" s="2242"/>
      <c r="N5" s="2242"/>
      <c r="O5" s="997" t="s">
        <v>0</v>
      </c>
      <c r="P5" s="939"/>
      <c r="Q5" s="939"/>
      <c r="R5" s="939"/>
      <c r="S5" s="939"/>
      <c r="T5" s="939"/>
      <c r="U5" s="939"/>
    </row>
    <row r="6" spans="1:21">
      <c r="A6" s="2245" t="s">
        <v>257</v>
      </c>
      <c r="B6" s="2244"/>
      <c r="C6" s="2244"/>
      <c r="D6" s="2244"/>
      <c r="E6" s="2244"/>
      <c r="F6" s="2244"/>
      <c r="G6" s="2244"/>
      <c r="H6" s="2244"/>
      <c r="I6" s="2244"/>
      <c r="J6" s="2244"/>
      <c r="K6" s="2244"/>
      <c r="L6" s="2244"/>
      <c r="M6" s="2244"/>
      <c r="N6" s="2244"/>
      <c r="O6" s="997" t="s">
        <v>0</v>
      </c>
      <c r="P6" s="939"/>
      <c r="Q6" s="939"/>
      <c r="R6" s="939"/>
      <c r="S6" s="939"/>
      <c r="T6" s="939"/>
      <c r="U6" s="939"/>
    </row>
    <row r="7" spans="1:21">
      <c r="F7" s="998"/>
      <c r="G7" s="998"/>
      <c r="H7" s="998"/>
      <c r="O7" s="997" t="s">
        <v>0</v>
      </c>
      <c r="P7" s="939"/>
      <c r="Q7" s="939"/>
      <c r="R7" s="939"/>
      <c r="S7" s="939"/>
      <c r="T7" s="939"/>
      <c r="U7" s="939"/>
    </row>
    <row r="8" spans="1:21">
      <c r="A8" s="2112" t="s">
        <v>273</v>
      </c>
      <c r="B8" s="2246"/>
      <c r="C8" s="2249" t="s">
        <v>351</v>
      </c>
      <c r="D8" s="2250"/>
      <c r="E8" s="2251"/>
      <c r="F8" s="2249" t="s">
        <v>352</v>
      </c>
      <c r="G8" s="2250"/>
      <c r="H8" s="2251"/>
      <c r="I8" s="2249" t="s">
        <v>42</v>
      </c>
      <c r="J8" s="2250"/>
      <c r="K8" s="2251"/>
      <c r="L8" s="2249" t="s">
        <v>44</v>
      </c>
      <c r="M8" s="2250"/>
      <c r="N8" s="2251"/>
      <c r="O8" s="997" t="s">
        <v>0</v>
      </c>
      <c r="P8" s="939"/>
      <c r="Q8" s="939"/>
      <c r="R8" s="939"/>
      <c r="S8" s="939"/>
      <c r="T8" s="939"/>
      <c r="U8" s="939"/>
    </row>
    <row r="9" spans="1:21" ht="16.5" thickBot="1">
      <c r="A9" s="2247"/>
      <c r="B9" s="2248"/>
      <c r="C9" s="905" t="s">
        <v>277</v>
      </c>
      <c r="D9" s="906" t="s">
        <v>49</v>
      </c>
      <c r="E9" s="909" t="s">
        <v>279</v>
      </c>
      <c r="F9" s="905" t="s">
        <v>277</v>
      </c>
      <c r="G9" s="906" t="s">
        <v>49</v>
      </c>
      <c r="H9" s="906" t="s">
        <v>279</v>
      </c>
      <c r="I9" s="905" t="s">
        <v>277</v>
      </c>
      <c r="J9" s="906" t="s">
        <v>49</v>
      </c>
      <c r="K9" s="906" t="s">
        <v>279</v>
      </c>
      <c r="L9" s="905" t="s">
        <v>277</v>
      </c>
      <c r="M9" s="906" t="s">
        <v>49</v>
      </c>
      <c r="N9" s="909" t="s">
        <v>279</v>
      </c>
      <c r="O9" s="997" t="s">
        <v>0</v>
      </c>
      <c r="P9" s="939"/>
      <c r="Q9" s="939"/>
      <c r="R9" s="939"/>
      <c r="S9" s="939"/>
      <c r="T9" s="939"/>
      <c r="U9" s="939"/>
    </row>
    <row r="10" spans="1:21">
      <c r="A10" s="2252" t="s">
        <v>616</v>
      </c>
      <c r="B10" s="2253"/>
      <c r="C10" s="738"/>
      <c r="D10" s="697"/>
      <c r="E10" s="667">
        <v>829</v>
      </c>
      <c r="F10" s="738"/>
      <c r="G10" s="697"/>
      <c r="H10" s="697">
        <v>1150</v>
      </c>
      <c r="I10" s="738"/>
      <c r="J10" s="697"/>
      <c r="K10" s="697">
        <v>150</v>
      </c>
      <c r="L10" s="738"/>
      <c r="M10" s="697"/>
      <c r="N10" s="667">
        <f>K10-E10</f>
        <v>-679</v>
      </c>
      <c r="O10" s="997" t="s">
        <v>0</v>
      </c>
      <c r="P10" s="939"/>
      <c r="Q10" s="939"/>
      <c r="R10" s="939"/>
      <c r="S10" s="939"/>
      <c r="T10" s="939"/>
      <c r="U10" s="939"/>
    </row>
    <row r="11" spans="1:21">
      <c r="A11" s="2137" t="s">
        <v>474</v>
      </c>
      <c r="B11" s="2139"/>
      <c r="C11" s="738"/>
      <c r="D11" s="697"/>
      <c r="E11" s="667">
        <v>881</v>
      </c>
      <c r="F11" s="738"/>
      <c r="G11" s="697"/>
      <c r="H11" s="697">
        <v>2500</v>
      </c>
      <c r="I11" s="738"/>
      <c r="J11" s="697"/>
      <c r="K11" s="697">
        <v>1200</v>
      </c>
      <c r="L11" s="738"/>
      <c r="M11" s="697"/>
      <c r="N11" s="667">
        <f t="shared" ref="N11:N15" si="0">K11-E11</f>
        <v>319</v>
      </c>
      <c r="O11" s="997" t="s">
        <v>0</v>
      </c>
      <c r="P11" s="939"/>
      <c r="Q11" s="939"/>
      <c r="R11" s="939"/>
      <c r="S11" s="939"/>
      <c r="T11" s="939"/>
      <c r="U11" s="939"/>
    </row>
    <row r="12" spans="1:21">
      <c r="A12" s="2137" t="s">
        <v>375</v>
      </c>
      <c r="B12" s="2139"/>
      <c r="C12" s="738"/>
      <c r="D12" s="697"/>
      <c r="E12" s="667">
        <v>1304</v>
      </c>
      <c r="F12" s="738"/>
      <c r="G12" s="697"/>
      <c r="H12" s="697">
        <v>2332</v>
      </c>
      <c r="I12" s="738"/>
      <c r="J12" s="697"/>
      <c r="K12" s="697">
        <v>4000</v>
      </c>
      <c r="L12" s="738"/>
      <c r="M12" s="697"/>
      <c r="N12" s="667">
        <f t="shared" si="0"/>
        <v>2696</v>
      </c>
      <c r="O12" s="997" t="s">
        <v>0</v>
      </c>
      <c r="P12" s="939"/>
      <c r="Q12" s="939"/>
      <c r="R12" s="939"/>
      <c r="S12" s="939"/>
      <c r="T12" s="939"/>
      <c r="U12" s="939"/>
    </row>
    <row r="13" spans="1:21">
      <c r="A13" s="1252" t="s">
        <v>374</v>
      </c>
      <c r="B13" s="1253"/>
      <c r="C13" s="1240"/>
      <c r="D13" s="1155"/>
      <c r="E13" s="1125">
        <v>4924</v>
      </c>
      <c r="F13" s="1240"/>
      <c r="G13" s="1155"/>
      <c r="H13" s="1155">
        <v>6000</v>
      </c>
      <c r="I13" s="1240"/>
      <c r="J13" s="1155"/>
      <c r="K13" s="1155">
        <v>16340</v>
      </c>
      <c r="L13" s="1240"/>
      <c r="M13" s="1155"/>
      <c r="N13" s="1125">
        <f t="shared" si="0"/>
        <v>11416</v>
      </c>
      <c r="O13" s="997" t="s">
        <v>0</v>
      </c>
      <c r="P13" s="939"/>
      <c r="Q13" s="939"/>
      <c r="R13" s="939"/>
      <c r="S13" s="939"/>
      <c r="T13" s="939"/>
      <c r="U13" s="939"/>
    </row>
    <row r="14" spans="1:21">
      <c r="A14" s="1252" t="s">
        <v>376</v>
      </c>
      <c r="B14" s="1253"/>
      <c r="C14" s="1240"/>
      <c r="D14" s="1155"/>
      <c r="E14" s="1125">
        <v>0</v>
      </c>
      <c r="F14" s="1240"/>
      <c r="G14" s="1155"/>
      <c r="H14" s="1155">
        <v>2000</v>
      </c>
      <c r="I14" s="1240"/>
      <c r="J14" s="1155"/>
      <c r="K14" s="1155">
        <v>0</v>
      </c>
      <c r="L14" s="1240"/>
      <c r="M14" s="1155"/>
      <c r="N14" s="1125">
        <f t="shared" si="0"/>
        <v>0</v>
      </c>
      <c r="O14" s="997" t="s">
        <v>0</v>
      </c>
      <c r="P14" s="939"/>
      <c r="Q14" s="939"/>
      <c r="R14" s="939"/>
      <c r="S14" s="939"/>
      <c r="T14" s="939"/>
      <c r="U14" s="939"/>
    </row>
    <row r="15" spans="1:21">
      <c r="A15" s="2254" t="s">
        <v>617</v>
      </c>
      <c r="B15" s="2255"/>
      <c r="C15" s="914"/>
      <c r="D15" s="915"/>
      <c r="E15" s="999">
        <v>811</v>
      </c>
      <c r="F15" s="914"/>
      <c r="G15" s="915"/>
      <c r="H15" s="915">
        <v>3000</v>
      </c>
      <c r="I15" s="914"/>
      <c r="J15" s="915"/>
      <c r="K15" s="915">
        <v>7000</v>
      </c>
      <c r="L15" s="735"/>
      <c r="M15" s="736"/>
      <c r="N15" s="737">
        <f t="shared" si="0"/>
        <v>6189</v>
      </c>
      <c r="O15" s="997" t="s">
        <v>0</v>
      </c>
      <c r="P15" s="1002"/>
      <c r="Q15" s="1002"/>
      <c r="R15" s="939"/>
      <c r="S15" s="939"/>
      <c r="T15" s="939"/>
      <c r="U15" s="939"/>
    </row>
    <row r="16" spans="1:21">
      <c r="A16" s="2239"/>
      <c r="B16" s="2141"/>
      <c r="C16" s="1003"/>
      <c r="D16" s="1004"/>
      <c r="E16" s="1005"/>
      <c r="F16" s="1003"/>
      <c r="G16" s="1006"/>
      <c r="H16" s="1006"/>
      <c r="I16" s="1003"/>
      <c r="J16" s="1006"/>
      <c r="K16" s="1006"/>
      <c r="L16" s="1003"/>
      <c r="M16" s="1006"/>
      <c r="N16" s="1005"/>
      <c r="O16" s="997" t="s">
        <v>0</v>
      </c>
      <c r="P16" s="939"/>
      <c r="Q16" s="939"/>
      <c r="R16" s="939"/>
      <c r="S16" s="939"/>
      <c r="T16" s="939"/>
      <c r="U16" s="939"/>
    </row>
    <row r="17" spans="1:32">
      <c r="A17" s="2258" t="s">
        <v>274</v>
      </c>
      <c r="B17" s="2259"/>
      <c r="C17" s="919">
        <f>SUM(C10:C16)</f>
        <v>0</v>
      </c>
      <c r="D17" s="920">
        <f t="shared" ref="D17:M17" si="1">SUM(D10:D16)</f>
        <v>0</v>
      </c>
      <c r="E17" s="926">
        <f t="shared" si="1"/>
        <v>8749</v>
      </c>
      <c r="F17" s="919">
        <f t="shared" si="1"/>
        <v>0</v>
      </c>
      <c r="G17" s="920">
        <f t="shared" si="1"/>
        <v>0</v>
      </c>
      <c r="H17" s="921">
        <f>SUM(H10:H16)</f>
        <v>16982</v>
      </c>
      <c r="I17" s="919">
        <f t="shared" si="1"/>
        <v>0</v>
      </c>
      <c r="J17" s="920">
        <f t="shared" si="1"/>
        <v>0</v>
      </c>
      <c r="K17" s="921">
        <f t="shared" si="1"/>
        <v>28690</v>
      </c>
      <c r="L17" s="919">
        <f>SUM(L10:L16)</f>
        <v>0</v>
      </c>
      <c r="M17" s="920">
        <f t="shared" si="1"/>
        <v>0</v>
      </c>
      <c r="N17" s="926">
        <f>SUM(N10:N16)</f>
        <v>19941</v>
      </c>
      <c r="O17" s="997" t="s">
        <v>24</v>
      </c>
      <c r="P17" s="939"/>
      <c r="Q17" s="939"/>
      <c r="R17" s="939"/>
      <c r="S17" s="939"/>
      <c r="T17" s="939"/>
      <c r="U17" s="939"/>
    </row>
    <row r="18" spans="1:32">
      <c r="A18" s="1007"/>
      <c r="B18" s="1007"/>
      <c r="C18" s="1008"/>
      <c r="D18" s="1008"/>
      <c r="E18" s="1009"/>
      <c r="F18" s="1008"/>
      <c r="G18" s="1008"/>
      <c r="H18" s="1009"/>
      <c r="I18" s="1008"/>
      <c r="J18" s="1008"/>
      <c r="K18" s="1009"/>
      <c r="L18" s="1008"/>
      <c r="M18" s="1008"/>
      <c r="N18" s="1009"/>
      <c r="O18" s="997"/>
      <c r="P18" s="939"/>
      <c r="Q18" s="939"/>
      <c r="R18" s="939"/>
      <c r="S18" s="939"/>
      <c r="T18" s="939"/>
      <c r="U18" s="939"/>
    </row>
    <row r="19" spans="1:32">
      <c r="A19" s="1007"/>
      <c r="B19" s="1007"/>
      <c r="C19" s="1008"/>
      <c r="D19" s="1008"/>
      <c r="E19" s="1009"/>
      <c r="F19" s="1008"/>
      <c r="G19" s="1008"/>
      <c r="H19" s="1009"/>
      <c r="I19" s="1008"/>
      <c r="J19" s="1008"/>
      <c r="K19" s="1009"/>
      <c r="L19" s="1008"/>
      <c r="M19" s="1008"/>
      <c r="N19" s="1009"/>
      <c r="O19" s="997"/>
      <c r="P19" s="939"/>
      <c r="Q19" s="939"/>
      <c r="R19" s="939"/>
      <c r="S19" s="939"/>
      <c r="T19" s="939"/>
      <c r="U19" s="939"/>
    </row>
    <row r="20" spans="1:32">
      <c r="A20" s="2260"/>
      <c r="B20" s="2261"/>
      <c r="C20" s="2261"/>
      <c r="D20" s="2261"/>
      <c r="E20" s="2261"/>
      <c r="F20" s="2261"/>
      <c r="G20" s="2261"/>
      <c r="H20" s="2261"/>
      <c r="I20" s="2261"/>
      <c r="J20" s="2261"/>
      <c r="K20" s="2261"/>
      <c r="L20" s="2261"/>
      <c r="M20" s="2261"/>
      <c r="N20" s="2261"/>
      <c r="O20" s="997"/>
      <c r="P20" s="1010"/>
      <c r="Q20" s="1010"/>
      <c r="R20" s="1010"/>
      <c r="S20" s="1010"/>
      <c r="T20" s="1010"/>
      <c r="U20" s="1010"/>
      <c r="V20" s="1010"/>
      <c r="W20" s="1010"/>
      <c r="X20" s="1010"/>
      <c r="Y20" s="1010"/>
      <c r="Z20" s="1010"/>
      <c r="AA20" s="1010"/>
      <c r="AB20" s="1010"/>
      <c r="AC20" s="1010"/>
      <c r="AD20" s="1010"/>
      <c r="AE20" s="1010"/>
      <c r="AF20" s="1010"/>
    </row>
    <row r="21" spans="1:32">
      <c r="A21" s="939"/>
      <c r="B21" s="939"/>
      <c r="C21" s="1011"/>
      <c r="D21" s="1011"/>
      <c r="E21" s="1011"/>
      <c r="F21" s="1011"/>
      <c r="G21" s="1011"/>
      <c r="H21" s="1011"/>
      <c r="I21" s="1011"/>
      <c r="J21" s="1011"/>
      <c r="K21" s="1011"/>
      <c r="L21" s="1011"/>
      <c r="M21" s="1011"/>
      <c r="N21" s="1011"/>
      <c r="P21" s="1010"/>
      <c r="Q21" s="1010"/>
      <c r="R21" s="1010"/>
      <c r="S21" s="1010"/>
      <c r="T21" s="1010"/>
      <c r="U21" s="1010"/>
      <c r="V21" s="1010"/>
      <c r="W21" s="1010"/>
      <c r="X21" s="1010"/>
      <c r="Y21" s="1010"/>
      <c r="Z21" s="1010"/>
      <c r="AA21" s="1010"/>
      <c r="AB21" s="1010"/>
      <c r="AC21" s="1010"/>
      <c r="AD21" s="1010"/>
      <c r="AE21" s="1010"/>
      <c r="AF21" s="1010"/>
    </row>
  </sheetData>
  <mergeCells count="17">
    <mergeCell ref="A20:N20"/>
    <mergeCell ref="A10:B10"/>
    <mergeCell ref="A11:B11"/>
    <mergeCell ref="A12:B12"/>
    <mergeCell ref="A15:B15"/>
    <mergeCell ref="A16:B16"/>
    <mergeCell ref="A17:B17"/>
    <mergeCell ref="A1:N1"/>
    <mergeCell ref="A3:N3"/>
    <mergeCell ref="A4:N4"/>
    <mergeCell ref="A5:N5"/>
    <mergeCell ref="A6:N6"/>
    <mergeCell ref="A8:B9"/>
    <mergeCell ref="C8:E8"/>
    <mergeCell ref="F8:H8"/>
    <mergeCell ref="I8:K8"/>
    <mergeCell ref="L8:N8"/>
  </mergeCells>
  <printOptions horizontalCentered="1"/>
  <pageMargins left="1" right="1" top="0.5" bottom="0.55000000000000004" header="0" footer="0"/>
  <pageSetup scale="70" orientation="landscape" horizontalDpi="300" verticalDpi="300" r:id="rId1"/>
  <headerFooter alignWithMargins="0">
    <oddFooter>&amp;C&amp;"Times New Roman,Regular"Exhibit H - Summary of Reimbursable Resources&amp;R&amp;"Times New Roman,Regular"State and Local Law Enforcement Assistance</oddFooter>
  </headerFooter>
</worksheet>
</file>

<file path=xl/worksheets/sheet29.xml><?xml version="1.0" encoding="utf-8"?>
<worksheet xmlns="http://schemas.openxmlformats.org/spreadsheetml/2006/main" xmlns:r="http://schemas.openxmlformats.org/officeDocument/2006/relationships">
  <dimension ref="A1:Q55"/>
  <sheetViews>
    <sheetView view="pageBreakPreview" zoomScale="55" zoomScaleNormal="75" zoomScaleSheetLayoutView="55" workbookViewId="0">
      <selection activeCell="N55" sqref="N55"/>
    </sheetView>
  </sheetViews>
  <sheetFormatPr defaultRowHeight="15"/>
  <cols>
    <col min="1" max="1" width="57.44140625" style="949" customWidth="1"/>
    <col min="2" max="2" width="6.21875" style="949" customWidth="1"/>
    <col min="3" max="3" width="13.6640625" style="820" customWidth="1"/>
    <col min="4" max="4" width="6.77734375" style="949" customWidth="1"/>
    <col min="5" max="5" width="12.21875" style="820" customWidth="1"/>
    <col min="6" max="6" width="6.21875" style="949" customWidth="1"/>
    <col min="7" max="7" width="12.77734375" style="820" customWidth="1"/>
    <col min="8" max="8" width="9.77734375" style="820" customWidth="1"/>
    <col min="9" max="9" width="13.109375" style="820" customWidth="1"/>
    <col min="10" max="10" width="9.77734375" style="820" customWidth="1"/>
    <col min="11" max="11" width="11.88671875" style="820" customWidth="1"/>
    <col min="12" max="12" width="8.109375" style="820" customWidth="1"/>
    <col min="13" max="13" width="11" style="820" customWidth="1"/>
    <col min="14" max="14" width="8.33203125" style="949" customWidth="1"/>
    <col min="15" max="15" width="12.21875" style="820" customWidth="1"/>
    <col min="16" max="16" width="8.77734375" style="1313" customWidth="1"/>
    <col min="17" max="17" width="8.88671875" style="2585"/>
    <col min="18" max="16384" width="8.88671875" style="949"/>
  </cols>
  <sheetData>
    <row r="1" spans="1:17" s="1259" customFormat="1" ht="15.75" customHeight="1">
      <c r="A1" s="1254" t="s">
        <v>29</v>
      </c>
      <c r="B1" s="1255"/>
      <c r="C1" s="1256"/>
      <c r="D1" s="1255"/>
      <c r="E1" s="1256"/>
      <c r="F1" s="1255"/>
      <c r="G1" s="1256"/>
      <c r="H1" s="1256"/>
      <c r="I1" s="1256"/>
      <c r="J1" s="1256"/>
      <c r="K1" s="1256"/>
      <c r="L1" s="1256"/>
      <c r="M1" s="1256"/>
      <c r="N1" s="1255"/>
      <c r="O1" s="1257"/>
      <c r="P1" s="1258" t="s">
        <v>0</v>
      </c>
      <c r="Q1" s="2583" t="s">
        <v>0</v>
      </c>
    </row>
    <row r="2" spans="1:17" s="1260" customFormat="1" ht="15.75" customHeight="1">
      <c r="A2" s="2415"/>
      <c r="B2" s="2415"/>
      <c r="C2" s="2415"/>
      <c r="D2" s="2415"/>
      <c r="E2" s="2415"/>
      <c r="F2" s="2415"/>
      <c r="G2" s="2415"/>
      <c r="H2" s="2415"/>
      <c r="I2" s="2415"/>
      <c r="J2" s="2415"/>
      <c r="K2" s="2415"/>
      <c r="L2" s="2415"/>
      <c r="M2" s="2415"/>
      <c r="N2" s="2415"/>
      <c r="O2" s="2416"/>
      <c r="P2" s="1258" t="s">
        <v>0</v>
      </c>
      <c r="Q2" s="2583" t="s">
        <v>0</v>
      </c>
    </row>
    <row r="3" spans="1:17" s="1260" customFormat="1" ht="15.75" customHeight="1">
      <c r="A3" s="2417" t="s">
        <v>4</v>
      </c>
      <c r="B3" s="2417"/>
      <c r="C3" s="2417"/>
      <c r="D3" s="2417"/>
      <c r="E3" s="2417"/>
      <c r="F3" s="2417"/>
      <c r="G3" s="2417"/>
      <c r="H3" s="2417"/>
      <c r="I3" s="2417"/>
      <c r="J3" s="2417"/>
      <c r="K3" s="2417"/>
      <c r="L3" s="2417"/>
      <c r="M3" s="2417"/>
      <c r="N3" s="2417"/>
      <c r="O3" s="2417"/>
      <c r="P3" s="1258" t="s">
        <v>0</v>
      </c>
      <c r="Q3" s="2583" t="s">
        <v>0</v>
      </c>
    </row>
    <row r="4" spans="1:17" s="1260" customFormat="1" ht="15.75" customHeight="1">
      <c r="A4" s="2418" t="str">
        <f>+'B. Summ of Reqs - SLLEA '!A5</f>
        <v>Office of Justice Programs</v>
      </c>
      <c r="B4" s="2418"/>
      <c r="C4" s="2418"/>
      <c r="D4" s="2418"/>
      <c r="E4" s="2418"/>
      <c r="F4" s="2418"/>
      <c r="G4" s="2418"/>
      <c r="H4" s="2418"/>
      <c r="I4" s="2418"/>
      <c r="J4" s="2418"/>
      <c r="K4" s="2418"/>
      <c r="L4" s="2418"/>
      <c r="M4" s="2418"/>
      <c r="N4" s="2418"/>
      <c r="O4" s="2418"/>
      <c r="P4" s="1258" t="s">
        <v>0</v>
      </c>
      <c r="Q4" s="2583" t="s">
        <v>0</v>
      </c>
    </row>
    <row r="5" spans="1:17" s="1260" customFormat="1" ht="15.75" customHeight="1">
      <c r="A5" s="2418" t="s">
        <v>482</v>
      </c>
      <c r="B5" s="2418"/>
      <c r="C5" s="2418"/>
      <c r="D5" s="2418"/>
      <c r="E5" s="2418"/>
      <c r="F5" s="2418"/>
      <c r="G5" s="2418"/>
      <c r="H5" s="2418"/>
      <c r="I5" s="2418"/>
      <c r="J5" s="2418"/>
      <c r="K5" s="2418"/>
      <c r="L5" s="2418"/>
      <c r="M5" s="2418"/>
      <c r="N5" s="2418"/>
      <c r="O5" s="2418"/>
      <c r="P5" s="1258" t="s">
        <v>0</v>
      </c>
      <c r="Q5" s="2583" t="s">
        <v>0</v>
      </c>
    </row>
    <row r="6" spans="1:17" s="1260" customFormat="1" ht="15.75" customHeight="1">
      <c r="A6" s="2418" t="s">
        <v>257</v>
      </c>
      <c r="B6" s="2418"/>
      <c r="C6" s="2418"/>
      <c r="D6" s="2418"/>
      <c r="E6" s="2418"/>
      <c r="F6" s="2418"/>
      <c r="G6" s="2418"/>
      <c r="H6" s="2418"/>
      <c r="I6" s="2418"/>
      <c r="J6" s="2418"/>
      <c r="K6" s="2418"/>
      <c r="L6" s="2418"/>
      <c r="M6" s="2418"/>
      <c r="N6" s="2418"/>
      <c r="O6" s="2418"/>
      <c r="P6" s="1258" t="s">
        <v>0</v>
      </c>
      <c r="Q6" s="2583" t="s">
        <v>0</v>
      </c>
    </row>
    <row r="7" spans="1:17" s="1260" customFormat="1" ht="15.75" customHeight="1" thickBot="1">
      <c r="A7" s="2418"/>
      <c r="B7" s="2418"/>
      <c r="C7" s="2418"/>
      <c r="D7" s="2418"/>
      <c r="E7" s="2418"/>
      <c r="F7" s="2418"/>
      <c r="G7" s="2418"/>
      <c r="H7" s="2418"/>
      <c r="I7" s="2418"/>
      <c r="J7" s="2418"/>
      <c r="K7" s="2418"/>
      <c r="L7" s="2418"/>
      <c r="M7" s="2418"/>
      <c r="N7" s="2418"/>
      <c r="O7" s="2418"/>
      <c r="P7" s="1258" t="s">
        <v>0</v>
      </c>
      <c r="Q7" s="2583" t="s">
        <v>0</v>
      </c>
    </row>
    <row r="8" spans="1:17" s="1251" customFormat="1" ht="21.95" customHeight="1">
      <c r="A8" s="2398"/>
      <c r="B8" s="2402" t="s">
        <v>482</v>
      </c>
      <c r="C8" s="2403"/>
      <c r="D8" s="2403"/>
      <c r="E8" s="2403"/>
      <c r="F8" s="2403"/>
      <c r="G8" s="2403"/>
      <c r="H8" s="2403"/>
      <c r="I8" s="2403"/>
      <c r="J8" s="2403"/>
      <c r="K8" s="2403"/>
      <c r="L8" s="2403"/>
      <c r="M8" s="2403"/>
      <c r="N8" s="2403"/>
      <c r="O8" s="2404"/>
      <c r="P8" s="1258" t="s">
        <v>0</v>
      </c>
      <c r="Q8" s="2583" t="s">
        <v>0</v>
      </c>
    </row>
    <row r="9" spans="1:17" s="1251" customFormat="1" ht="21.95" customHeight="1">
      <c r="A9" s="2399"/>
      <c r="B9" s="2405" t="s">
        <v>469</v>
      </c>
      <c r="C9" s="2406"/>
      <c r="D9" s="2405" t="s">
        <v>469</v>
      </c>
      <c r="E9" s="2406"/>
      <c r="F9" s="2405" t="s">
        <v>469</v>
      </c>
      <c r="G9" s="2406"/>
      <c r="H9" s="2405" t="s">
        <v>469</v>
      </c>
      <c r="I9" s="2406"/>
      <c r="J9" s="2405" t="s">
        <v>469</v>
      </c>
      <c r="K9" s="2406"/>
      <c r="L9" s="2405" t="s">
        <v>469</v>
      </c>
      <c r="M9" s="2406"/>
      <c r="N9" s="2405" t="s">
        <v>469</v>
      </c>
      <c r="O9" s="2407"/>
      <c r="P9" s="1258" t="s">
        <v>0</v>
      </c>
      <c r="Q9" s="2583" t="s">
        <v>0</v>
      </c>
    </row>
    <row r="10" spans="1:17" s="1251" customFormat="1" ht="78.75" customHeight="1">
      <c r="A10" s="2400"/>
      <c r="B10" s="2408" t="s">
        <v>487</v>
      </c>
      <c r="C10" s="2409"/>
      <c r="D10" s="2410" t="s">
        <v>488</v>
      </c>
      <c r="E10" s="2411"/>
      <c r="F10" s="2408" t="s">
        <v>489</v>
      </c>
      <c r="G10" s="2409"/>
      <c r="H10" s="2410" t="s">
        <v>491</v>
      </c>
      <c r="I10" s="2412"/>
      <c r="J10" s="2405" t="s">
        <v>492</v>
      </c>
      <c r="K10" s="2413"/>
      <c r="L10" s="2414" t="s">
        <v>493</v>
      </c>
      <c r="M10" s="2409"/>
      <c r="N10" s="2405" t="s">
        <v>494</v>
      </c>
      <c r="O10" s="2413"/>
      <c r="P10" s="1258" t="s">
        <v>0</v>
      </c>
      <c r="Q10" s="2583" t="s">
        <v>0</v>
      </c>
    </row>
    <row r="11" spans="1:17" s="1251" customFormat="1" ht="33.75" customHeight="1" thickBot="1">
      <c r="A11" s="2401"/>
      <c r="B11" s="1261" t="s">
        <v>277</v>
      </c>
      <c r="C11" s="1262" t="s">
        <v>255</v>
      </c>
      <c r="D11" s="1265" t="s">
        <v>277</v>
      </c>
      <c r="E11" s="1262" t="s">
        <v>255</v>
      </c>
      <c r="F11" s="1261" t="s">
        <v>277</v>
      </c>
      <c r="G11" s="1262" t="s">
        <v>255</v>
      </c>
      <c r="H11" s="1265" t="s">
        <v>277</v>
      </c>
      <c r="I11" s="1262" t="s">
        <v>255</v>
      </c>
      <c r="J11" s="1261" t="s">
        <v>277</v>
      </c>
      <c r="K11" s="1661" t="s">
        <v>255</v>
      </c>
      <c r="L11" s="1296" t="s">
        <v>277</v>
      </c>
      <c r="M11" s="1262" t="s">
        <v>255</v>
      </c>
      <c r="N11" s="1261" t="s">
        <v>277</v>
      </c>
      <c r="O11" s="1661" t="s">
        <v>255</v>
      </c>
      <c r="P11" s="1258" t="s">
        <v>0</v>
      </c>
      <c r="Q11" s="2583" t="s">
        <v>0</v>
      </c>
    </row>
    <row r="12" spans="1:17" s="1251" customFormat="1" ht="33.75" customHeight="1">
      <c r="A12" s="1266" t="s">
        <v>472</v>
      </c>
      <c r="B12" s="1267">
        <v>0</v>
      </c>
      <c r="C12" s="1268">
        <v>30000</v>
      </c>
      <c r="D12" s="1269">
        <v>0</v>
      </c>
      <c r="E12" s="1269">
        <v>25000</v>
      </c>
      <c r="F12" s="1267">
        <v>0</v>
      </c>
      <c r="G12" s="1268">
        <v>2500</v>
      </c>
      <c r="H12" s="1269">
        <v>0</v>
      </c>
      <c r="I12" s="1269">
        <v>8000</v>
      </c>
      <c r="J12" s="1267">
        <v>0</v>
      </c>
      <c r="K12" s="1270">
        <v>30000</v>
      </c>
      <c r="L12" s="1269">
        <v>0</v>
      </c>
      <c r="M12" s="1281">
        <v>12000</v>
      </c>
      <c r="N12" s="1282">
        <v>0</v>
      </c>
      <c r="O12" s="1281">
        <v>500</v>
      </c>
      <c r="P12" s="1258" t="s">
        <v>0</v>
      </c>
      <c r="Q12" s="2583" t="s">
        <v>0</v>
      </c>
    </row>
    <row r="13" spans="1:17" s="1251" customFormat="1" ht="33.75" customHeight="1" thickBot="1">
      <c r="A13" s="1271" t="s">
        <v>272</v>
      </c>
      <c r="B13" s="1272">
        <f t="shared" ref="B13:C13" si="0">SUM(B12:B12)</f>
        <v>0</v>
      </c>
      <c r="C13" s="1273">
        <f t="shared" si="0"/>
        <v>30000</v>
      </c>
      <c r="D13" s="1274">
        <f t="shared" ref="D13:K13" si="1">SUM(D12:D12)</f>
        <v>0</v>
      </c>
      <c r="E13" s="1275">
        <f t="shared" si="1"/>
        <v>25000</v>
      </c>
      <c r="F13" s="1272">
        <f t="shared" si="1"/>
        <v>0</v>
      </c>
      <c r="G13" s="1273">
        <f t="shared" si="1"/>
        <v>2500</v>
      </c>
      <c r="H13" s="1274">
        <f t="shared" si="1"/>
        <v>0</v>
      </c>
      <c r="I13" s="1275">
        <f t="shared" si="1"/>
        <v>8000</v>
      </c>
      <c r="J13" s="1276">
        <f t="shared" si="1"/>
        <v>0</v>
      </c>
      <c r="K13" s="1660">
        <f t="shared" si="1"/>
        <v>30000</v>
      </c>
      <c r="L13" s="1274">
        <f>SUM(L12:L12)</f>
        <v>0</v>
      </c>
      <c r="M13" s="1286">
        <f>SUM(M12:M12)</f>
        <v>12000</v>
      </c>
      <c r="N13" s="1287">
        <f>SUM(N12:N12)</f>
        <v>0</v>
      </c>
      <c r="O13" s="1286">
        <f>SUM(O12:O12)</f>
        <v>500</v>
      </c>
      <c r="P13" s="1258" t="s">
        <v>24</v>
      </c>
      <c r="Q13" s="2583" t="s">
        <v>0</v>
      </c>
    </row>
    <row r="14" spans="1:17" s="1251" customFormat="1" ht="33.75" customHeight="1" thickBot="1">
      <c r="A14" s="1277"/>
      <c r="B14" s="1278"/>
      <c r="C14" s="1279"/>
      <c r="D14" s="1278"/>
      <c r="E14" s="1279"/>
      <c r="F14" s="1278"/>
      <c r="G14" s="1279"/>
      <c r="H14" s="1278"/>
      <c r="I14" s="1279"/>
      <c r="J14" s="1278"/>
      <c r="K14" s="1279"/>
      <c r="L14" s="1278"/>
      <c r="M14" s="1279"/>
      <c r="N14" s="1280"/>
      <c r="O14" s="1279"/>
      <c r="P14" s="1258" t="s">
        <v>0</v>
      </c>
      <c r="Q14" s="2583" t="s">
        <v>0</v>
      </c>
    </row>
    <row r="15" spans="1:17" s="1251" customFormat="1" ht="21.95" customHeight="1">
      <c r="A15" s="2398"/>
      <c r="B15" s="2402" t="s">
        <v>482</v>
      </c>
      <c r="C15" s="2421"/>
      <c r="D15" s="2421"/>
      <c r="E15" s="2421"/>
      <c r="F15" s="2421"/>
      <c r="G15" s="2421"/>
      <c r="H15" s="2422"/>
      <c r="I15" s="2422"/>
      <c r="J15" s="2422"/>
      <c r="K15" s="2422"/>
      <c r="L15" s="2422"/>
      <c r="M15" s="2422"/>
      <c r="N15" s="2422"/>
      <c r="O15" s="2423"/>
      <c r="P15" s="1258" t="s">
        <v>0</v>
      </c>
      <c r="Q15" s="2583" t="s">
        <v>0</v>
      </c>
    </row>
    <row r="16" spans="1:17" s="1251" customFormat="1" ht="21.95" customHeight="1">
      <c r="A16" s="2399"/>
      <c r="B16" s="2405" t="s">
        <v>469</v>
      </c>
      <c r="C16" s="2406"/>
      <c r="D16" s="2405" t="s">
        <v>469</v>
      </c>
      <c r="E16" s="2406"/>
      <c r="F16" s="2405" t="s">
        <v>469</v>
      </c>
      <c r="G16" s="2406"/>
      <c r="H16" s="2405" t="s">
        <v>5</v>
      </c>
      <c r="I16" s="2407"/>
      <c r="J16" s="2424" t="s">
        <v>5</v>
      </c>
      <c r="K16" s="2406"/>
      <c r="L16" s="2425" t="s">
        <v>5</v>
      </c>
      <c r="M16" s="2426"/>
      <c r="N16" s="2405" t="s">
        <v>5</v>
      </c>
      <c r="O16" s="2425"/>
      <c r="P16" s="1258" t="s">
        <v>0</v>
      </c>
      <c r="Q16" s="2583" t="s">
        <v>0</v>
      </c>
    </row>
    <row r="17" spans="1:17" s="1251" customFormat="1" ht="137.25" customHeight="1">
      <c r="A17" s="2400"/>
      <c r="B17" s="2419" t="s">
        <v>495</v>
      </c>
      <c r="C17" s="2420"/>
      <c r="D17" s="2427" t="s">
        <v>496</v>
      </c>
      <c r="E17" s="2411"/>
      <c r="F17" s="2410" t="s">
        <v>497</v>
      </c>
      <c r="G17" s="2412"/>
      <c r="H17" s="2410" t="s">
        <v>498</v>
      </c>
      <c r="I17" s="2428"/>
      <c r="J17" s="2414" t="s">
        <v>499</v>
      </c>
      <c r="K17" s="2429"/>
      <c r="L17" s="2414" t="s">
        <v>500</v>
      </c>
      <c r="M17" s="2409"/>
      <c r="N17" s="2419" t="s">
        <v>501</v>
      </c>
      <c r="O17" s="2420"/>
      <c r="P17" s="1258" t="s">
        <v>0</v>
      </c>
      <c r="Q17" s="2583" t="s">
        <v>0</v>
      </c>
    </row>
    <row r="18" spans="1:17" s="1251" customFormat="1" ht="33.75" customHeight="1" thickBot="1">
      <c r="A18" s="2401"/>
      <c r="B18" s="1263" t="s">
        <v>277</v>
      </c>
      <c r="C18" s="1264" t="s">
        <v>255</v>
      </c>
      <c r="D18" s="1265" t="s">
        <v>277</v>
      </c>
      <c r="E18" s="1262" t="s">
        <v>255</v>
      </c>
      <c r="F18" s="1265" t="s">
        <v>277</v>
      </c>
      <c r="G18" s="1262" t="s">
        <v>255</v>
      </c>
      <c r="H18" s="1265" t="s">
        <v>277</v>
      </c>
      <c r="I18" s="1661" t="s">
        <v>255</v>
      </c>
      <c r="J18" s="1296" t="s">
        <v>277</v>
      </c>
      <c r="K18" s="1295" t="s">
        <v>255</v>
      </c>
      <c r="L18" s="1296" t="s">
        <v>277</v>
      </c>
      <c r="M18" s="1262" t="s">
        <v>255</v>
      </c>
      <c r="N18" s="1263" t="s">
        <v>277</v>
      </c>
      <c r="O18" s="1659" t="s">
        <v>255</v>
      </c>
      <c r="P18" s="1258" t="s">
        <v>0</v>
      </c>
      <c r="Q18" s="2583" t="s">
        <v>0</v>
      </c>
    </row>
    <row r="19" spans="1:17" s="1251" customFormat="1" ht="33.75" customHeight="1">
      <c r="A19" s="1266" t="s">
        <v>472</v>
      </c>
      <c r="B19" s="1283">
        <v>0</v>
      </c>
      <c r="C19" s="1284">
        <v>3500</v>
      </c>
      <c r="D19" s="1283">
        <v>0</v>
      </c>
      <c r="E19" s="1283">
        <v>57000</v>
      </c>
      <c r="F19" s="1283">
        <v>0</v>
      </c>
      <c r="G19" s="1283">
        <v>10000</v>
      </c>
      <c r="H19" s="1285">
        <v>0</v>
      </c>
      <c r="I19" s="1284">
        <v>-15000</v>
      </c>
      <c r="J19" s="1663">
        <v>0</v>
      </c>
      <c r="K19" s="1298">
        <v>-185268</v>
      </c>
      <c r="L19" s="1269">
        <v>0</v>
      </c>
      <c r="M19" s="1281">
        <v>-2500</v>
      </c>
      <c r="N19" s="1283">
        <v>0</v>
      </c>
      <c r="O19" s="1284">
        <v>-15000</v>
      </c>
      <c r="P19" s="1258" t="s">
        <v>0</v>
      </c>
      <c r="Q19" s="2583" t="s">
        <v>0</v>
      </c>
    </row>
    <row r="20" spans="1:17" s="1251" customFormat="1" ht="33.75" customHeight="1" thickBot="1">
      <c r="A20" s="1271" t="s">
        <v>272</v>
      </c>
      <c r="B20" s="1288">
        <f t="shared" ref="B20:G20" si="2">SUM(B19:B19)</f>
        <v>0</v>
      </c>
      <c r="C20" s="1286">
        <f t="shared" si="2"/>
        <v>3500</v>
      </c>
      <c r="D20" s="1288">
        <f t="shared" si="2"/>
        <v>0</v>
      </c>
      <c r="E20" s="1289">
        <f t="shared" si="2"/>
        <v>57000</v>
      </c>
      <c r="F20" s="1288">
        <f t="shared" si="2"/>
        <v>0</v>
      </c>
      <c r="G20" s="1289">
        <f t="shared" si="2"/>
        <v>10000</v>
      </c>
      <c r="H20" s="1290">
        <f>SUM(H19:H19)</f>
        <v>0</v>
      </c>
      <c r="I20" s="1662">
        <f>SUM(I19:I19)</f>
        <v>-15000</v>
      </c>
      <c r="J20" s="1664">
        <f>SUM(J19:J19)</f>
        <v>0</v>
      </c>
      <c r="K20" s="1286">
        <f>SUM(K19:K19)</f>
        <v>-185268</v>
      </c>
      <c r="L20" s="1274">
        <f t="shared" ref="L20:O20" si="3">SUM(L19:L19)</f>
        <v>0</v>
      </c>
      <c r="M20" s="1286">
        <f t="shared" si="3"/>
        <v>-2500</v>
      </c>
      <c r="N20" s="1288">
        <f t="shared" si="3"/>
        <v>0</v>
      </c>
      <c r="O20" s="1662">
        <f t="shared" si="3"/>
        <v>-15000</v>
      </c>
      <c r="P20" s="1258" t="s">
        <v>24</v>
      </c>
      <c r="Q20" s="2583" t="s">
        <v>0</v>
      </c>
    </row>
    <row r="21" spans="1:17" s="1251" customFormat="1" ht="33.75" customHeight="1" thickBot="1">
      <c r="A21" s="1291"/>
      <c r="B21" s="1292"/>
      <c r="C21" s="1293"/>
      <c r="D21" s="1292"/>
      <c r="E21" s="1293"/>
      <c r="F21" s="1292"/>
      <c r="G21" s="1293"/>
      <c r="H21" s="1292"/>
      <c r="I21" s="1293"/>
      <c r="J21" s="1292"/>
      <c r="K21" s="1293"/>
      <c r="L21" s="1292"/>
      <c r="M21" s="1293"/>
      <c r="N21" s="1294"/>
      <c r="O21" s="1293"/>
      <c r="P21" s="1258"/>
      <c r="Q21" s="2583" t="s">
        <v>0</v>
      </c>
    </row>
    <row r="22" spans="1:17" s="1251" customFormat="1" ht="21.95" customHeight="1">
      <c r="A22" s="2398"/>
      <c r="B22" s="2402" t="s">
        <v>482</v>
      </c>
      <c r="C22" s="2421"/>
      <c r="D22" s="2421"/>
      <c r="E22" s="2421"/>
      <c r="F22" s="2421"/>
      <c r="G22" s="2421"/>
      <c r="H22" s="2422"/>
      <c r="I22" s="2422"/>
      <c r="J22" s="2422"/>
      <c r="K22" s="2422"/>
      <c r="L22" s="2422"/>
      <c r="M22" s="2422"/>
      <c r="N22" s="2422"/>
      <c r="O22" s="2423"/>
      <c r="P22" s="1258" t="s">
        <v>0</v>
      </c>
      <c r="Q22" s="2583" t="s">
        <v>0</v>
      </c>
    </row>
    <row r="23" spans="1:17" s="1251" customFormat="1" ht="21.95" customHeight="1">
      <c r="A23" s="2399"/>
      <c r="B23" s="2405" t="s">
        <v>5</v>
      </c>
      <c r="C23" s="2425"/>
      <c r="D23" s="2405" t="s">
        <v>5</v>
      </c>
      <c r="E23" s="2425"/>
      <c r="F23" s="2405" t="s">
        <v>5</v>
      </c>
      <c r="G23" s="2425"/>
      <c r="H23" s="2405" t="s">
        <v>5</v>
      </c>
      <c r="I23" s="2430"/>
      <c r="J23" s="2425" t="s">
        <v>5</v>
      </c>
      <c r="K23" s="2426"/>
      <c r="L23" s="2425" t="s">
        <v>5</v>
      </c>
      <c r="M23" s="2426"/>
      <c r="N23" s="2431" t="s">
        <v>5</v>
      </c>
      <c r="O23" s="2426"/>
      <c r="P23" s="1258" t="s">
        <v>0</v>
      </c>
      <c r="Q23" s="2583" t="s">
        <v>0</v>
      </c>
    </row>
    <row r="24" spans="1:17" s="1251" customFormat="1" ht="117" customHeight="1">
      <c r="A24" s="2400"/>
      <c r="B24" s="2410" t="s">
        <v>502</v>
      </c>
      <c r="C24" s="2411"/>
      <c r="D24" s="2405" t="s">
        <v>503</v>
      </c>
      <c r="E24" s="2425"/>
      <c r="F24" s="2410" t="s">
        <v>504</v>
      </c>
      <c r="G24" s="2411"/>
      <c r="H24" s="2410" t="s">
        <v>505</v>
      </c>
      <c r="I24" s="2432"/>
      <c r="J24" s="2414" t="s">
        <v>506</v>
      </c>
      <c r="K24" s="2429"/>
      <c r="L24" s="2414" t="s">
        <v>507</v>
      </c>
      <c r="M24" s="2409"/>
      <c r="N24" s="2419" t="s">
        <v>508</v>
      </c>
      <c r="O24" s="2420"/>
      <c r="P24" s="1258" t="s">
        <v>0</v>
      </c>
      <c r="Q24" s="2583" t="s">
        <v>0</v>
      </c>
    </row>
    <row r="25" spans="1:17" s="1251" customFormat="1" ht="33.75" customHeight="1" thickBot="1">
      <c r="A25" s="2401"/>
      <c r="B25" s="1265" t="s">
        <v>277</v>
      </c>
      <c r="C25" s="1262" t="s">
        <v>255</v>
      </c>
      <c r="D25" s="1261" t="s">
        <v>277</v>
      </c>
      <c r="E25" s="1262" t="s">
        <v>255</v>
      </c>
      <c r="F25" s="1265" t="s">
        <v>277</v>
      </c>
      <c r="G25" s="1262" t="s">
        <v>255</v>
      </c>
      <c r="H25" s="1265" t="s">
        <v>277</v>
      </c>
      <c r="I25" s="1661" t="s">
        <v>255</v>
      </c>
      <c r="J25" s="1296" t="s">
        <v>277</v>
      </c>
      <c r="K25" s="1295" t="s">
        <v>255</v>
      </c>
      <c r="L25" s="1296" t="s">
        <v>277</v>
      </c>
      <c r="M25" s="1262" t="s">
        <v>255</v>
      </c>
      <c r="N25" s="1263" t="s">
        <v>277</v>
      </c>
      <c r="O25" s="1659" t="s">
        <v>255</v>
      </c>
      <c r="P25" s="1258" t="s">
        <v>0</v>
      </c>
      <c r="Q25" s="2583" t="s">
        <v>0</v>
      </c>
    </row>
    <row r="26" spans="1:17" s="1251" customFormat="1" ht="33.75" customHeight="1">
      <c r="A26" s="1266" t="s">
        <v>472</v>
      </c>
      <c r="B26" s="1283">
        <v>0</v>
      </c>
      <c r="C26" s="1283">
        <v>-45000</v>
      </c>
      <c r="D26" s="1282">
        <v>0</v>
      </c>
      <c r="E26" s="1281">
        <v>-20000</v>
      </c>
      <c r="F26" s="1283">
        <v>0</v>
      </c>
      <c r="G26" s="1283">
        <v>-1000</v>
      </c>
      <c r="H26" s="1285">
        <v>0</v>
      </c>
      <c r="I26" s="1284">
        <v>-50000</v>
      </c>
      <c r="J26" s="1663">
        <v>0</v>
      </c>
      <c r="K26" s="1298">
        <v>-10000</v>
      </c>
      <c r="L26" s="1269">
        <v>0</v>
      </c>
      <c r="M26" s="1281">
        <v>-12000</v>
      </c>
      <c r="N26" s="1283">
        <v>0</v>
      </c>
      <c r="O26" s="1284">
        <v>-2000</v>
      </c>
      <c r="P26" s="1258" t="s">
        <v>0</v>
      </c>
      <c r="Q26" s="2583" t="s">
        <v>0</v>
      </c>
    </row>
    <row r="27" spans="1:17" s="1251" customFormat="1" ht="33.75" customHeight="1" thickBot="1">
      <c r="A27" s="1271" t="s">
        <v>272</v>
      </c>
      <c r="B27" s="1288">
        <f t="shared" ref="B27:O27" si="4">SUM(B26:B26)</f>
        <v>0</v>
      </c>
      <c r="C27" s="1289">
        <f t="shared" si="4"/>
        <v>-45000</v>
      </c>
      <c r="D27" s="1287">
        <f t="shared" si="4"/>
        <v>0</v>
      </c>
      <c r="E27" s="1286">
        <f t="shared" si="4"/>
        <v>-20000</v>
      </c>
      <c r="F27" s="1288">
        <f t="shared" si="4"/>
        <v>0</v>
      </c>
      <c r="G27" s="1289">
        <f t="shared" si="4"/>
        <v>-1000</v>
      </c>
      <c r="H27" s="1290">
        <f t="shared" si="4"/>
        <v>0</v>
      </c>
      <c r="I27" s="1662">
        <f t="shared" si="4"/>
        <v>-50000</v>
      </c>
      <c r="J27" s="1664">
        <f t="shared" si="4"/>
        <v>0</v>
      </c>
      <c r="K27" s="1286">
        <f t="shared" si="4"/>
        <v>-10000</v>
      </c>
      <c r="L27" s="1274">
        <f t="shared" si="4"/>
        <v>0</v>
      </c>
      <c r="M27" s="1286">
        <f t="shared" si="4"/>
        <v>-12000</v>
      </c>
      <c r="N27" s="1288">
        <f t="shared" si="4"/>
        <v>0</v>
      </c>
      <c r="O27" s="1286">
        <f t="shared" si="4"/>
        <v>-2000</v>
      </c>
      <c r="P27" s="1258" t="s">
        <v>24</v>
      </c>
      <c r="Q27" s="2583" t="s">
        <v>0</v>
      </c>
    </row>
    <row r="28" spans="1:17" s="1251" customFormat="1" ht="33.75" customHeight="1">
      <c r="A28" s="1291"/>
      <c r="B28" s="1292"/>
      <c r="C28" s="1293"/>
      <c r="D28" s="1292"/>
      <c r="E28" s="1293"/>
      <c r="F28" s="1292"/>
      <c r="G28" s="1293"/>
      <c r="H28" s="1292"/>
      <c r="I28" s="1293"/>
      <c r="J28" s="1292"/>
      <c r="K28" s="1293"/>
      <c r="L28" s="1292"/>
      <c r="M28" s="1293"/>
      <c r="N28" s="1294"/>
      <c r="O28" s="1293"/>
      <c r="P28" s="1258"/>
      <c r="Q28" s="2583" t="s">
        <v>0</v>
      </c>
    </row>
    <row r="29" spans="1:17" s="1251" customFormat="1" ht="33.75" customHeight="1" thickBot="1">
      <c r="A29" s="1291"/>
      <c r="B29" s="1292"/>
      <c r="C29" s="1293"/>
      <c r="D29" s="1292"/>
      <c r="E29" s="1293"/>
      <c r="F29" s="1292"/>
      <c r="G29" s="1293"/>
      <c r="H29" s="1292"/>
      <c r="I29" s="1293"/>
      <c r="J29" s="1292"/>
      <c r="K29" s="1293"/>
      <c r="L29" s="1292"/>
      <c r="M29" s="1293"/>
      <c r="N29" s="1294"/>
      <c r="O29" s="1293"/>
      <c r="P29" s="1258" t="s">
        <v>0</v>
      </c>
      <c r="Q29" s="2583" t="s">
        <v>0</v>
      </c>
    </row>
    <row r="30" spans="1:17" s="1251" customFormat="1" ht="21.95" customHeight="1">
      <c r="A30" s="2398"/>
      <c r="B30" s="2402" t="s">
        <v>482</v>
      </c>
      <c r="C30" s="2421"/>
      <c r="D30" s="2421"/>
      <c r="E30" s="2421"/>
      <c r="F30" s="2421"/>
      <c r="G30" s="2421"/>
      <c r="H30" s="2422"/>
      <c r="I30" s="2422"/>
      <c r="J30" s="2422"/>
      <c r="K30" s="2422"/>
      <c r="L30" s="2422"/>
      <c r="M30" s="2422"/>
      <c r="N30" s="2422"/>
      <c r="O30" s="2423"/>
      <c r="P30" s="1258" t="s">
        <v>0</v>
      </c>
      <c r="Q30" s="2583" t="s">
        <v>0</v>
      </c>
    </row>
    <row r="31" spans="1:17" s="1251" customFormat="1" ht="21.95" customHeight="1">
      <c r="A31" s="2399"/>
      <c r="B31" s="2405" t="s">
        <v>5</v>
      </c>
      <c r="C31" s="2425"/>
      <c r="D31" s="2431" t="s">
        <v>5</v>
      </c>
      <c r="E31" s="2426"/>
      <c r="F31" s="2431" t="s">
        <v>5</v>
      </c>
      <c r="G31" s="2426"/>
      <c r="H31" s="2431" t="s">
        <v>5</v>
      </c>
      <c r="I31" s="2433"/>
      <c r="J31" s="2425" t="s">
        <v>5</v>
      </c>
      <c r="K31" s="2426"/>
      <c r="L31" s="2431" t="s">
        <v>5</v>
      </c>
      <c r="M31" s="2426"/>
      <c r="N31" s="2431" t="s">
        <v>5</v>
      </c>
      <c r="O31" s="2426"/>
      <c r="P31" s="1258" t="s">
        <v>0</v>
      </c>
      <c r="Q31" s="2583" t="s">
        <v>0</v>
      </c>
    </row>
    <row r="32" spans="1:17" s="1251" customFormat="1" ht="95.25" customHeight="1">
      <c r="A32" s="2400"/>
      <c r="B32" s="2405" t="s">
        <v>563</v>
      </c>
      <c r="C32" s="2425"/>
      <c r="D32" s="2410" t="s">
        <v>510</v>
      </c>
      <c r="E32" s="2412"/>
      <c r="F32" s="2410" t="s">
        <v>511</v>
      </c>
      <c r="G32" s="2412"/>
      <c r="H32" s="2408" t="s">
        <v>512</v>
      </c>
      <c r="I32" s="2434"/>
      <c r="J32" s="2414" t="s">
        <v>513</v>
      </c>
      <c r="K32" s="2409"/>
      <c r="L32" s="2419" t="s">
        <v>618</v>
      </c>
      <c r="M32" s="2420"/>
      <c r="N32" s="2427" t="s">
        <v>515</v>
      </c>
      <c r="O32" s="2411"/>
      <c r="P32" s="1258" t="s">
        <v>0</v>
      </c>
      <c r="Q32" s="2583" t="s">
        <v>0</v>
      </c>
    </row>
    <row r="33" spans="1:17" s="1251" customFormat="1" ht="33.75" customHeight="1" thickBot="1">
      <c r="A33" s="2401"/>
      <c r="B33" s="1261" t="s">
        <v>277</v>
      </c>
      <c r="C33" s="1262" t="s">
        <v>255</v>
      </c>
      <c r="D33" s="1265" t="s">
        <v>277</v>
      </c>
      <c r="E33" s="1262" t="s">
        <v>255</v>
      </c>
      <c r="F33" s="1265" t="s">
        <v>277</v>
      </c>
      <c r="G33" s="1295" t="s">
        <v>255</v>
      </c>
      <c r="H33" s="1261" t="s">
        <v>277</v>
      </c>
      <c r="I33" s="1661" t="s">
        <v>255</v>
      </c>
      <c r="J33" s="1296" t="s">
        <v>277</v>
      </c>
      <c r="K33" s="1262" t="s">
        <v>255</v>
      </c>
      <c r="L33" s="1263" t="s">
        <v>277</v>
      </c>
      <c r="M33" s="1264" t="s">
        <v>255</v>
      </c>
      <c r="N33" s="1265" t="s">
        <v>277</v>
      </c>
      <c r="O33" s="1661" t="s">
        <v>255</v>
      </c>
      <c r="P33" s="1258" t="s">
        <v>0</v>
      </c>
      <c r="Q33" s="2583" t="s">
        <v>0</v>
      </c>
    </row>
    <row r="34" spans="1:17" s="1251" customFormat="1" ht="33.75" customHeight="1">
      <c r="A34" s="1266" t="s">
        <v>472</v>
      </c>
      <c r="B34" s="1282">
        <v>0</v>
      </c>
      <c r="C34" s="1281">
        <v>-8000</v>
      </c>
      <c r="D34" s="1283">
        <v>0</v>
      </c>
      <c r="E34" s="1283">
        <v>-3000</v>
      </c>
      <c r="F34" s="1285">
        <v>0</v>
      </c>
      <c r="G34" s="1281">
        <v>-35000</v>
      </c>
      <c r="H34" s="1297">
        <v>0</v>
      </c>
      <c r="I34" s="1666">
        <v>-7000</v>
      </c>
      <c r="J34" s="1668">
        <v>0</v>
      </c>
      <c r="K34" s="1669">
        <v>-10000</v>
      </c>
      <c r="L34" s="1670">
        <v>0</v>
      </c>
      <c r="M34" s="1671">
        <v>-1000</v>
      </c>
      <c r="N34" s="1670">
        <v>0</v>
      </c>
      <c r="O34" s="1671">
        <v>-31000</v>
      </c>
      <c r="P34" s="1258" t="s">
        <v>0</v>
      </c>
      <c r="Q34" s="2583" t="s">
        <v>0</v>
      </c>
    </row>
    <row r="35" spans="1:17" s="1251" customFormat="1" ht="33.75" customHeight="1" thickBot="1">
      <c r="A35" s="1271" t="s">
        <v>272</v>
      </c>
      <c r="B35" s="1287">
        <f t="shared" ref="B35:G35" si="5">SUM(B34:B34)</f>
        <v>0</v>
      </c>
      <c r="C35" s="1286">
        <f t="shared" si="5"/>
        <v>-8000</v>
      </c>
      <c r="D35" s="1288">
        <f t="shared" si="5"/>
        <v>0</v>
      </c>
      <c r="E35" s="1289">
        <f t="shared" si="5"/>
        <v>-3000</v>
      </c>
      <c r="F35" s="1290">
        <f t="shared" si="5"/>
        <v>0</v>
      </c>
      <c r="G35" s="1286">
        <f t="shared" si="5"/>
        <v>-35000</v>
      </c>
      <c r="H35" s="1299">
        <f>SUM(H34:H34)</f>
        <v>0</v>
      </c>
      <c r="I35" s="1662">
        <f>SUM(I34:I34)</f>
        <v>-7000</v>
      </c>
      <c r="J35" s="1665">
        <f t="shared" ref="J35:O35" si="6">SUM(J34:J34)</f>
        <v>0</v>
      </c>
      <c r="K35" s="1301">
        <f t="shared" si="6"/>
        <v>-10000</v>
      </c>
      <c r="L35" s="1302">
        <f t="shared" si="6"/>
        <v>0</v>
      </c>
      <c r="M35" s="1301">
        <f t="shared" si="6"/>
        <v>-1000</v>
      </c>
      <c r="N35" s="1302">
        <f t="shared" si="6"/>
        <v>0</v>
      </c>
      <c r="O35" s="1667">
        <f t="shared" si="6"/>
        <v>-31000</v>
      </c>
      <c r="P35" s="1258" t="s">
        <v>24</v>
      </c>
      <c r="Q35" s="2583" t="s">
        <v>0</v>
      </c>
    </row>
    <row r="36" spans="1:17" s="1251" customFormat="1" ht="33.75" customHeight="1" thickBot="1">
      <c r="A36" s="1291"/>
      <c r="B36" s="1292"/>
      <c r="C36" s="1293"/>
      <c r="D36" s="1292"/>
      <c r="E36" s="1293"/>
      <c r="F36" s="1292"/>
      <c r="G36" s="1293"/>
      <c r="H36" s="1292"/>
      <c r="I36" s="1293"/>
      <c r="J36" s="1292"/>
      <c r="K36" s="1293"/>
      <c r="L36" s="1292"/>
      <c r="M36" s="1293"/>
      <c r="N36" s="1294"/>
      <c r="O36" s="1293"/>
      <c r="P36" s="1258" t="s">
        <v>0</v>
      </c>
      <c r="Q36" s="2583" t="s">
        <v>0</v>
      </c>
    </row>
    <row r="37" spans="1:17" s="1251" customFormat="1" ht="21.95" customHeight="1">
      <c r="A37" s="2398"/>
      <c r="B37" s="2402" t="s">
        <v>482</v>
      </c>
      <c r="C37" s="2421"/>
      <c r="D37" s="2421"/>
      <c r="E37" s="2421"/>
      <c r="F37" s="2421"/>
      <c r="G37" s="2421"/>
      <c r="H37" s="2422"/>
      <c r="I37" s="2422"/>
      <c r="J37" s="2422"/>
      <c r="K37" s="2422"/>
      <c r="L37" s="2422"/>
      <c r="M37" s="2422"/>
      <c r="N37" s="2422"/>
      <c r="O37" s="2423"/>
      <c r="P37" s="1258" t="s">
        <v>0</v>
      </c>
      <c r="Q37" s="2583" t="s">
        <v>0</v>
      </c>
    </row>
    <row r="38" spans="1:17" s="1251" customFormat="1" ht="21.95" customHeight="1">
      <c r="A38" s="2399"/>
      <c r="B38" s="2405" t="s">
        <v>5</v>
      </c>
      <c r="C38" s="2425"/>
      <c r="D38" s="2431" t="s">
        <v>5</v>
      </c>
      <c r="E38" s="2426"/>
      <c r="F38" s="2431" t="s">
        <v>5</v>
      </c>
      <c r="G38" s="2426"/>
      <c r="H38" s="2431" t="s">
        <v>5</v>
      </c>
      <c r="I38" s="2433"/>
      <c r="J38" s="2425" t="s">
        <v>5</v>
      </c>
      <c r="K38" s="2426"/>
      <c r="L38" s="2431" t="s">
        <v>5</v>
      </c>
      <c r="M38" s="2426"/>
      <c r="N38" s="2431" t="s">
        <v>5</v>
      </c>
      <c r="O38" s="2433"/>
      <c r="P38" s="1258" t="s">
        <v>0</v>
      </c>
      <c r="Q38" s="2583" t="s">
        <v>0</v>
      </c>
    </row>
    <row r="39" spans="1:17" s="1251" customFormat="1" ht="96" customHeight="1">
      <c r="A39" s="2400"/>
      <c r="B39" s="2405" t="s">
        <v>516</v>
      </c>
      <c r="C39" s="2425"/>
      <c r="D39" s="2410" t="s">
        <v>517</v>
      </c>
      <c r="E39" s="2412"/>
      <c r="F39" s="2410" t="s">
        <v>518</v>
      </c>
      <c r="G39" s="2412"/>
      <c r="H39" s="2405" t="s">
        <v>519</v>
      </c>
      <c r="I39" s="2413"/>
      <c r="J39" s="2424" t="s">
        <v>520</v>
      </c>
      <c r="K39" s="2443"/>
      <c r="L39" s="2419" t="s">
        <v>521</v>
      </c>
      <c r="M39" s="2437"/>
      <c r="N39" s="2419" t="s">
        <v>490</v>
      </c>
      <c r="O39" s="2420"/>
      <c r="P39" s="1258" t="s">
        <v>0</v>
      </c>
      <c r="Q39" s="2583" t="s">
        <v>0</v>
      </c>
    </row>
    <row r="40" spans="1:17" s="1251" customFormat="1" ht="33.75" customHeight="1" thickBot="1">
      <c r="A40" s="2401"/>
      <c r="B40" s="1261" t="s">
        <v>277</v>
      </c>
      <c r="C40" s="1262" t="s">
        <v>255</v>
      </c>
      <c r="D40" s="1265" t="s">
        <v>277</v>
      </c>
      <c r="E40" s="1262" t="s">
        <v>255</v>
      </c>
      <c r="F40" s="1265" t="s">
        <v>277</v>
      </c>
      <c r="G40" s="1295" t="s">
        <v>255</v>
      </c>
      <c r="H40" s="1261" t="s">
        <v>277</v>
      </c>
      <c r="I40" s="1661" t="s">
        <v>255</v>
      </c>
      <c r="J40" s="1296" t="s">
        <v>277</v>
      </c>
      <c r="K40" s="1262" t="s">
        <v>255</v>
      </c>
      <c r="L40" s="1263" t="s">
        <v>277</v>
      </c>
      <c r="M40" s="1264" t="s">
        <v>255</v>
      </c>
      <c r="N40" s="1263" t="s">
        <v>277</v>
      </c>
      <c r="O40" s="1659" t="s">
        <v>255</v>
      </c>
      <c r="P40" s="1258" t="s">
        <v>0</v>
      </c>
      <c r="Q40" s="2583" t="s">
        <v>0</v>
      </c>
    </row>
    <row r="41" spans="1:17" s="1251" customFormat="1" ht="33.75" customHeight="1" thickBot="1">
      <c r="A41" s="1300" t="s">
        <v>472</v>
      </c>
      <c r="B41" s="1678">
        <v>0</v>
      </c>
      <c r="C41" s="1669">
        <v>-2500</v>
      </c>
      <c r="D41" s="1670">
        <v>0</v>
      </c>
      <c r="E41" s="1670">
        <v>-194000</v>
      </c>
      <c r="F41" s="1679">
        <v>0</v>
      </c>
      <c r="G41" s="1669">
        <v>-10000</v>
      </c>
      <c r="H41" s="1680">
        <v>0</v>
      </c>
      <c r="I41" s="1671">
        <v>-3500</v>
      </c>
      <c r="J41" s="1283">
        <v>0</v>
      </c>
      <c r="K41" s="1281">
        <v>-3000</v>
      </c>
      <c r="L41" s="1283">
        <v>0</v>
      </c>
      <c r="M41" s="1283">
        <v>-2500</v>
      </c>
      <c r="N41" s="1269">
        <v>0</v>
      </c>
      <c r="O41" s="1270">
        <v>-51000</v>
      </c>
      <c r="P41" s="1258" t="s">
        <v>0</v>
      </c>
      <c r="Q41" s="2583" t="s">
        <v>0</v>
      </c>
    </row>
    <row r="42" spans="1:17" s="1251" customFormat="1" ht="33.75" customHeight="1" thickBot="1">
      <c r="A42" s="1271" t="s">
        <v>272</v>
      </c>
      <c r="B42" s="1304">
        <f t="shared" ref="B42:G42" si="7">SUM(B41:B41)</f>
        <v>0</v>
      </c>
      <c r="C42" s="1301">
        <f t="shared" si="7"/>
        <v>-2500</v>
      </c>
      <c r="D42" s="1302">
        <f t="shared" si="7"/>
        <v>0</v>
      </c>
      <c r="E42" s="1303">
        <f t="shared" si="7"/>
        <v>-194000</v>
      </c>
      <c r="F42" s="1305">
        <f t="shared" si="7"/>
        <v>0</v>
      </c>
      <c r="G42" s="1301">
        <f t="shared" si="7"/>
        <v>-10000</v>
      </c>
      <c r="H42" s="1306">
        <f>SUM(H41:H41)</f>
        <v>0</v>
      </c>
      <c r="I42" s="1667">
        <f>SUM(I41:I41)</f>
        <v>-3500</v>
      </c>
      <c r="J42" s="1288">
        <f t="shared" ref="J42:O42" si="8">SUM(J41:J41)</f>
        <v>0</v>
      </c>
      <c r="K42" s="1286">
        <f t="shared" si="8"/>
        <v>-3000</v>
      </c>
      <c r="L42" s="1288">
        <f t="shared" si="8"/>
        <v>0</v>
      </c>
      <c r="M42" s="1289">
        <f t="shared" si="8"/>
        <v>-2500</v>
      </c>
      <c r="N42" s="1274">
        <f t="shared" si="8"/>
        <v>0</v>
      </c>
      <c r="O42" s="1660">
        <f t="shared" si="8"/>
        <v>-51000</v>
      </c>
      <c r="P42" s="1258" t="s">
        <v>24</v>
      </c>
      <c r="Q42" s="2583" t="s">
        <v>0</v>
      </c>
    </row>
    <row r="43" spans="1:17" s="1251" customFormat="1" ht="33.75" customHeight="1" thickBot="1">
      <c r="A43" s="1291"/>
      <c r="B43" s="1292"/>
      <c r="C43" s="1293"/>
      <c r="D43" s="1292"/>
      <c r="E43" s="1293"/>
      <c r="F43" s="1292"/>
      <c r="G43" s="1293"/>
      <c r="H43" s="1292"/>
      <c r="I43" s="1293"/>
      <c r="J43" s="1292"/>
      <c r="K43" s="1293"/>
      <c r="L43" s="1292"/>
      <c r="M43" s="1293"/>
      <c r="N43" s="1294"/>
      <c r="O43" s="1293"/>
      <c r="P43" s="1258" t="s">
        <v>0</v>
      </c>
      <c r="Q43" s="2583" t="s">
        <v>0</v>
      </c>
    </row>
    <row r="44" spans="1:17" s="1251" customFormat="1" ht="39" customHeight="1">
      <c r="A44" s="2440"/>
      <c r="B44" s="2442" t="s">
        <v>482</v>
      </c>
      <c r="C44" s="2442"/>
      <c r="D44" s="2442"/>
      <c r="E44" s="2442"/>
      <c r="F44" s="1672"/>
      <c r="G44" s="1672"/>
      <c r="H44" s="1672"/>
      <c r="I44" s="1673"/>
      <c r="L44" s="1307"/>
      <c r="M44" s="1307"/>
      <c r="N44" s="1307"/>
      <c r="O44" s="1307"/>
      <c r="P44" s="1258" t="s">
        <v>0</v>
      </c>
      <c r="Q44" s="2583" t="s">
        <v>0</v>
      </c>
    </row>
    <row r="45" spans="1:17" s="1251" customFormat="1" ht="21" customHeight="1">
      <c r="A45" s="2399"/>
      <c r="B45" s="2438" t="s">
        <v>5</v>
      </c>
      <c r="C45" s="2439"/>
      <c r="D45" s="2435" t="s">
        <v>105</v>
      </c>
      <c r="E45" s="2436"/>
      <c r="F45" s="1672"/>
      <c r="G45" s="1646"/>
      <c r="H45" s="1674"/>
      <c r="I45" s="1674"/>
      <c r="J45" s="1674"/>
      <c r="L45" s="1307"/>
      <c r="M45" s="1307"/>
      <c r="N45" s="1307"/>
      <c r="O45" s="1307"/>
      <c r="P45" s="1258" t="s">
        <v>0</v>
      </c>
      <c r="Q45" s="2583" t="s">
        <v>0</v>
      </c>
    </row>
    <row r="46" spans="1:17" s="1251" customFormat="1" ht="119.25" customHeight="1">
      <c r="A46" s="2400"/>
      <c r="B46" s="2419" t="s">
        <v>816</v>
      </c>
      <c r="C46" s="2441"/>
      <c r="D46" s="2435"/>
      <c r="E46" s="2436"/>
      <c r="F46" s="1672"/>
      <c r="G46" s="1672"/>
      <c r="H46" s="1674"/>
      <c r="I46" s="1674"/>
      <c r="J46" s="1674"/>
      <c r="L46" s="1307"/>
      <c r="M46" s="1307"/>
      <c r="N46" s="1307"/>
      <c r="O46" s="1307"/>
      <c r="P46" s="1258" t="s">
        <v>0</v>
      </c>
      <c r="Q46" s="2583" t="s">
        <v>0</v>
      </c>
    </row>
    <row r="47" spans="1:17" s="1251" customFormat="1" ht="33.75" customHeight="1" thickBot="1">
      <c r="A47" s="2401"/>
      <c r="B47" s="1263" t="s">
        <v>277</v>
      </c>
      <c r="C47" s="1659" t="s">
        <v>255</v>
      </c>
      <c r="D47" s="1681" t="s">
        <v>277</v>
      </c>
      <c r="E47" s="1661" t="s">
        <v>255</v>
      </c>
      <c r="F47" s="1308"/>
      <c r="G47" s="1309"/>
      <c r="H47" s="1674"/>
      <c r="I47" s="1674"/>
      <c r="J47" s="1674"/>
      <c r="L47" s="1307"/>
      <c r="M47" s="1307"/>
      <c r="N47" s="1307"/>
      <c r="O47" s="1307"/>
      <c r="P47" s="1258" t="s">
        <v>0</v>
      </c>
      <c r="Q47" s="2583" t="s">
        <v>0</v>
      </c>
    </row>
    <row r="48" spans="1:17" s="1251" customFormat="1" ht="33.75" customHeight="1" thickBot="1">
      <c r="A48" s="1300" t="s">
        <v>472</v>
      </c>
      <c r="B48" s="1269">
        <v>0</v>
      </c>
      <c r="C48" s="1270">
        <v>-27500</v>
      </c>
      <c r="D48" s="1283">
        <f>SUM(B12,D12,F12,H12,J12,L12,N12,B19,D19,F19,H19,J19,L19)+SUM(N19,B26,D26,F26,H26,J26,L26,N26,B34,D34,F34,H34,J34,L34,N34,B41,D41,F41,H41,J41,L41,N41,B48)</f>
        <v>0</v>
      </c>
      <c r="E48" s="1284">
        <f>SUM(I19,K19,M19,O19,C26,E26,G26,I26,K26,M26,O26,C34,E34,G34,I34,K34,M34,O34,C41,E41,G41,I41,K41,M41,O41,C48)</f>
        <v>-746768</v>
      </c>
      <c r="F48" s="1269"/>
      <c r="G48" s="1269"/>
      <c r="H48" s="1674"/>
      <c r="I48" s="1674"/>
      <c r="J48" s="1674"/>
      <c r="L48" s="1307"/>
      <c r="M48" s="1307"/>
      <c r="N48" s="1307"/>
      <c r="O48" s="1307"/>
      <c r="P48" s="1258" t="s">
        <v>0</v>
      </c>
      <c r="Q48" s="2583" t="s">
        <v>0</v>
      </c>
    </row>
    <row r="49" spans="1:17" s="1251" customFormat="1" ht="33.75" customHeight="1" thickBot="1">
      <c r="A49" s="1683" t="s">
        <v>272</v>
      </c>
      <c r="B49" s="1274">
        <f t="shared" ref="B49:C49" si="9">SUM(B48:B48)</f>
        <v>0</v>
      </c>
      <c r="C49" s="1660">
        <f t="shared" si="9"/>
        <v>-27500</v>
      </c>
      <c r="D49" s="1288">
        <f>SUM(D48:D48)</f>
        <v>0</v>
      </c>
      <c r="E49" s="1662">
        <f>SUM(E48:E48)</f>
        <v>-746768</v>
      </c>
      <c r="F49" s="1292"/>
      <c r="G49" s="1675"/>
      <c r="H49" s="1674"/>
      <c r="I49" s="1674"/>
      <c r="J49" s="1674"/>
      <c r="L49" s="1307"/>
      <c r="M49" s="1307"/>
      <c r="N49" s="1307"/>
      <c r="O49" s="1307"/>
      <c r="P49" s="1086" t="s">
        <v>24</v>
      </c>
      <c r="Q49" s="2583" t="s">
        <v>0</v>
      </c>
    </row>
    <row r="50" spans="1:17" s="1251" customFormat="1" ht="33.75" customHeight="1">
      <c r="A50" s="1307"/>
      <c r="B50" s="1307"/>
      <c r="C50" s="1310"/>
      <c r="D50" s="1676"/>
      <c r="E50" s="1677"/>
      <c r="F50" s="1676"/>
      <c r="G50" s="1677"/>
      <c r="H50" s="1677"/>
      <c r="I50" s="1677"/>
      <c r="J50" s="1677"/>
      <c r="K50" s="1310"/>
      <c r="L50" s="1310"/>
      <c r="M50" s="1310"/>
      <c r="N50" s="1307"/>
      <c r="O50" s="1310"/>
      <c r="P50" s="1258"/>
      <c r="Q50" s="2583" t="s">
        <v>0</v>
      </c>
    </row>
    <row r="51" spans="1:17" s="1251" customFormat="1" ht="33.75" customHeight="1">
      <c r="A51" s="1307"/>
      <c r="B51" s="1307"/>
      <c r="C51" s="1310"/>
      <c r="D51" s="1307"/>
      <c r="E51" s="1310"/>
      <c r="F51" s="1307"/>
      <c r="G51" s="1310"/>
      <c r="H51" s="1310"/>
      <c r="I51" s="1310"/>
      <c r="J51" s="1310"/>
      <c r="K51" s="1310"/>
      <c r="L51" s="1310"/>
      <c r="M51" s="1310"/>
      <c r="N51" s="1307"/>
      <c r="O51" s="1310"/>
      <c r="P51" s="1258"/>
      <c r="Q51" s="2583" t="s">
        <v>0</v>
      </c>
    </row>
    <row r="52" spans="1:17" s="1251" customFormat="1" ht="33.75" customHeight="1">
      <c r="A52" s="1307"/>
      <c r="B52" s="1307"/>
      <c r="C52" s="1310"/>
      <c r="D52" s="1307"/>
      <c r="E52" s="1310"/>
      <c r="F52" s="1307"/>
      <c r="G52" s="1310"/>
      <c r="H52" s="1310"/>
      <c r="I52" s="1310"/>
      <c r="J52" s="1310"/>
      <c r="K52" s="1310"/>
      <c r="L52" s="1310"/>
      <c r="M52" s="1310"/>
      <c r="N52" s="1307"/>
      <c r="O52" s="1310"/>
      <c r="P52" s="1258"/>
      <c r="Q52" s="2584" t="s">
        <v>24</v>
      </c>
    </row>
    <row r="53" spans="1:17" ht="15.75">
      <c r="A53" s="1311"/>
      <c r="B53" s="1311"/>
      <c r="C53" s="1312"/>
      <c r="D53" s="1311"/>
      <c r="E53" s="1312"/>
      <c r="F53" s="1311"/>
      <c r="G53" s="1312"/>
      <c r="H53" s="1312"/>
      <c r="I53" s="1312"/>
      <c r="J53" s="1312"/>
      <c r="K53" s="1312"/>
      <c r="L53" s="1312"/>
      <c r="M53" s="1312"/>
      <c r="N53" s="1311"/>
      <c r="O53" s="1312"/>
    </row>
    <row r="54" spans="1:17" ht="15.75">
      <c r="A54" s="1311"/>
      <c r="B54" s="1311"/>
      <c r="C54" s="1312"/>
      <c r="D54" s="1311"/>
      <c r="E54" s="1312"/>
      <c r="F54" s="1311"/>
      <c r="G54" s="1312"/>
      <c r="H54" s="1312"/>
      <c r="I54" s="1312"/>
      <c r="J54" s="1312"/>
      <c r="K54" s="1312"/>
      <c r="L54" s="1312"/>
      <c r="M54" s="1312"/>
      <c r="N54" s="1311"/>
      <c r="O54" s="1312"/>
    </row>
    <row r="55" spans="1:17" ht="15.75">
      <c r="A55" s="1311"/>
      <c r="B55" s="1311"/>
      <c r="C55" s="1312"/>
      <c r="D55" s="1311"/>
      <c r="E55" s="1312"/>
      <c r="F55" s="1311"/>
      <c r="G55" s="1312"/>
      <c r="H55" s="1312"/>
      <c r="I55" s="1312"/>
      <c r="J55" s="1312"/>
      <c r="K55" s="1312"/>
      <c r="L55" s="1312"/>
      <c r="M55" s="1312"/>
      <c r="N55" s="1311"/>
      <c r="O55" s="1312"/>
    </row>
  </sheetData>
  <mergeCells count="91">
    <mergeCell ref="A44:A47"/>
    <mergeCell ref="B46:C46"/>
    <mergeCell ref="D39:E39"/>
    <mergeCell ref="F39:G39"/>
    <mergeCell ref="H39:I39"/>
    <mergeCell ref="A37:A40"/>
    <mergeCell ref="B37:O37"/>
    <mergeCell ref="B38:C38"/>
    <mergeCell ref="D38:E38"/>
    <mergeCell ref="F38:G38"/>
    <mergeCell ref="H38:I38"/>
    <mergeCell ref="J38:K38"/>
    <mergeCell ref="L38:M38"/>
    <mergeCell ref="N38:O38"/>
    <mergeCell ref="B44:E44"/>
    <mergeCell ref="J39:K39"/>
    <mergeCell ref="D45:E46"/>
    <mergeCell ref="L39:M39"/>
    <mergeCell ref="N39:O39"/>
    <mergeCell ref="B39:C39"/>
    <mergeCell ref="B45:C45"/>
    <mergeCell ref="N32:O32"/>
    <mergeCell ref="A30:A33"/>
    <mergeCell ref="B30:O30"/>
    <mergeCell ref="B31:C31"/>
    <mergeCell ref="D31:E31"/>
    <mergeCell ref="F31:G31"/>
    <mergeCell ref="H31:I31"/>
    <mergeCell ref="J31:K31"/>
    <mergeCell ref="L31:M31"/>
    <mergeCell ref="N31:O31"/>
    <mergeCell ref="B32:C32"/>
    <mergeCell ref="D32:E32"/>
    <mergeCell ref="F32:G32"/>
    <mergeCell ref="H32:I32"/>
    <mergeCell ref="J32:K32"/>
    <mergeCell ref="L32:M32"/>
    <mergeCell ref="N24:O24"/>
    <mergeCell ref="A22:A25"/>
    <mergeCell ref="B22:O22"/>
    <mergeCell ref="B23:C23"/>
    <mergeCell ref="D23:E23"/>
    <mergeCell ref="F23:G23"/>
    <mergeCell ref="H23:I23"/>
    <mergeCell ref="J23:K23"/>
    <mergeCell ref="L23:M23"/>
    <mergeCell ref="N23:O23"/>
    <mergeCell ref="B24:C24"/>
    <mergeCell ref="D24:E24"/>
    <mergeCell ref="F24:G24"/>
    <mergeCell ref="H24:I24"/>
    <mergeCell ref="J24:K24"/>
    <mergeCell ref="L24:M24"/>
    <mergeCell ref="N17:O17"/>
    <mergeCell ref="A15:A18"/>
    <mergeCell ref="B15:O15"/>
    <mergeCell ref="B16:C16"/>
    <mergeCell ref="D16:E16"/>
    <mergeCell ref="F16:G16"/>
    <mergeCell ref="H16:I16"/>
    <mergeCell ref="J16:K16"/>
    <mergeCell ref="L16:M16"/>
    <mergeCell ref="N16:O16"/>
    <mergeCell ref="B17:C17"/>
    <mergeCell ref="D17:E17"/>
    <mergeCell ref="F17:G17"/>
    <mergeCell ref="H17:I17"/>
    <mergeCell ref="J17:K17"/>
    <mergeCell ref="L17:M17"/>
    <mergeCell ref="A2:O2"/>
    <mergeCell ref="A3:O3"/>
    <mergeCell ref="A4:O4"/>
    <mergeCell ref="A5:O5"/>
    <mergeCell ref="A7:O7"/>
    <mergeCell ref="A6:O6"/>
    <mergeCell ref="A8:A11"/>
    <mergeCell ref="B8:O8"/>
    <mergeCell ref="B9:C9"/>
    <mergeCell ref="D9:E9"/>
    <mergeCell ref="F9:G9"/>
    <mergeCell ref="H9:I9"/>
    <mergeCell ref="J9:K9"/>
    <mergeCell ref="L9:M9"/>
    <mergeCell ref="N9:O9"/>
    <mergeCell ref="B10:C10"/>
    <mergeCell ref="D10:E10"/>
    <mergeCell ref="F10:G10"/>
    <mergeCell ref="H10:I10"/>
    <mergeCell ref="J10:K10"/>
    <mergeCell ref="L10:M10"/>
    <mergeCell ref="N10:O10"/>
  </mergeCells>
  <printOptions horizontalCentered="1"/>
  <pageMargins left="0.25" right="0.25" top="0.5" bottom="0.5" header="0.5" footer="0.5"/>
  <pageSetup scale="50" fitToHeight="0" orientation="landscape" r:id="rId1"/>
  <headerFooter alignWithMargins="0">
    <oddFooter>&amp;C&amp;"Times New Roman,Regular"&amp;14Exhibit J - Financial Analysis of Program Changes&amp;12
&amp;R&amp;"Times New Roman,Regular"State and Local Law Enforcement Assistance</oddFooter>
  </headerFooter>
  <rowBreaks count="1" manualBreakCount="1">
    <brk id="28" max="15" man="1"/>
  </rowBreaks>
</worksheet>
</file>

<file path=xl/worksheets/sheet3.xml><?xml version="1.0" encoding="utf-8"?>
<worksheet xmlns="http://schemas.openxmlformats.org/spreadsheetml/2006/main" xmlns:r="http://schemas.openxmlformats.org/officeDocument/2006/relationships">
  <sheetPr codeName="Sheet9">
    <pageSetUpPr fitToPage="1"/>
  </sheetPr>
  <dimension ref="A1:T57"/>
  <sheetViews>
    <sheetView view="pageBreakPreview" zoomScale="76" zoomScaleNormal="75" zoomScaleSheetLayoutView="76" workbookViewId="0">
      <selection activeCell="E37" sqref="E37"/>
    </sheetView>
  </sheetViews>
  <sheetFormatPr defaultColWidth="7.21875" defaultRowHeight="12.75"/>
  <cols>
    <col min="1" max="1" width="49.5546875" style="408" customWidth="1"/>
    <col min="2" max="2" width="1.21875" style="408" customWidth="1"/>
    <col min="3" max="3" width="10.77734375" style="408" customWidth="1"/>
    <col min="4" max="4" width="11" style="408" customWidth="1"/>
    <col min="5" max="5" width="1.21875" style="408" customWidth="1"/>
    <col min="6" max="7" width="11.21875" style="408" customWidth="1"/>
    <col min="8" max="8" width="1.21875" style="408" customWidth="1"/>
    <col min="9" max="9" width="7.21875" style="408" customWidth="1"/>
    <col min="10" max="10" width="10.44140625" style="408" bestFit="1" customWidth="1"/>
    <col min="11" max="11" width="6.77734375" style="408" customWidth="1"/>
    <col min="12" max="12" width="8.5546875" style="408" bestFit="1" customWidth="1"/>
    <col min="13" max="13" width="6.77734375" style="408" customWidth="1"/>
    <col min="14" max="14" width="8.21875" style="408" customWidth="1"/>
    <col min="15" max="15" width="6.33203125" style="408" customWidth="1"/>
    <col min="16" max="16" width="9.77734375" style="408" customWidth="1"/>
    <col min="17" max="17" width="1.88671875" style="408" customWidth="1"/>
    <col min="18" max="16384" width="7.21875" style="408"/>
  </cols>
  <sheetData>
    <row r="1" spans="1:20" ht="20.25">
      <c r="A1" s="1832" t="s">
        <v>163</v>
      </c>
      <c r="B1" s="1833"/>
      <c r="C1" s="1833"/>
      <c r="D1" s="1833"/>
      <c r="E1" s="1833"/>
      <c r="F1" s="1833"/>
      <c r="G1" s="1833"/>
      <c r="H1" s="1833"/>
      <c r="I1" s="1833"/>
      <c r="J1" s="1833"/>
      <c r="K1" s="1833"/>
      <c r="L1" s="1833"/>
      <c r="M1" s="1833"/>
      <c r="N1" s="1833"/>
      <c r="O1" s="1833"/>
      <c r="P1" s="1833"/>
      <c r="Q1" s="406" t="s">
        <v>0</v>
      </c>
      <c r="R1" s="407"/>
      <c r="S1" s="407"/>
    </row>
    <row r="2" spans="1:20" ht="19.149999999999999" customHeight="1">
      <c r="A2" s="409"/>
      <c r="Q2" s="406" t="s">
        <v>0</v>
      </c>
      <c r="T2" s="406"/>
    </row>
    <row r="3" spans="1:20" ht="15.75">
      <c r="A3" s="1834" t="s">
        <v>288</v>
      </c>
      <c r="B3" s="1835"/>
      <c r="C3" s="1835"/>
      <c r="D3" s="1835"/>
      <c r="E3" s="1835"/>
      <c r="F3" s="1835"/>
      <c r="G3" s="1835"/>
      <c r="H3" s="1835"/>
      <c r="I3" s="1835"/>
      <c r="J3" s="1835"/>
      <c r="K3" s="1835"/>
      <c r="L3" s="1835"/>
      <c r="M3" s="1835"/>
      <c r="N3" s="1835"/>
      <c r="O3" s="1835"/>
      <c r="P3" s="1835"/>
      <c r="Q3" s="406" t="s">
        <v>0</v>
      </c>
      <c r="R3" s="56"/>
      <c r="S3" s="56"/>
      <c r="T3" s="406"/>
    </row>
    <row r="4" spans="1:20" ht="15.75">
      <c r="A4" s="1836" t="str">
        <f>'B. Summ of Reqs - S&amp;E '!A5:X5</f>
        <v>Office of Justice Programs</v>
      </c>
      <c r="B4" s="1835"/>
      <c r="C4" s="1835"/>
      <c r="D4" s="1835"/>
      <c r="E4" s="1835"/>
      <c r="F4" s="1835"/>
      <c r="G4" s="1835"/>
      <c r="H4" s="1835"/>
      <c r="I4" s="1835"/>
      <c r="J4" s="1835"/>
      <c r="K4" s="1835"/>
      <c r="L4" s="1835"/>
      <c r="M4" s="1835"/>
      <c r="N4" s="1835"/>
      <c r="O4" s="1835"/>
      <c r="P4" s="1835"/>
      <c r="Q4" s="406" t="s">
        <v>0</v>
      </c>
      <c r="R4" s="54"/>
      <c r="S4" s="54"/>
    </row>
    <row r="5" spans="1:20" ht="15.75">
      <c r="A5" s="1836" t="str">
        <f>'B. Summ of Reqs - S&amp;E '!A6:X6</f>
        <v>Salaries and Expenses</v>
      </c>
      <c r="B5" s="1835"/>
      <c r="C5" s="1835"/>
      <c r="D5" s="1835"/>
      <c r="E5" s="1835"/>
      <c r="F5" s="1835"/>
      <c r="G5" s="1835"/>
      <c r="H5" s="1835"/>
      <c r="I5" s="1835"/>
      <c r="J5" s="1835"/>
      <c r="K5" s="1835"/>
      <c r="L5" s="1835"/>
      <c r="M5" s="1835"/>
      <c r="N5" s="1835"/>
      <c r="O5" s="1835"/>
      <c r="P5" s="1835"/>
      <c r="Q5" s="406" t="s">
        <v>0</v>
      </c>
      <c r="R5" s="56"/>
      <c r="S5" s="56"/>
      <c r="T5" s="406"/>
    </row>
    <row r="6" spans="1:20" ht="15">
      <c r="A6" s="1837" t="s">
        <v>257</v>
      </c>
      <c r="B6" s="1835"/>
      <c r="C6" s="1835"/>
      <c r="D6" s="1835"/>
      <c r="E6" s="1835"/>
      <c r="F6" s="1835"/>
      <c r="G6" s="1835"/>
      <c r="H6" s="1835"/>
      <c r="I6" s="1835"/>
      <c r="J6" s="1835"/>
      <c r="K6" s="1835"/>
      <c r="L6" s="1835"/>
      <c r="M6" s="1835"/>
      <c r="N6" s="1835"/>
      <c r="O6" s="1835"/>
      <c r="P6" s="1835"/>
      <c r="Q6" s="406" t="s">
        <v>0</v>
      </c>
      <c r="R6" s="56"/>
      <c r="S6" s="56"/>
      <c r="T6" s="406"/>
    </row>
    <row r="7" spans="1:20" ht="13.5" thickBot="1">
      <c r="Q7" s="406" t="s">
        <v>0</v>
      </c>
      <c r="T7" s="406"/>
    </row>
    <row r="8" spans="1:20" ht="37.5" customHeight="1">
      <c r="A8" s="410"/>
      <c r="B8" s="411"/>
      <c r="C8" s="1838" t="s">
        <v>318</v>
      </c>
      <c r="D8" s="1839"/>
      <c r="E8" s="412"/>
      <c r="F8" s="1838" t="s">
        <v>355</v>
      </c>
      <c r="G8" s="1839"/>
      <c r="H8" s="412"/>
      <c r="I8" s="1850" t="s">
        <v>244</v>
      </c>
      <c r="J8" s="1839"/>
      <c r="K8" s="1851">
        <v>2012</v>
      </c>
      <c r="L8" s="1852"/>
      <c r="M8" s="1852"/>
      <c r="N8" s="1853"/>
      <c r="O8" s="1850" t="s">
        <v>42</v>
      </c>
      <c r="P8" s="1839"/>
      <c r="Q8" s="406" t="s">
        <v>0</v>
      </c>
      <c r="S8" s="413"/>
      <c r="T8" s="406"/>
    </row>
    <row r="9" spans="1:20" ht="14.25" customHeight="1">
      <c r="A9" s="411"/>
      <c r="B9" s="411"/>
      <c r="C9" s="1840"/>
      <c r="D9" s="1841"/>
      <c r="E9" s="412"/>
      <c r="F9" s="1848"/>
      <c r="G9" s="1849"/>
      <c r="H9" s="412"/>
      <c r="I9" s="1848"/>
      <c r="J9" s="1849"/>
      <c r="K9" s="1854" t="s">
        <v>280</v>
      </c>
      <c r="L9" s="1855"/>
      <c r="M9" s="1845" t="s">
        <v>289</v>
      </c>
      <c r="N9" s="1816"/>
      <c r="O9" s="1848"/>
      <c r="P9" s="1849"/>
      <c r="Q9" s="406" t="s">
        <v>0</v>
      </c>
      <c r="S9" s="413"/>
      <c r="T9" s="406"/>
    </row>
    <row r="10" spans="1:20" hidden="1">
      <c r="A10" s="1846" t="s">
        <v>290</v>
      </c>
      <c r="B10" s="411"/>
      <c r="C10" s="414"/>
      <c r="D10" s="415"/>
      <c r="E10" s="416"/>
      <c r="F10" s="414"/>
      <c r="G10" s="415"/>
      <c r="H10" s="416"/>
      <c r="I10" s="414"/>
      <c r="J10" s="415"/>
      <c r="K10" s="414"/>
      <c r="L10" s="415"/>
      <c r="M10" s="417"/>
      <c r="N10" s="415"/>
      <c r="O10" s="414"/>
      <c r="P10" s="415"/>
      <c r="Q10" s="406" t="s">
        <v>0</v>
      </c>
      <c r="S10" s="417"/>
      <c r="T10" s="406"/>
    </row>
    <row r="11" spans="1:20" ht="51">
      <c r="A11" s="1847"/>
      <c r="B11" s="411"/>
      <c r="C11" s="418" t="s">
        <v>291</v>
      </c>
      <c r="D11" s="419" t="s">
        <v>292</v>
      </c>
      <c r="E11" s="416"/>
      <c r="F11" s="418" t="s">
        <v>291</v>
      </c>
      <c r="G11" s="419" t="s">
        <v>292</v>
      </c>
      <c r="H11" s="416"/>
      <c r="I11" s="418" t="s">
        <v>291</v>
      </c>
      <c r="J11" s="419" t="s">
        <v>292</v>
      </c>
      <c r="K11" s="418" t="s">
        <v>291</v>
      </c>
      <c r="L11" s="419" t="s">
        <v>292</v>
      </c>
      <c r="M11" s="418" t="s">
        <v>291</v>
      </c>
      <c r="N11" s="419" t="s">
        <v>292</v>
      </c>
      <c r="O11" s="418" t="s">
        <v>291</v>
      </c>
      <c r="P11" s="419" t="s">
        <v>292</v>
      </c>
      <c r="Q11" s="406" t="s">
        <v>0</v>
      </c>
      <c r="S11" s="420"/>
      <c r="T11" s="406"/>
    </row>
    <row r="12" spans="1:20">
      <c r="A12" s="421"/>
      <c r="B12" s="411"/>
      <c r="C12" s="422"/>
      <c r="D12" s="423"/>
      <c r="E12" s="424"/>
      <c r="F12" s="422"/>
      <c r="G12" s="423"/>
      <c r="H12" s="424"/>
      <c r="I12" s="422"/>
      <c r="J12" s="423"/>
      <c r="K12" s="422"/>
      <c r="L12" s="425"/>
      <c r="M12" s="426"/>
      <c r="N12" s="423"/>
      <c r="O12" s="422"/>
      <c r="P12" s="423"/>
      <c r="Q12" s="406" t="s">
        <v>0</v>
      </c>
      <c r="S12" s="427"/>
      <c r="T12" s="406"/>
    </row>
    <row r="13" spans="1:20">
      <c r="A13" s="428" t="s">
        <v>293</v>
      </c>
      <c r="B13" s="411"/>
      <c r="C13" s="422"/>
      <c r="D13" s="429"/>
      <c r="E13" s="424"/>
      <c r="F13" s="422"/>
      <c r="G13" s="429"/>
      <c r="H13" s="424"/>
      <c r="I13" s="422"/>
      <c r="J13" s="429"/>
      <c r="K13" s="422"/>
      <c r="L13" s="425"/>
      <c r="M13" s="422"/>
      <c r="N13" s="429"/>
      <c r="O13" s="422"/>
      <c r="P13" s="429"/>
      <c r="Q13" s="406" t="s">
        <v>0</v>
      </c>
      <c r="S13" s="430"/>
      <c r="T13" s="406"/>
    </row>
    <row r="14" spans="1:20">
      <c r="A14" s="431" t="s">
        <v>294</v>
      </c>
      <c r="B14" s="411"/>
      <c r="C14" s="422"/>
      <c r="D14" s="429"/>
      <c r="E14" s="424"/>
      <c r="F14" s="422"/>
      <c r="G14" s="429"/>
      <c r="H14" s="424"/>
      <c r="I14" s="422"/>
      <c r="J14" s="429"/>
      <c r="K14" s="422"/>
      <c r="L14" s="425"/>
      <c r="M14" s="422"/>
      <c r="N14" s="429"/>
      <c r="O14" s="422"/>
      <c r="P14" s="423"/>
      <c r="Q14" s="406" t="s">
        <v>0</v>
      </c>
      <c r="S14" s="430"/>
      <c r="T14" s="406"/>
    </row>
    <row r="15" spans="1:20" ht="25.5">
      <c r="A15" s="432" t="s">
        <v>295</v>
      </c>
      <c r="B15" s="411"/>
      <c r="C15" s="422"/>
      <c r="D15" s="429"/>
      <c r="E15" s="424"/>
      <c r="F15" s="422"/>
      <c r="G15" s="429"/>
      <c r="H15" s="424"/>
      <c r="I15" s="422"/>
      <c r="J15" s="429"/>
      <c r="K15" s="422"/>
      <c r="L15" s="425"/>
      <c r="M15" s="422"/>
      <c r="N15" s="429"/>
      <c r="O15" s="422"/>
      <c r="P15" s="423"/>
      <c r="Q15" s="406" t="s">
        <v>0</v>
      </c>
      <c r="S15" s="430"/>
      <c r="T15" s="406"/>
    </row>
    <row r="16" spans="1:20" ht="25.5">
      <c r="A16" s="432" t="s">
        <v>296</v>
      </c>
      <c r="B16" s="411"/>
      <c r="C16" s="422"/>
      <c r="D16" s="429"/>
      <c r="E16" s="424"/>
      <c r="F16" s="422"/>
      <c r="G16" s="429"/>
      <c r="H16" s="424"/>
      <c r="I16" s="422"/>
      <c r="J16" s="429"/>
      <c r="K16" s="422"/>
      <c r="L16" s="425"/>
      <c r="M16" s="422"/>
      <c r="N16" s="429"/>
      <c r="O16" s="422"/>
      <c r="P16" s="423"/>
      <c r="Q16" s="406" t="s">
        <v>0</v>
      </c>
      <c r="S16" s="430"/>
      <c r="T16" s="406"/>
    </row>
    <row r="17" spans="1:20" ht="13.5" customHeight="1">
      <c r="A17" s="431" t="s">
        <v>297</v>
      </c>
      <c r="B17" s="433"/>
      <c r="C17" s="434"/>
      <c r="D17" s="435"/>
      <c r="E17" s="436"/>
      <c r="F17" s="434"/>
      <c r="G17" s="435"/>
      <c r="H17" s="437"/>
      <c r="I17" s="434"/>
      <c r="J17" s="435"/>
      <c r="K17" s="434"/>
      <c r="L17" s="438"/>
      <c r="M17" s="434"/>
      <c r="N17" s="435"/>
      <c r="O17" s="434"/>
      <c r="P17" s="435"/>
      <c r="Q17" s="406" t="s">
        <v>0</v>
      </c>
      <c r="S17" s="439"/>
      <c r="T17" s="406"/>
    </row>
    <row r="18" spans="1:20" s="446" customFormat="1">
      <c r="A18" s="440" t="s">
        <v>298</v>
      </c>
      <c r="B18" s="428"/>
      <c r="C18" s="441">
        <f>SUM(C14:C17)</f>
        <v>0</v>
      </c>
      <c r="D18" s="442">
        <f>SUM(D14:D17)</f>
        <v>0</v>
      </c>
      <c r="E18" s="443"/>
      <c r="F18" s="441">
        <f>SUM(F14:F17)</f>
        <v>0</v>
      </c>
      <c r="G18" s="442">
        <f>SUM(G14:G17)</f>
        <v>0</v>
      </c>
      <c r="H18" s="444"/>
      <c r="I18" s="441">
        <f t="shared" ref="I18:P18" si="0">SUM(I14:I17)</f>
        <v>0</v>
      </c>
      <c r="J18" s="442">
        <f t="shared" si="0"/>
        <v>0</v>
      </c>
      <c r="K18" s="441">
        <f t="shared" si="0"/>
        <v>0</v>
      </c>
      <c r="L18" s="442">
        <f t="shared" si="0"/>
        <v>0</v>
      </c>
      <c r="M18" s="441">
        <f t="shared" si="0"/>
        <v>0</v>
      </c>
      <c r="N18" s="442">
        <f t="shared" si="0"/>
        <v>0</v>
      </c>
      <c r="O18" s="441">
        <f t="shared" si="0"/>
        <v>0</v>
      </c>
      <c r="P18" s="442">
        <f t="shared" si="0"/>
        <v>0</v>
      </c>
      <c r="Q18" s="406" t="s">
        <v>0</v>
      </c>
      <c r="R18" s="408"/>
      <c r="S18" s="445"/>
      <c r="T18" s="406"/>
    </row>
    <row r="19" spans="1:20">
      <c r="A19" s="433"/>
      <c r="B19" s="411"/>
      <c r="C19" s="422"/>
      <c r="D19" s="423"/>
      <c r="E19" s="447"/>
      <c r="F19" s="422"/>
      <c r="G19" s="423"/>
      <c r="H19" s="447"/>
      <c r="I19" s="422"/>
      <c r="J19" s="423"/>
      <c r="K19" s="422"/>
      <c r="L19" s="425"/>
      <c r="M19" s="422"/>
      <c r="N19" s="423"/>
      <c r="O19" s="422"/>
      <c r="P19" s="423"/>
      <c r="Q19" s="406" t="s">
        <v>0</v>
      </c>
      <c r="S19" s="427"/>
      <c r="T19" s="406"/>
    </row>
    <row r="20" spans="1:20" ht="25.5">
      <c r="A20" s="448" t="s">
        <v>299</v>
      </c>
      <c r="B20" s="411"/>
      <c r="C20" s="422"/>
      <c r="D20" s="423"/>
      <c r="E20" s="449"/>
      <c r="F20" s="422"/>
      <c r="G20" s="423"/>
      <c r="H20" s="449"/>
      <c r="I20" s="422"/>
      <c r="J20" s="423"/>
      <c r="K20" s="422"/>
      <c r="L20" s="425"/>
      <c r="M20" s="422"/>
      <c r="N20" s="423"/>
      <c r="O20" s="450"/>
      <c r="P20" s="451"/>
      <c r="Q20" s="406" t="s">
        <v>0</v>
      </c>
      <c r="S20" s="427"/>
      <c r="T20" s="406"/>
    </row>
    <row r="21" spans="1:20" ht="25.5">
      <c r="A21" s="432" t="s">
        <v>300</v>
      </c>
      <c r="B21" s="411"/>
      <c r="C21" s="422">
        <v>484</v>
      </c>
      <c r="D21" s="423">
        <v>113917</v>
      </c>
      <c r="E21" s="449"/>
      <c r="F21" s="422">
        <v>484</v>
      </c>
      <c r="G21" s="423">
        <v>113917</v>
      </c>
      <c r="H21" s="449"/>
      <c r="I21" s="422">
        <f>F21</f>
        <v>484</v>
      </c>
      <c r="J21" s="423">
        <f>G21+6069</f>
        <v>119986</v>
      </c>
      <c r="K21" s="422">
        <v>26</v>
      </c>
      <c r="L21" s="425">
        <v>28285</v>
      </c>
      <c r="M21" s="422"/>
      <c r="N21" s="423">
        <v>-128</v>
      </c>
      <c r="O21" s="422">
        <f t="shared" ref="O21:P26" si="1">+I21+K21+M21</f>
        <v>510</v>
      </c>
      <c r="P21" s="423">
        <f t="shared" si="1"/>
        <v>148143</v>
      </c>
      <c r="Q21" s="406" t="s">
        <v>0</v>
      </c>
      <c r="S21" s="427"/>
      <c r="T21" s="406"/>
    </row>
    <row r="22" spans="1:20">
      <c r="A22" s="431" t="s">
        <v>301</v>
      </c>
      <c r="B22" s="411"/>
      <c r="C22" s="422"/>
      <c r="D22" s="423"/>
      <c r="E22" s="449"/>
      <c r="F22" s="422"/>
      <c r="G22" s="423"/>
      <c r="H22" s="449"/>
      <c r="I22" s="422"/>
      <c r="J22" s="423"/>
      <c r="K22" s="422"/>
      <c r="L22" s="425"/>
      <c r="M22" s="422"/>
      <c r="N22" s="423"/>
      <c r="O22" s="422">
        <f t="shared" si="1"/>
        <v>0</v>
      </c>
      <c r="P22" s="423">
        <f t="shared" si="1"/>
        <v>0</v>
      </c>
      <c r="Q22" s="406" t="s">
        <v>0</v>
      </c>
      <c r="S22" s="427"/>
      <c r="T22" s="406"/>
    </row>
    <row r="23" spans="1:20">
      <c r="A23" s="431" t="s">
        <v>302</v>
      </c>
      <c r="B23" s="411"/>
      <c r="C23" s="422">
        <v>16</v>
      </c>
      <c r="D23" s="423">
        <v>3796</v>
      </c>
      <c r="E23" s="449"/>
      <c r="F23" s="422">
        <v>16</v>
      </c>
      <c r="G23" s="423">
        <v>3796</v>
      </c>
      <c r="H23" s="449"/>
      <c r="I23" s="422">
        <f>F23</f>
        <v>16</v>
      </c>
      <c r="J23" s="423">
        <f>G23+202</f>
        <v>3998</v>
      </c>
      <c r="K23" s="422">
        <v>1</v>
      </c>
      <c r="L23" s="425">
        <v>943</v>
      </c>
      <c r="M23" s="422"/>
      <c r="N23" s="423">
        <v>-4</v>
      </c>
      <c r="O23" s="422">
        <f t="shared" si="1"/>
        <v>17</v>
      </c>
      <c r="P23" s="423">
        <f t="shared" si="1"/>
        <v>4937</v>
      </c>
      <c r="Q23" s="406" t="s">
        <v>0</v>
      </c>
      <c r="S23" s="427"/>
      <c r="T23" s="406"/>
    </row>
    <row r="24" spans="1:20">
      <c r="A24" s="431" t="s">
        <v>303</v>
      </c>
      <c r="B24" s="411"/>
      <c r="C24" s="422"/>
      <c r="D24" s="423"/>
      <c r="E24" s="449"/>
      <c r="F24" s="422"/>
      <c r="G24" s="423"/>
      <c r="H24" s="449"/>
      <c r="I24" s="422"/>
      <c r="J24" s="423"/>
      <c r="K24" s="422"/>
      <c r="L24" s="425"/>
      <c r="M24" s="422"/>
      <c r="N24" s="423"/>
      <c r="O24" s="422"/>
      <c r="P24" s="423"/>
      <c r="Q24" s="406" t="s">
        <v>0</v>
      </c>
      <c r="S24" s="427"/>
      <c r="T24" s="406"/>
    </row>
    <row r="25" spans="1:20" ht="25.5">
      <c r="A25" s="432" t="s">
        <v>304</v>
      </c>
      <c r="B25" s="411"/>
      <c r="C25" s="422"/>
      <c r="D25" s="423"/>
      <c r="E25" s="449"/>
      <c r="F25" s="422"/>
      <c r="G25" s="423"/>
      <c r="H25" s="449"/>
      <c r="I25" s="422"/>
      <c r="J25" s="423"/>
      <c r="K25" s="422"/>
      <c r="L25" s="425"/>
      <c r="M25" s="422"/>
      <c r="N25" s="423"/>
      <c r="O25" s="422"/>
      <c r="P25" s="423"/>
      <c r="Q25" s="406" t="s">
        <v>0</v>
      </c>
      <c r="S25" s="427"/>
      <c r="T25" s="406"/>
    </row>
    <row r="26" spans="1:20">
      <c r="A26" s="431" t="s">
        <v>305</v>
      </c>
      <c r="B26" s="411"/>
      <c r="C26" s="422"/>
      <c r="D26" s="423">
        <v>139</v>
      </c>
      <c r="E26" s="449"/>
      <c r="F26" s="422"/>
      <c r="G26" s="423">
        <v>139</v>
      </c>
      <c r="H26" s="449"/>
      <c r="I26" s="422"/>
      <c r="J26" s="423">
        <f>G26+7</f>
        <v>146</v>
      </c>
      <c r="K26" s="422"/>
      <c r="L26" s="425">
        <v>35</v>
      </c>
      <c r="M26" s="422"/>
      <c r="N26" s="423"/>
      <c r="O26" s="422">
        <f t="shared" si="1"/>
        <v>0</v>
      </c>
      <c r="P26" s="423">
        <f t="shared" si="1"/>
        <v>181</v>
      </c>
      <c r="Q26" s="406" t="s">
        <v>0</v>
      </c>
      <c r="S26" s="427"/>
      <c r="T26" s="406"/>
    </row>
    <row r="27" spans="1:20" ht="25.5">
      <c r="A27" s="432" t="s">
        <v>306</v>
      </c>
      <c r="B27" s="411"/>
      <c r="C27" s="422"/>
      <c r="D27" s="423"/>
      <c r="E27" s="449"/>
      <c r="F27" s="422"/>
      <c r="G27" s="423"/>
      <c r="H27" s="449"/>
      <c r="I27" s="422"/>
      <c r="J27" s="423"/>
      <c r="K27" s="422"/>
      <c r="L27" s="425"/>
      <c r="M27" s="422"/>
      <c r="N27" s="423"/>
      <c r="O27" s="422"/>
      <c r="P27" s="423"/>
      <c r="Q27" s="406" t="s">
        <v>0</v>
      </c>
      <c r="R27" s="427"/>
      <c r="S27" s="427"/>
      <c r="T27" s="406"/>
    </row>
    <row r="28" spans="1:20" ht="27.75" customHeight="1">
      <c r="A28" s="432" t="s">
        <v>307</v>
      </c>
      <c r="B28" s="433"/>
      <c r="C28" s="434"/>
      <c r="D28" s="435"/>
      <c r="E28" s="452"/>
      <c r="F28" s="434"/>
      <c r="G28" s="435"/>
      <c r="H28" s="453"/>
      <c r="I28" s="434"/>
      <c r="J28" s="435"/>
      <c r="K28" s="434"/>
      <c r="L28" s="438"/>
      <c r="M28" s="434"/>
      <c r="N28" s="435"/>
      <c r="O28" s="422"/>
      <c r="P28" s="454"/>
      <c r="Q28" s="406" t="s">
        <v>0</v>
      </c>
      <c r="R28" s="439"/>
      <c r="S28" s="439"/>
      <c r="T28" s="406"/>
    </row>
    <row r="29" spans="1:20">
      <c r="A29" s="440" t="s">
        <v>308</v>
      </c>
      <c r="B29" s="428"/>
      <c r="C29" s="441">
        <f>SUM(C21:C28)</f>
        <v>500</v>
      </c>
      <c r="D29" s="442">
        <f>SUM(D21:D28)</f>
        <v>117852</v>
      </c>
      <c r="E29" s="455"/>
      <c r="F29" s="441">
        <f>SUM(F21:F28)</f>
        <v>500</v>
      </c>
      <c r="G29" s="442">
        <f>SUM(G21:G28)</f>
        <v>117852</v>
      </c>
      <c r="H29" s="456"/>
      <c r="I29" s="441">
        <f t="shared" ref="I29:P29" si="2">SUM(I21:I28)</f>
        <v>500</v>
      </c>
      <c r="J29" s="442">
        <f t="shared" si="2"/>
        <v>124130</v>
      </c>
      <c r="K29" s="457">
        <f t="shared" si="2"/>
        <v>27</v>
      </c>
      <c r="L29" s="458">
        <f t="shared" si="2"/>
        <v>29263</v>
      </c>
      <c r="M29" s="441">
        <f t="shared" si="2"/>
        <v>0</v>
      </c>
      <c r="N29" s="442">
        <f t="shared" si="2"/>
        <v>-132</v>
      </c>
      <c r="O29" s="457">
        <f t="shared" si="2"/>
        <v>527</v>
      </c>
      <c r="P29" s="442">
        <f t="shared" si="2"/>
        <v>153261</v>
      </c>
      <c r="Q29" s="406" t="s">
        <v>0</v>
      </c>
      <c r="R29" s="445"/>
      <c r="S29" s="445"/>
      <c r="T29" s="406"/>
    </row>
    <row r="30" spans="1:20">
      <c r="A30" s="433"/>
      <c r="B30" s="411"/>
      <c r="C30" s="422"/>
      <c r="D30" s="423"/>
      <c r="E30" s="411"/>
      <c r="F30" s="422"/>
      <c r="G30" s="423"/>
      <c r="H30" s="411"/>
      <c r="I30" s="422"/>
      <c r="J30" s="423"/>
      <c r="K30" s="422"/>
      <c r="L30" s="425"/>
      <c r="M30" s="422"/>
      <c r="N30" s="423"/>
      <c r="O30" s="422"/>
      <c r="P30" s="423"/>
      <c r="Q30" s="406" t="s">
        <v>0</v>
      </c>
      <c r="R30" s="427"/>
      <c r="S30" s="427"/>
      <c r="T30" s="406"/>
    </row>
    <row r="31" spans="1:20" ht="25.5">
      <c r="A31" s="448" t="s">
        <v>309</v>
      </c>
      <c r="B31" s="411"/>
      <c r="C31" s="422"/>
      <c r="D31" s="423"/>
      <c r="E31" s="424"/>
      <c r="F31" s="422"/>
      <c r="G31" s="423"/>
      <c r="H31" s="424"/>
      <c r="I31" s="422"/>
      <c r="J31" s="423"/>
      <c r="K31" s="422"/>
      <c r="L31" s="425"/>
      <c r="M31" s="422"/>
      <c r="N31" s="423"/>
      <c r="O31" s="422"/>
      <c r="P31" s="423"/>
      <c r="Q31" s="406" t="s">
        <v>0</v>
      </c>
      <c r="R31" s="427"/>
      <c r="S31" s="427"/>
      <c r="T31" s="406"/>
    </row>
    <row r="32" spans="1:20" ht="38.25">
      <c r="A32" s="432" t="s">
        <v>310</v>
      </c>
      <c r="B32" s="411"/>
      <c r="C32" s="422"/>
      <c r="D32" s="423"/>
      <c r="E32" s="424"/>
      <c r="F32" s="422"/>
      <c r="G32" s="423"/>
      <c r="H32" s="424"/>
      <c r="I32" s="422"/>
      <c r="J32" s="423"/>
      <c r="K32" s="422"/>
      <c r="L32" s="425"/>
      <c r="M32" s="422"/>
      <c r="N32" s="423"/>
      <c r="O32" s="422"/>
      <c r="P32" s="423"/>
      <c r="Q32" s="406" t="s">
        <v>0</v>
      </c>
      <c r="R32" s="427"/>
      <c r="S32" s="427"/>
      <c r="T32" s="406"/>
    </row>
    <row r="33" spans="1:20">
      <c r="A33" s="431" t="s">
        <v>311</v>
      </c>
      <c r="B33" s="411"/>
      <c r="C33" s="422"/>
      <c r="D33" s="423"/>
      <c r="E33" s="424"/>
      <c r="F33" s="422"/>
      <c r="G33" s="423"/>
      <c r="H33" s="424"/>
      <c r="I33" s="422"/>
      <c r="J33" s="423"/>
      <c r="K33" s="422"/>
      <c r="L33" s="425"/>
      <c r="M33" s="422"/>
      <c r="N33" s="423"/>
      <c r="O33" s="422"/>
      <c r="P33" s="423"/>
      <c r="Q33" s="406" t="s">
        <v>0</v>
      </c>
      <c r="R33" s="427"/>
      <c r="S33" s="427"/>
      <c r="T33" s="406"/>
    </row>
    <row r="34" spans="1:20" ht="42" customHeight="1">
      <c r="A34" s="432" t="s">
        <v>312</v>
      </c>
      <c r="B34" s="411"/>
      <c r="C34" s="422"/>
      <c r="D34" s="423"/>
      <c r="E34" s="424"/>
      <c r="F34" s="422"/>
      <c r="G34" s="423"/>
      <c r="H34" s="424"/>
      <c r="I34" s="422"/>
      <c r="J34" s="423"/>
      <c r="K34" s="422"/>
      <c r="L34" s="425"/>
      <c r="M34" s="422"/>
      <c r="N34" s="423"/>
      <c r="O34" s="422"/>
      <c r="P34" s="423"/>
      <c r="Q34" s="406" t="s">
        <v>0</v>
      </c>
      <c r="R34" s="427"/>
      <c r="S34" s="427"/>
      <c r="T34" s="406"/>
    </row>
    <row r="35" spans="1:20" ht="38.25">
      <c r="A35" s="432" t="s">
        <v>313</v>
      </c>
      <c r="B35" s="411"/>
      <c r="C35" s="422"/>
      <c r="D35" s="423"/>
      <c r="E35" s="424"/>
      <c r="F35" s="422"/>
      <c r="G35" s="423"/>
      <c r="H35" s="424"/>
      <c r="I35" s="422"/>
      <c r="J35" s="423"/>
      <c r="K35" s="422"/>
      <c r="L35" s="425"/>
      <c r="M35" s="422"/>
      <c r="N35" s="423"/>
      <c r="O35" s="422"/>
      <c r="P35" s="423"/>
      <c r="Q35" s="406" t="s">
        <v>0</v>
      </c>
      <c r="R35" s="427"/>
      <c r="S35" s="427"/>
      <c r="T35" s="406"/>
    </row>
    <row r="36" spans="1:20" ht="25.5">
      <c r="A36" s="432" t="s">
        <v>314</v>
      </c>
      <c r="B36" s="411"/>
      <c r="C36" s="422"/>
      <c r="D36" s="423"/>
      <c r="E36" s="424"/>
      <c r="F36" s="422"/>
      <c r="G36" s="423"/>
      <c r="H36" s="424"/>
      <c r="I36" s="422"/>
      <c r="J36" s="423"/>
      <c r="K36" s="422"/>
      <c r="L36" s="425"/>
      <c r="M36" s="422"/>
      <c r="N36" s="423"/>
      <c r="O36" s="422"/>
      <c r="P36" s="423"/>
      <c r="Q36" s="406" t="s">
        <v>0</v>
      </c>
      <c r="R36" s="427"/>
      <c r="S36" s="427"/>
      <c r="T36" s="406"/>
    </row>
    <row r="37" spans="1:20">
      <c r="A37" s="432" t="s">
        <v>88</v>
      </c>
      <c r="B37" s="411"/>
      <c r="C37" s="422">
        <v>29</v>
      </c>
      <c r="D37" s="423">
        <v>6879</v>
      </c>
      <c r="E37" s="424"/>
      <c r="F37" s="422">
        <v>29</v>
      </c>
      <c r="G37" s="423">
        <v>6879</v>
      </c>
      <c r="H37" s="424"/>
      <c r="I37" s="422">
        <f>F37</f>
        <v>29</v>
      </c>
      <c r="J37" s="423">
        <f>G37+367</f>
        <v>7246</v>
      </c>
      <c r="K37" s="422">
        <v>1</v>
      </c>
      <c r="L37" s="425">
        <v>1708</v>
      </c>
      <c r="M37" s="422"/>
      <c r="N37" s="423">
        <v>-8</v>
      </c>
      <c r="O37" s="422">
        <f t="shared" ref="O37:P38" si="3">+I37+K37+M37</f>
        <v>30</v>
      </c>
      <c r="P37" s="423">
        <f t="shared" si="3"/>
        <v>8946</v>
      </c>
      <c r="Q37" s="406" t="s">
        <v>0</v>
      </c>
      <c r="R37" s="427"/>
      <c r="S37" s="427"/>
      <c r="T37" s="406"/>
    </row>
    <row r="38" spans="1:20">
      <c r="A38" s="431" t="s">
        <v>315</v>
      </c>
      <c r="B38" s="411"/>
      <c r="C38" s="422">
        <v>151</v>
      </c>
      <c r="D38" s="423">
        <v>35487</v>
      </c>
      <c r="E38" s="424"/>
      <c r="F38" s="422">
        <v>151</v>
      </c>
      <c r="G38" s="423">
        <v>35487</v>
      </c>
      <c r="H38" s="424"/>
      <c r="I38" s="422">
        <f>F38</f>
        <v>151</v>
      </c>
      <c r="J38" s="423">
        <f>G38+1890</f>
        <v>37377</v>
      </c>
      <c r="K38" s="422">
        <v>8</v>
      </c>
      <c r="L38" s="425">
        <v>8811</v>
      </c>
      <c r="M38" s="422"/>
      <c r="N38" s="423">
        <v>-40</v>
      </c>
      <c r="O38" s="422">
        <f t="shared" si="3"/>
        <v>159</v>
      </c>
      <c r="P38" s="423">
        <f t="shared" si="3"/>
        <v>46148</v>
      </c>
      <c r="Q38" s="406" t="s">
        <v>0</v>
      </c>
      <c r="R38" s="427"/>
      <c r="S38" s="427"/>
      <c r="T38" s="406"/>
    </row>
    <row r="39" spans="1:20">
      <c r="A39" s="440" t="s">
        <v>316</v>
      </c>
      <c r="B39" s="428"/>
      <c r="C39" s="441">
        <f>SUM(C32:C38)</f>
        <v>180</v>
      </c>
      <c r="D39" s="442">
        <f>SUM(D32:D38)</f>
        <v>42366</v>
      </c>
      <c r="E39" s="443"/>
      <c r="F39" s="441">
        <f>SUM(F32:F38)</f>
        <v>180</v>
      </c>
      <c r="G39" s="442">
        <f>SUM(G32:G38)</f>
        <v>42366</v>
      </c>
      <c r="H39" s="444"/>
      <c r="I39" s="441">
        <f t="shared" ref="I39:P39" si="4">SUM(I32:I38)</f>
        <v>180</v>
      </c>
      <c r="J39" s="442">
        <f t="shared" si="4"/>
        <v>44623</v>
      </c>
      <c r="K39" s="441">
        <f t="shared" si="4"/>
        <v>9</v>
      </c>
      <c r="L39" s="458">
        <f t="shared" si="4"/>
        <v>10519</v>
      </c>
      <c r="M39" s="441">
        <f t="shared" si="4"/>
        <v>0</v>
      </c>
      <c r="N39" s="442">
        <f t="shared" si="4"/>
        <v>-48</v>
      </c>
      <c r="O39" s="441">
        <f t="shared" si="4"/>
        <v>189</v>
      </c>
      <c r="P39" s="442">
        <f t="shared" si="4"/>
        <v>55094</v>
      </c>
      <c r="Q39" s="406" t="s">
        <v>0</v>
      </c>
      <c r="R39" s="445"/>
      <c r="S39" s="445"/>
      <c r="T39" s="406"/>
    </row>
    <row r="40" spans="1:20" ht="13.5" thickBot="1">
      <c r="A40" s="411"/>
      <c r="B40" s="411"/>
      <c r="C40" s="411"/>
      <c r="D40" s="411"/>
      <c r="E40" s="411"/>
      <c r="F40" s="411"/>
      <c r="G40" s="411"/>
      <c r="H40" s="411"/>
      <c r="I40" s="411"/>
      <c r="J40" s="411"/>
      <c r="K40" s="459"/>
      <c r="L40" s="459"/>
      <c r="M40" s="460"/>
      <c r="N40" s="411"/>
      <c r="O40" s="411"/>
      <c r="P40" s="411"/>
      <c r="Q40" s="406" t="s">
        <v>0</v>
      </c>
      <c r="R40" s="427"/>
      <c r="S40" s="427"/>
      <c r="T40" s="406"/>
    </row>
    <row r="41" spans="1:20" s="465" customFormat="1" ht="18.75" customHeight="1" thickBot="1">
      <c r="A41" s="461" t="s">
        <v>317</v>
      </c>
      <c r="B41" s="462"/>
      <c r="C41" s="616">
        <f>C18+C29+C39</f>
        <v>680</v>
      </c>
      <c r="D41" s="617">
        <f>D18+D29+D39</f>
        <v>160218</v>
      </c>
      <c r="E41" s="618"/>
      <c r="F41" s="616">
        <f>F18+F29+F39</f>
        <v>680</v>
      </c>
      <c r="G41" s="617">
        <f>G18+G29+G39</f>
        <v>160218</v>
      </c>
      <c r="H41" s="618"/>
      <c r="I41" s="616">
        <f t="shared" ref="I41:P41" si="5">I18+I29+I39</f>
        <v>680</v>
      </c>
      <c r="J41" s="617">
        <f t="shared" si="5"/>
        <v>168753</v>
      </c>
      <c r="K41" s="616">
        <f t="shared" si="5"/>
        <v>36</v>
      </c>
      <c r="L41" s="617">
        <f t="shared" si="5"/>
        <v>39782</v>
      </c>
      <c r="M41" s="616">
        <f t="shared" si="5"/>
        <v>0</v>
      </c>
      <c r="N41" s="617">
        <f t="shared" si="5"/>
        <v>-180</v>
      </c>
      <c r="O41" s="616">
        <f t="shared" si="5"/>
        <v>716</v>
      </c>
      <c r="P41" s="617">
        <f t="shared" si="5"/>
        <v>208355</v>
      </c>
      <c r="Q41" s="406" t="s">
        <v>24</v>
      </c>
      <c r="R41" s="463"/>
      <c r="S41" s="464"/>
      <c r="T41" s="406"/>
    </row>
    <row r="42" spans="1:20">
      <c r="A42" s="467"/>
      <c r="B42" s="467"/>
      <c r="C42" s="463"/>
      <c r="D42" s="464"/>
      <c r="E42" s="467"/>
      <c r="F42" s="463"/>
      <c r="G42" s="464"/>
      <c r="H42" s="467"/>
      <c r="I42" s="463"/>
      <c r="J42" s="464"/>
      <c r="K42" s="465"/>
      <c r="L42" s="465"/>
      <c r="M42" s="465"/>
      <c r="N42" s="465"/>
      <c r="O42" s="465"/>
      <c r="P42" s="465"/>
      <c r="Q42" s="465"/>
      <c r="R42" s="466"/>
      <c r="S42" s="466"/>
      <c r="T42" s="406"/>
    </row>
    <row r="43" spans="1:20">
      <c r="A43" s="467"/>
      <c r="B43" s="467"/>
      <c r="C43" s="463"/>
      <c r="D43" s="464"/>
      <c r="E43" s="467"/>
      <c r="F43" s="463"/>
      <c r="G43" s="464"/>
      <c r="H43" s="467"/>
      <c r="I43" s="463"/>
      <c r="J43" s="464"/>
      <c r="K43" s="465"/>
      <c r="L43" s="465"/>
      <c r="M43" s="465"/>
      <c r="N43" s="465"/>
      <c r="O43" s="465"/>
      <c r="P43" s="465"/>
      <c r="Q43" s="465"/>
      <c r="R43" s="466"/>
      <c r="S43" s="466"/>
      <c r="T43" s="406"/>
    </row>
    <row r="44" spans="1:20">
      <c r="A44" s="468"/>
      <c r="B44" s="469"/>
      <c r="C44" s="470"/>
      <c r="D44" s="471"/>
      <c r="E44" s="469"/>
      <c r="F44" s="470"/>
      <c r="G44" s="471"/>
      <c r="H44" s="469"/>
      <c r="I44" s="470"/>
      <c r="J44" s="471"/>
      <c r="K44" s="470"/>
      <c r="L44" s="472"/>
      <c r="M44" s="470"/>
      <c r="N44" s="471"/>
      <c r="O44" s="470"/>
      <c r="P44" s="471"/>
      <c r="Q44" s="465"/>
      <c r="R44" s="473"/>
      <c r="S44" s="474"/>
      <c r="T44" s="406"/>
    </row>
    <row r="45" spans="1:20">
      <c r="A45" s="467"/>
      <c r="B45" s="467"/>
      <c r="C45" s="463"/>
      <c r="D45" s="464"/>
      <c r="E45" s="467"/>
      <c r="F45" s="463"/>
      <c r="G45" s="464"/>
      <c r="H45" s="467"/>
      <c r="I45" s="463"/>
      <c r="J45" s="464"/>
      <c r="K45" s="465"/>
      <c r="L45" s="465"/>
      <c r="M45" s="465"/>
      <c r="N45" s="465"/>
      <c r="O45" s="465"/>
      <c r="P45" s="465"/>
      <c r="Q45" s="465"/>
      <c r="R45" s="466"/>
      <c r="S45" s="466"/>
    </row>
    <row r="47" spans="1:20" ht="15.75">
      <c r="A47" s="1856"/>
      <c r="B47" s="1856"/>
      <c r="C47" s="1856"/>
      <c r="D47" s="1856"/>
      <c r="E47" s="1856"/>
      <c r="F47" s="1856"/>
      <c r="G47" s="1856"/>
      <c r="H47" s="1856"/>
      <c r="I47" s="475"/>
      <c r="J47" s="476"/>
      <c r="K47" s="477"/>
      <c r="L47" s="477"/>
      <c r="M47" s="477"/>
      <c r="N47" s="477"/>
      <c r="O47" s="477"/>
      <c r="P47" s="477"/>
      <c r="Q47" s="477"/>
      <c r="R47" s="477"/>
      <c r="S47" s="477"/>
    </row>
    <row r="48" spans="1:20" ht="15.75">
      <c r="A48" s="479"/>
      <c r="B48" s="480"/>
      <c r="C48" s="481"/>
      <c r="D48" s="481"/>
      <c r="E48" s="480"/>
      <c r="F48" s="481"/>
      <c r="G48" s="481"/>
      <c r="H48" s="480"/>
      <c r="I48" s="475"/>
      <c r="J48" s="476"/>
      <c r="K48" s="477"/>
      <c r="L48" s="477"/>
      <c r="M48" s="477"/>
      <c r="N48" s="477"/>
      <c r="O48" s="477"/>
      <c r="P48" s="477"/>
      <c r="Q48" s="477"/>
      <c r="R48" s="477"/>
      <c r="S48" s="477"/>
    </row>
    <row r="49" spans="1:19" ht="68.25" customHeight="1">
      <c r="A49" s="1861"/>
      <c r="B49" s="1862"/>
      <c r="C49" s="1862"/>
      <c r="D49" s="1862"/>
      <c r="E49" s="1862"/>
      <c r="F49" s="1862"/>
      <c r="G49" s="1862"/>
      <c r="H49" s="482"/>
      <c r="I49" s="80"/>
      <c r="J49" s="478"/>
      <c r="K49" s="478"/>
      <c r="L49" s="478"/>
      <c r="M49" s="478"/>
      <c r="N49" s="478"/>
      <c r="O49" s="478"/>
      <c r="P49" s="478"/>
      <c r="Q49" s="478"/>
      <c r="R49" s="478"/>
      <c r="S49" s="478"/>
    </row>
    <row r="50" spans="1:19" ht="15" customHeight="1">
      <c r="A50" s="482"/>
      <c r="B50" s="482"/>
      <c r="C50" s="482"/>
      <c r="D50" s="482"/>
      <c r="E50" s="482"/>
      <c r="F50" s="482"/>
      <c r="G50" s="482"/>
      <c r="H50" s="482"/>
      <c r="I50" s="80"/>
      <c r="J50" s="478"/>
      <c r="K50" s="478"/>
      <c r="L50" s="478"/>
      <c r="M50" s="478"/>
      <c r="N50" s="478"/>
      <c r="O50" s="478"/>
      <c r="P50" s="478"/>
      <c r="Q50" s="478"/>
      <c r="R50" s="478"/>
      <c r="S50" s="478"/>
    </row>
    <row r="51" spans="1:19" ht="15">
      <c r="A51" s="1857"/>
      <c r="B51" s="1858"/>
      <c r="C51" s="1858"/>
      <c r="D51" s="1858"/>
      <c r="E51" s="1858"/>
      <c r="F51" s="1858"/>
      <c r="G51" s="1858"/>
      <c r="H51" s="483"/>
      <c r="I51" s="81"/>
      <c r="J51" s="81"/>
      <c r="K51" s="81"/>
      <c r="L51" s="81"/>
      <c r="M51" s="81"/>
      <c r="N51" s="81"/>
      <c r="O51" s="81"/>
      <c r="P51" s="81"/>
      <c r="Q51" s="81"/>
      <c r="R51" s="81"/>
      <c r="S51" s="81"/>
    </row>
    <row r="52" spans="1:19">
      <c r="A52" s="484"/>
      <c r="B52" s="484"/>
      <c r="C52" s="484"/>
      <c r="D52" s="484"/>
      <c r="E52" s="484"/>
      <c r="F52" s="484"/>
      <c r="G52" s="484"/>
      <c r="H52" s="484"/>
      <c r="I52" s="477"/>
      <c r="J52" s="477"/>
      <c r="K52" s="477"/>
      <c r="L52" s="477"/>
      <c r="M52" s="477"/>
      <c r="N52" s="477"/>
      <c r="O52" s="477"/>
      <c r="P52" s="477"/>
      <c r="Q52" s="477"/>
      <c r="R52" s="477"/>
      <c r="S52" s="477"/>
    </row>
    <row r="53" spans="1:19" ht="57" customHeight="1">
      <c r="A53" s="1859"/>
      <c r="B53" s="1860"/>
      <c r="C53" s="1860"/>
      <c r="D53" s="1860"/>
      <c r="E53" s="1860"/>
      <c r="F53" s="1860"/>
      <c r="G53" s="1860"/>
      <c r="H53" s="482"/>
      <c r="I53" s="80"/>
      <c r="J53" s="478"/>
      <c r="K53" s="478"/>
      <c r="L53" s="478"/>
      <c r="M53" s="478"/>
      <c r="N53" s="478"/>
      <c r="O53" s="478"/>
      <c r="P53" s="478"/>
      <c r="Q53" s="478"/>
      <c r="R53" s="478"/>
      <c r="S53" s="478"/>
    </row>
    <row r="54" spans="1:19" ht="33.75" customHeight="1">
      <c r="A54" s="1859"/>
      <c r="B54" s="1860"/>
      <c r="C54" s="1860"/>
      <c r="D54" s="1860"/>
      <c r="E54" s="1860"/>
      <c r="F54" s="1860"/>
      <c r="G54" s="1860"/>
      <c r="H54" s="482"/>
      <c r="I54" s="80"/>
      <c r="J54" s="478"/>
      <c r="K54" s="478"/>
      <c r="L54" s="478"/>
      <c r="M54" s="478"/>
      <c r="N54" s="478"/>
      <c r="O54" s="478"/>
      <c r="P54" s="478"/>
      <c r="Q54" s="478"/>
      <c r="R54" s="478"/>
      <c r="S54" s="478"/>
    </row>
    <row r="55" spans="1:19" ht="15">
      <c r="A55" s="1842"/>
      <c r="B55" s="1843"/>
      <c r="C55" s="1843"/>
      <c r="D55" s="1843"/>
      <c r="E55" s="1843"/>
      <c r="F55" s="1843"/>
      <c r="G55" s="1843"/>
      <c r="H55" s="1843"/>
      <c r="I55" s="1843"/>
      <c r="J55" s="1844"/>
      <c r="K55" s="1844"/>
      <c r="L55" s="1844"/>
      <c r="M55" s="1844"/>
      <c r="N55" s="1844"/>
      <c r="O55" s="1844"/>
      <c r="P55" s="1844"/>
      <c r="Q55" s="1844"/>
      <c r="R55" s="1844"/>
      <c r="S55" s="1844"/>
    </row>
    <row r="56" spans="1:19" ht="15">
      <c r="A56" s="1842"/>
      <c r="B56" s="1843"/>
      <c r="C56" s="1843"/>
      <c r="D56" s="1843"/>
      <c r="E56" s="1843"/>
      <c r="F56" s="1843"/>
      <c r="G56" s="1843"/>
      <c r="H56" s="1843"/>
      <c r="I56" s="1843"/>
      <c r="J56" s="1844"/>
      <c r="K56" s="1844"/>
      <c r="L56" s="1844"/>
      <c r="M56" s="1844"/>
      <c r="N56" s="1844"/>
      <c r="O56" s="1844"/>
      <c r="P56" s="1844"/>
      <c r="Q56" s="1844"/>
      <c r="R56" s="1844"/>
      <c r="S56" s="1844"/>
    </row>
    <row r="57" spans="1:19">
      <c r="S57" s="406"/>
    </row>
  </sheetData>
  <mergeCells count="20">
    <mergeCell ref="A56:S56"/>
    <mergeCell ref="M9:N9"/>
    <mergeCell ref="A10:A11"/>
    <mergeCell ref="F8:G9"/>
    <mergeCell ref="O8:P9"/>
    <mergeCell ref="K8:N8"/>
    <mergeCell ref="A55:S55"/>
    <mergeCell ref="K9:L9"/>
    <mergeCell ref="I8:J9"/>
    <mergeCell ref="A47:H47"/>
    <mergeCell ref="A51:G51"/>
    <mergeCell ref="A54:G54"/>
    <mergeCell ref="A49:G49"/>
    <mergeCell ref="A53:G53"/>
    <mergeCell ref="A1:P1"/>
    <mergeCell ref="A3:P3"/>
    <mergeCell ref="A4:P4"/>
    <mergeCell ref="A6:P6"/>
    <mergeCell ref="C8:D9"/>
    <mergeCell ref="A5:P5"/>
  </mergeCells>
  <printOptions horizontalCentered="1"/>
  <pageMargins left="0.5" right="0.4" top="0.5" bottom="0.25" header="0" footer="0"/>
  <pageSetup scale="66" firstPageNumber="8" fitToHeight="0" orientation="landscape" useFirstPageNumber="1" r:id="rId1"/>
  <headerFooter alignWithMargins="0">
    <oddFooter>&amp;C&amp;"Times New Roman,Regular"Exhibit D - Resources by DOJ Strategic Goals Strategic Objectives&amp;R&amp;"Times New Roman,Regular"Salaries and Expenses</oddFooter>
  </headerFooter>
</worksheet>
</file>

<file path=xl/worksheets/sheet30.xml><?xml version="1.0" encoding="utf-8"?>
<worksheet xmlns="http://schemas.openxmlformats.org/spreadsheetml/2006/main" xmlns:r="http://schemas.openxmlformats.org/officeDocument/2006/relationships">
  <dimension ref="A1:O139"/>
  <sheetViews>
    <sheetView view="pageBreakPreview" zoomScale="75" zoomScaleNormal="100" zoomScaleSheetLayoutView="75" workbookViewId="0">
      <pane xSplit="1" ySplit="9" topLeftCell="B10" activePane="bottomRight" state="frozen"/>
      <selection activeCell="K176" sqref="K176"/>
      <selection pane="topRight" activeCell="K176" sqref="K176"/>
      <selection pane="bottomLeft" activeCell="K176" sqref="K176"/>
      <selection pane="bottomRight" sqref="A1:I1"/>
    </sheetView>
  </sheetViews>
  <sheetFormatPr defaultRowHeight="15.75"/>
  <cols>
    <col min="1" max="1" width="62.6640625" style="1020" customWidth="1"/>
    <col min="2" max="2" width="8.88671875" style="1020"/>
    <col min="3" max="3" width="10.77734375" style="1020" bestFit="1" customWidth="1"/>
    <col min="4" max="4" width="8.88671875" style="1072"/>
    <col min="5" max="5" width="10.6640625" style="1072" customWidth="1"/>
    <col min="6" max="6" width="8.88671875" style="1072"/>
    <col min="7" max="7" width="10.5546875" style="1072" bestFit="1" customWidth="1"/>
    <col min="8" max="8" width="8.88671875" style="1072"/>
    <col min="9" max="9" width="10.33203125" style="1072" customWidth="1"/>
    <col min="10" max="12" width="0" style="1020" hidden="1" customWidth="1"/>
    <col min="13" max="13" width="4.21875" style="1069" customWidth="1"/>
    <col min="14" max="14" width="8.88671875" style="949"/>
    <col min="15" max="16384" width="8.88671875" style="1020"/>
  </cols>
  <sheetData>
    <row r="1" spans="1:14" s="1072" customFormat="1" ht="19.149999999999999" customHeight="1">
      <c r="A1" s="2446" t="s">
        <v>236</v>
      </c>
      <c r="B1" s="2445"/>
      <c r="C1" s="2445"/>
      <c r="D1" s="2445"/>
      <c r="E1" s="2445"/>
      <c r="F1" s="2445"/>
      <c r="G1" s="2445"/>
      <c r="H1" s="2445"/>
      <c r="I1" s="2445"/>
      <c r="M1" s="1314" t="s">
        <v>0</v>
      </c>
      <c r="N1" s="1251"/>
    </row>
    <row r="2" spans="1:14" s="1072" customFormat="1" ht="19.149999999999999" customHeight="1">
      <c r="A2" s="2447"/>
      <c r="B2" s="2448"/>
      <c r="C2" s="2448"/>
      <c r="D2" s="2448"/>
      <c r="E2" s="2448"/>
      <c r="F2" s="2448"/>
      <c r="G2" s="2448"/>
      <c r="H2" s="2448"/>
      <c r="I2" s="2448"/>
      <c r="M2" s="1314" t="s">
        <v>0</v>
      </c>
      <c r="N2" s="1251"/>
    </row>
    <row r="3" spans="1:14" s="1072" customFormat="1" ht="18.75">
      <c r="A3" s="2449" t="s">
        <v>102</v>
      </c>
      <c r="B3" s="2445"/>
      <c r="C3" s="2445"/>
      <c r="D3" s="2445"/>
      <c r="E3" s="2445"/>
      <c r="F3" s="2445"/>
      <c r="G3" s="2445"/>
      <c r="H3" s="2445"/>
      <c r="I3" s="2445"/>
      <c r="M3" s="1314" t="s">
        <v>0</v>
      </c>
      <c r="N3" s="1251"/>
    </row>
    <row r="4" spans="1:14" s="1072" customFormat="1" ht="16.5">
      <c r="A4" s="2450" t="str">
        <f>+'B. Summ of Reqs - SLLEA '!A5</f>
        <v>Office of Justice Programs</v>
      </c>
      <c r="B4" s="2445"/>
      <c r="C4" s="2445"/>
      <c r="D4" s="2445"/>
      <c r="E4" s="2445"/>
      <c r="F4" s="2445"/>
      <c r="G4" s="2445"/>
      <c r="H4" s="2445"/>
      <c r="I4" s="2445"/>
      <c r="M4" s="1314" t="s">
        <v>0</v>
      </c>
      <c r="N4" s="1251"/>
    </row>
    <row r="5" spans="1:14" s="1072" customFormat="1" ht="16.5">
      <c r="A5" s="2450" t="s">
        <v>482</v>
      </c>
      <c r="B5" s="2445"/>
      <c r="C5" s="2445"/>
      <c r="D5" s="2445"/>
      <c r="E5" s="2445"/>
      <c r="F5" s="2445"/>
      <c r="G5" s="2445"/>
      <c r="H5" s="2445"/>
      <c r="I5" s="2445"/>
      <c r="M5" s="1314" t="s">
        <v>0</v>
      </c>
      <c r="N5" s="1251"/>
    </row>
    <row r="6" spans="1:14" s="1072" customFormat="1">
      <c r="A6" s="2444" t="s">
        <v>257</v>
      </c>
      <c r="B6" s="2445"/>
      <c r="C6" s="2445"/>
      <c r="D6" s="2445"/>
      <c r="E6" s="2445"/>
      <c r="F6" s="2445"/>
      <c r="G6" s="2445"/>
      <c r="H6" s="2445"/>
      <c r="I6" s="2445"/>
      <c r="M6" s="1314" t="s">
        <v>0</v>
      </c>
      <c r="N6" s="1251"/>
    </row>
    <row r="7" spans="1:14" s="1072" customFormat="1" ht="11.25" customHeight="1">
      <c r="A7" s="2451"/>
      <c r="B7" s="2451"/>
      <c r="C7" s="2451"/>
      <c r="D7" s="2451"/>
      <c r="E7" s="2451"/>
      <c r="F7" s="2451"/>
      <c r="G7" s="2451"/>
      <c r="H7" s="2451"/>
      <c r="I7" s="2451"/>
      <c r="M7" s="1314" t="s">
        <v>0</v>
      </c>
      <c r="N7" s="1251"/>
    </row>
    <row r="8" spans="1:14" s="1072" customFormat="1" ht="44.25" customHeight="1">
      <c r="A8" s="2452" t="s">
        <v>99</v>
      </c>
      <c r="B8" s="2304" t="s">
        <v>808</v>
      </c>
      <c r="C8" s="2305"/>
      <c r="D8" s="2306" t="s">
        <v>330</v>
      </c>
      <c r="E8" s="2307"/>
      <c r="F8" s="2454" t="s">
        <v>42</v>
      </c>
      <c r="G8" s="2455"/>
      <c r="H8" s="2454" t="s">
        <v>361</v>
      </c>
      <c r="I8" s="2456"/>
      <c r="J8" s="761"/>
      <c r="M8" s="1314" t="s">
        <v>0</v>
      </c>
      <c r="N8" s="1251"/>
    </row>
    <row r="9" spans="1:14" s="1072" customFormat="1" ht="25.5" customHeight="1" thickBot="1">
      <c r="A9" s="2453"/>
      <c r="B9" s="1315" t="s">
        <v>49</v>
      </c>
      <c r="C9" s="1316" t="s">
        <v>279</v>
      </c>
      <c r="D9" s="1315" t="s">
        <v>49</v>
      </c>
      <c r="E9" s="1316" t="s">
        <v>279</v>
      </c>
      <c r="F9" s="1315" t="s">
        <v>49</v>
      </c>
      <c r="G9" s="1316" t="s">
        <v>279</v>
      </c>
      <c r="H9" s="1315" t="s">
        <v>49</v>
      </c>
      <c r="I9" s="1317" t="s">
        <v>279</v>
      </c>
      <c r="J9" s="761"/>
      <c r="M9" s="1314" t="s">
        <v>0</v>
      </c>
      <c r="N9" s="1251"/>
    </row>
    <row r="10" spans="1:14" s="1072" customFormat="1">
      <c r="A10" s="1318" t="s">
        <v>15</v>
      </c>
      <c r="B10" s="1062"/>
      <c r="C10" s="1319"/>
      <c r="D10" s="1062"/>
      <c r="E10" s="1319"/>
      <c r="F10" s="1062"/>
      <c r="G10" s="1319"/>
      <c r="H10" s="1062"/>
      <c r="I10" s="1320"/>
      <c r="J10" s="761"/>
      <c r="M10" s="1314" t="s">
        <v>0</v>
      </c>
      <c r="N10" s="1251"/>
    </row>
    <row r="11" spans="1:14" s="1072" customFormat="1">
      <c r="A11" s="1321" t="s">
        <v>71</v>
      </c>
      <c r="B11" s="1062"/>
      <c r="C11" s="1322"/>
      <c r="D11" s="1062"/>
      <c r="E11" s="1322"/>
      <c r="F11" s="1062"/>
      <c r="G11" s="1322"/>
      <c r="H11" s="1062"/>
      <c r="I11" s="1323"/>
      <c r="J11" s="1324" t="s">
        <v>47</v>
      </c>
      <c r="K11" s="1072" t="s">
        <v>48</v>
      </c>
      <c r="M11" s="1314" t="s">
        <v>0</v>
      </c>
      <c r="N11" s="1251"/>
    </row>
    <row r="12" spans="1:14" s="1072" customFormat="1">
      <c r="A12" s="1321" t="s">
        <v>56</v>
      </c>
      <c r="B12" s="1325"/>
      <c r="C12" s="1322"/>
      <c r="D12" s="1325"/>
      <c r="E12" s="1322"/>
      <c r="F12" s="1325"/>
      <c r="G12" s="1322"/>
      <c r="H12" s="1062"/>
      <c r="I12" s="1323"/>
      <c r="J12" s="761">
        <v>93</v>
      </c>
      <c r="M12" s="1314" t="s">
        <v>0</v>
      </c>
      <c r="N12" s="1251"/>
    </row>
    <row r="13" spans="1:14" s="1072" customFormat="1">
      <c r="A13" s="1326" t="s">
        <v>58</v>
      </c>
      <c r="B13" s="1327"/>
      <c r="C13" s="1328"/>
      <c r="D13" s="1327"/>
      <c r="E13" s="1328"/>
      <c r="F13" s="1327"/>
      <c r="G13" s="1328"/>
      <c r="H13" s="1327"/>
      <c r="I13" s="1329"/>
      <c r="J13" s="761"/>
      <c r="M13" s="1314" t="s">
        <v>0</v>
      </c>
      <c r="N13" s="1251"/>
    </row>
    <row r="14" spans="1:14" s="1072" customFormat="1">
      <c r="A14" s="1326" t="s">
        <v>57</v>
      </c>
      <c r="B14" s="1327"/>
      <c r="C14" s="1328"/>
      <c r="D14" s="1327"/>
      <c r="E14" s="1328"/>
      <c r="F14" s="1327"/>
      <c r="G14" s="1328"/>
      <c r="H14" s="1327"/>
      <c r="I14" s="1329"/>
      <c r="J14" s="761"/>
      <c r="M14" s="1314" t="s">
        <v>0</v>
      </c>
      <c r="N14" s="1251"/>
    </row>
    <row r="15" spans="1:14" s="1072" customFormat="1">
      <c r="A15" s="1330" t="s">
        <v>59</v>
      </c>
      <c r="B15" s="1331"/>
      <c r="C15" s="1332"/>
      <c r="D15" s="1331"/>
      <c r="E15" s="1332"/>
      <c r="F15" s="1331"/>
      <c r="G15" s="1332"/>
      <c r="H15" s="1331"/>
      <c r="I15" s="1333"/>
      <c r="J15" s="761"/>
      <c r="M15" s="1314" t="s">
        <v>0</v>
      </c>
      <c r="N15" s="1251"/>
    </row>
    <row r="16" spans="1:14" s="1072" customFormat="1">
      <c r="A16" s="1334" t="s">
        <v>16</v>
      </c>
      <c r="B16" s="1335">
        <f>+B10+B11+B12+B15</f>
        <v>0</v>
      </c>
      <c r="C16" s="1336">
        <f t="shared" ref="C16:I16" si="0">+C10+C11+C12+C15</f>
        <v>0</v>
      </c>
      <c r="D16" s="1335">
        <f>+D10+D11+D12+D15</f>
        <v>0</v>
      </c>
      <c r="E16" s="1336">
        <f t="shared" si="0"/>
        <v>0</v>
      </c>
      <c r="F16" s="1335">
        <f t="shared" si="0"/>
        <v>0</v>
      </c>
      <c r="G16" s="1337">
        <f t="shared" si="0"/>
        <v>0</v>
      </c>
      <c r="H16" s="1336">
        <f>+H10+H11+H12+H15</f>
        <v>0</v>
      </c>
      <c r="I16" s="1337">
        <f t="shared" si="0"/>
        <v>0</v>
      </c>
      <c r="J16" s="1338">
        <f>697+630+957+2333</f>
        <v>4617</v>
      </c>
      <c r="K16" s="1072">
        <f>2451-93</f>
        <v>2358</v>
      </c>
      <c r="L16" s="1072">
        <f>+E16-G16</f>
        <v>0</v>
      </c>
      <c r="M16" s="1314" t="s">
        <v>0</v>
      </c>
      <c r="N16" s="1251"/>
    </row>
    <row r="17" spans="1:15" s="1072" customFormat="1">
      <c r="A17" s="1321" t="s">
        <v>100</v>
      </c>
      <c r="B17" s="1062"/>
      <c r="C17" s="1322"/>
      <c r="D17" s="1062"/>
      <c r="E17" s="1322"/>
      <c r="F17" s="1062"/>
      <c r="G17" s="1322"/>
      <c r="H17" s="1062"/>
      <c r="I17" s="1323"/>
      <c r="J17" s="761"/>
      <c r="M17" s="1314" t="s">
        <v>0</v>
      </c>
      <c r="N17" s="1251"/>
    </row>
    <row r="18" spans="1:15" s="1072" customFormat="1">
      <c r="A18" s="1051" t="s">
        <v>61</v>
      </c>
      <c r="B18" s="1062"/>
      <c r="C18" s="1322"/>
      <c r="D18" s="1062"/>
      <c r="E18" s="1322"/>
      <c r="F18" s="1062"/>
      <c r="G18" s="1322"/>
      <c r="H18" s="1062"/>
      <c r="I18" s="1323"/>
      <c r="J18" s="761">
        <v>359</v>
      </c>
      <c r="K18" s="1072">
        <f>1171+93</f>
        <v>1264</v>
      </c>
      <c r="L18" s="1072">
        <f t="shared" ref="L18:L34" si="1">+E18-G18</f>
        <v>0</v>
      </c>
      <c r="M18" s="1314" t="s">
        <v>0</v>
      </c>
      <c r="N18" s="1251"/>
    </row>
    <row r="19" spans="1:15" s="1072" customFormat="1">
      <c r="A19" s="1051" t="s">
        <v>62</v>
      </c>
      <c r="B19" s="1062"/>
      <c r="C19" s="1322"/>
      <c r="D19" s="1062"/>
      <c r="E19" s="1322"/>
      <c r="F19" s="1062"/>
      <c r="G19" s="1322"/>
      <c r="H19" s="1062"/>
      <c r="I19" s="1323"/>
      <c r="J19" s="761"/>
      <c r="K19" s="1072">
        <v>110</v>
      </c>
      <c r="L19" s="1072">
        <f t="shared" si="1"/>
        <v>0</v>
      </c>
      <c r="M19" s="1314" t="s">
        <v>0</v>
      </c>
      <c r="N19" s="1251"/>
    </row>
    <row r="20" spans="1:15" s="1072" customFormat="1">
      <c r="A20" s="1051" t="s">
        <v>63</v>
      </c>
      <c r="B20" s="1062"/>
      <c r="C20" s="1322"/>
      <c r="D20" s="1062"/>
      <c r="E20" s="1322"/>
      <c r="F20" s="1062"/>
      <c r="G20" s="1322"/>
      <c r="H20" s="1062"/>
      <c r="I20" s="1323"/>
      <c r="J20" s="761"/>
      <c r="K20" s="1072">
        <v>0</v>
      </c>
      <c r="L20" s="1072">
        <f t="shared" si="1"/>
        <v>0</v>
      </c>
      <c r="M20" s="1314" t="s">
        <v>0</v>
      </c>
      <c r="N20" s="1251"/>
    </row>
    <row r="21" spans="1:15" s="1072" customFormat="1">
      <c r="A21" s="1051" t="s">
        <v>234</v>
      </c>
      <c r="B21" s="1062"/>
      <c r="C21" s="1322"/>
      <c r="D21" s="1062"/>
      <c r="E21" s="1322"/>
      <c r="F21" s="1062"/>
      <c r="G21" s="1322"/>
      <c r="H21" s="1062"/>
      <c r="I21" s="1323"/>
      <c r="J21" s="761">
        <f>4220-576</f>
        <v>3644</v>
      </c>
      <c r="L21" s="1072">
        <f t="shared" si="1"/>
        <v>0</v>
      </c>
      <c r="M21" s="1314" t="s">
        <v>0</v>
      </c>
      <c r="N21" s="1251"/>
    </row>
    <row r="22" spans="1:15" s="1072" customFormat="1">
      <c r="A22" s="1051" t="s">
        <v>36</v>
      </c>
      <c r="B22" s="1062"/>
      <c r="C22" s="1322"/>
      <c r="D22" s="1062"/>
      <c r="E22" s="1322"/>
      <c r="F22" s="1062"/>
      <c r="G22" s="1322"/>
      <c r="H22" s="1062"/>
      <c r="I22" s="1323"/>
      <c r="J22" s="761"/>
      <c r="L22" s="1072">
        <f t="shared" si="1"/>
        <v>0</v>
      </c>
      <c r="M22" s="1314" t="s">
        <v>0</v>
      </c>
      <c r="N22" s="1251"/>
    </row>
    <row r="23" spans="1:15" s="1072" customFormat="1">
      <c r="A23" s="1051" t="s">
        <v>64</v>
      </c>
      <c r="B23" s="1062"/>
      <c r="C23" s="1322"/>
      <c r="D23" s="1062"/>
      <c r="E23" s="1322"/>
      <c r="F23" s="1062"/>
      <c r="G23" s="1322"/>
      <c r="H23" s="1062"/>
      <c r="I23" s="1323"/>
      <c r="J23" s="761">
        <v>332</v>
      </c>
      <c r="K23" s="1072">
        <v>175</v>
      </c>
      <c r="L23" s="1072">
        <f t="shared" si="1"/>
        <v>0</v>
      </c>
      <c r="M23" s="1314" t="s">
        <v>0</v>
      </c>
      <c r="N23" s="1251"/>
    </row>
    <row r="24" spans="1:15" s="1072" customFormat="1">
      <c r="A24" s="1051" t="s">
        <v>65</v>
      </c>
      <c r="B24" s="1062"/>
      <c r="C24" s="1322"/>
      <c r="D24" s="1062"/>
      <c r="E24" s="1322"/>
      <c r="F24" s="1062"/>
      <c r="G24" s="1322"/>
      <c r="H24" s="1062"/>
      <c r="I24" s="1323"/>
      <c r="J24" s="761"/>
      <c r="L24" s="1072">
        <f t="shared" si="1"/>
        <v>0</v>
      </c>
      <c r="M24" s="1314" t="s">
        <v>0</v>
      </c>
      <c r="N24" s="1251"/>
    </row>
    <row r="25" spans="1:15" s="1072" customFormat="1">
      <c r="A25" s="1051" t="s">
        <v>66</v>
      </c>
      <c r="B25" s="1062"/>
      <c r="C25" s="1322"/>
      <c r="D25" s="1062"/>
      <c r="E25" s="1322"/>
      <c r="F25" s="1062"/>
      <c r="G25" s="1322"/>
      <c r="H25" s="1062"/>
      <c r="I25" s="1323"/>
      <c r="J25" s="761"/>
      <c r="K25" s="1072">
        <v>14918</v>
      </c>
      <c r="L25" s="1072">
        <f t="shared" si="1"/>
        <v>0</v>
      </c>
      <c r="M25" s="1314" t="s">
        <v>0</v>
      </c>
      <c r="N25" s="1251"/>
    </row>
    <row r="26" spans="1:15" s="1072" customFormat="1">
      <c r="A26" s="1051" t="s">
        <v>67</v>
      </c>
      <c r="B26" s="1062"/>
      <c r="C26" s="1322">
        <v>20000</v>
      </c>
      <c r="D26" s="1062"/>
      <c r="E26" s="1322">
        <v>15000</v>
      </c>
      <c r="F26" s="1062"/>
      <c r="G26" s="1322">
        <f>((C26/$C$34)*(-361268)+E26)</f>
        <v>10826.921455312455</v>
      </c>
      <c r="H26" s="1062"/>
      <c r="I26" s="1323">
        <f>G26-C26</f>
        <v>-9173.0785446875452</v>
      </c>
      <c r="J26" s="761">
        <v>276</v>
      </c>
      <c r="K26" s="1072">
        <v>14853</v>
      </c>
      <c r="L26" s="1072">
        <f t="shared" si="1"/>
        <v>4173.0785446875452</v>
      </c>
      <c r="M26" s="1314" t="s">
        <v>0</v>
      </c>
      <c r="N26" s="1251"/>
    </row>
    <row r="27" spans="1:15" s="1072" customFormat="1">
      <c r="A27" s="1051" t="s">
        <v>475</v>
      </c>
      <c r="B27" s="1062"/>
      <c r="C27" s="1322">
        <v>33000</v>
      </c>
      <c r="D27" s="1062"/>
      <c r="E27" s="1322">
        <v>30000</v>
      </c>
      <c r="F27" s="1062"/>
      <c r="G27" s="1322">
        <f>((C27/$C$34)*(-361268))+E27</f>
        <v>23114.42040126555</v>
      </c>
      <c r="H27" s="1062"/>
      <c r="I27" s="1323">
        <f>G27-C27</f>
        <v>-9885.57959873445</v>
      </c>
      <c r="J27" s="761"/>
      <c r="K27" s="1072">
        <v>135</v>
      </c>
      <c r="L27" s="1072">
        <f t="shared" si="1"/>
        <v>6885.57959873445</v>
      </c>
      <c r="M27" s="1314" t="s">
        <v>0</v>
      </c>
      <c r="N27" s="1251"/>
    </row>
    <row r="28" spans="1:15" s="1072" customFormat="1">
      <c r="A28" s="1051" t="s">
        <v>235</v>
      </c>
      <c r="B28" s="1062"/>
      <c r="C28" s="1322"/>
      <c r="D28" s="1062"/>
      <c r="E28" s="1322"/>
      <c r="F28" s="1062"/>
      <c r="G28" s="1322"/>
      <c r="H28" s="1062"/>
      <c r="I28" s="1323"/>
      <c r="J28" s="761"/>
      <c r="L28" s="1072">
        <f t="shared" si="1"/>
        <v>0</v>
      </c>
      <c r="M28" s="1314" t="s">
        <v>0</v>
      </c>
      <c r="N28" s="1251"/>
      <c r="O28" s="1338"/>
    </row>
    <row r="29" spans="1:15" s="1072" customFormat="1">
      <c r="A29" s="1051" t="s">
        <v>476</v>
      </c>
      <c r="B29" s="1062"/>
      <c r="C29" s="1322"/>
      <c r="D29" s="1062"/>
      <c r="E29" s="1322"/>
      <c r="F29" s="1062"/>
      <c r="G29" s="1322"/>
      <c r="H29" s="1062"/>
      <c r="I29" s="1323"/>
      <c r="J29" s="761"/>
      <c r="L29" s="1072">
        <f t="shared" si="1"/>
        <v>0</v>
      </c>
      <c r="M29" s="1314" t="s">
        <v>0</v>
      </c>
      <c r="N29" s="1251"/>
    </row>
    <row r="30" spans="1:15" s="1072" customFormat="1">
      <c r="A30" s="1051" t="s">
        <v>241</v>
      </c>
      <c r="B30" s="1062"/>
      <c r="C30" s="1322"/>
      <c r="D30" s="1062"/>
      <c r="E30" s="1322"/>
      <c r="F30" s="1062"/>
      <c r="G30" s="1322"/>
      <c r="H30" s="1062"/>
      <c r="I30" s="1323"/>
      <c r="J30" s="761"/>
      <c r="K30" s="1072">
        <v>10</v>
      </c>
      <c r="L30" s="1072">
        <f t="shared" si="1"/>
        <v>0</v>
      </c>
      <c r="M30" s="1314" t="s">
        <v>0</v>
      </c>
      <c r="N30" s="1251"/>
      <c r="O30" s="1338"/>
    </row>
    <row r="31" spans="1:15" s="1072" customFormat="1">
      <c r="A31" s="1051" t="s">
        <v>68</v>
      </c>
      <c r="B31" s="1062"/>
      <c r="C31" s="1322"/>
      <c r="D31" s="1062"/>
      <c r="E31" s="1322"/>
      <c r="F31" s="1062"/>
      <c r="G31" s="1322"/>
      <c r="H31" s="1062"/>
      <c r="I31" s="1323"/>
      <c r="J31" s="761"/>
      <c r="K31" s="1072">
        <v>85</v>
      </c>
      <c r="L31" s="1072">
        <f t="shared" si="1"/>
        <v>0</v>
      </c>
      <c r="M31" s="1314" t="s">
        <v>0</v>
      </c>
      <c r="N31" s="1251"/>
      <c r="O31" s="1338"/>
    </row>
    <row r="32" spans="1:15" s="1072" customFormat="1">
      <c r="A32" s="1051" t="s">
        <v>69</v>
      </c>
      <c r="B32" s="1062"/>
      <c r="C32" s="1322"/>
      <c r="D32" s="1062"/>
      <c r="E32" s="1322"/>
      <c r="F32" s="1062"/>
      <c r="G32" s="1322"/>
      <c r="H32" s="1062"/>
      <c r="I32" s="1323"/>
      <c r="J32" s="761"/>
      <c r="K32" s="1072">
        <v>37758</v>
      </c>
      <c r="L32" s="1072">
        <f t="shared" si="1"/>
        <v>0</v>
      </c>
      <c r="M32" s="1314" t="s">
        <v>0</v>
      </c>
      <c r="N32" s="1251"/>
    </row>
    <row r="33" spans="1:14" s="1072" customFormat="1">
      <c r="A33" s="1051" t="s">
        <v>619</v>
      </c>
      <c r="B33" s="1062"/>
      <c r="C33" s="1322">
        <f>1877389-174506-2572-3153-48561+29825</f>
        <v>1678422</v>
      </c>
      <c r="D33" s="1062"/>
      <c r="E33" s="1322">
        <f>1525000-4595</f>
        <v>1520405</v>
      </c>
      <c r="F33" s="1062"/>
      <c r="G33" s="1322">
        <f>((C33/$C$34)*(-361268))+E33-30637</f>
        <v>1139558.6581434221</v>
      </c>
      <c r="H33" s="1062"/>
      <c r="I33" s="1323">
        <f>G33-C33</f>
        <v>-538863.3418565779</v>
      </c>
      <c r="J33" s="761"/>
      <c r="M33" s="1314" t="s">
        <v>0</v>
      </c>
      <c r="N33" s="1251"/>
    </row>
    <row r="34" spans="1:14" s="1072" customFormat="1">
      <c r="A34" s="1339" t="s">
        <v>70</v>
      </c>
      <c r="B34" s="1340">
        <f t="shared" ref="B34:I34" si="2">SUM(B16:B33)</f>
        <v>0</v>
      </c>
      <c r="C34" s="1341">
        <f t="shared" si="2"/>
        <v>1731422</v>
      </c>
      <c r="D34" s="1340">
        <f t="shared" si="2"/>
        <v>0</v>
      </c>
      <c r="E34" s="1341">
        <f t="shared" si="2"/>
        <v>1565405</v>
      </c>
      <c r="F34" s="1340">
        <f t="shared" si="2"/>
        <v>0</v>
      </c>
      <c r="G34" s="1341">
        <f t="shared" si="2"/>
        <v>1173500</v>
      </c>
      <c r="H34" s="1340">
        <f t="shared" si="2"/>
        <v>0</v>
      </c>
      <c r="I34" s="1342">
        <f t="shared" si="2"/>
        <v>-557921.99999999988</v>
      </c>
      <c r="J34" s="761">
        <f>SUM(J12:J32)</f>
        <v>9321</v>
      </c>
      <c r="K34" s="1072">
        <f>SUM(K16:K32)</f>
        <v>71666</v>
      </c>
      <c r="L34" s="1072">
        <f t="shared" si="1"/>
        <v>391905</v>
      </c>
      <c r="M34" s="1314" t="s">
        <v>0</v>
      </c>
      <c r="N34" s="1251"/>
    </row>
    <row r="35" spans="1:14" s="1072" customFormat="1">
      <c r="A35" s="1343" t="s">
        <v>478</v>
      </c>
      <c r="B35" s="1062"/>
      <c r="C35" s="1322">
        <v>-82965</v>
      </c>
      <c r="D35" s="1062"/>
      <c r="E35" s="1344">
        <v>-74637</v>
      </c>
      <c r="F35" s="1062"/>
      <c r="G35" s="1345"/>
      <c r="H35" s="1062"/>
      <c r="I35" s="1323">
        <f t="shared" ref="I35:I40" si="3">G35-C35</f>
        <v>82965</v>
      </c>
      <c r="J35" s="761"/>
      <c r="M35" s="1314" t="s">
        <v>0</v>
      </c>
      <c r="N35" s="1251"/>
    </row>
    <row r="36" spans="1:14" s="1072" customFormat="1">
      <c r="A36" s="1051" t="s">
        <v>479</v>
      </c>
      <c r="B36" s="1325"/>
      <c r="C36" s="1346">
        <v>75185</v>
      </c>
      <c r="D36" s="1325"/>
      <c r="E36" s="1346"/>
      <c r="F36" s="1325"/>
      <c r="G36" s="1346"/>
      <c r="H36" s="1325"/>
      <c r="I36" s="1347">
        <f t="shared" si="3"/>
        <v>-75185</v>
      </c>
      <c r="J36" s="761"/>
      <c r="M36" s="1314" t="s">
        <v>0</v>
      </c>
      <c r="N36" s="1251"/>
    </row>
    <row r="37" spans="1:14" s="1072" customFormat="1">
      <c r="A37" s="1051" t="s">
        <v>480</v>
      </c>
      <c r="B37" s="1325"/>
      <c r="C37" s="1346">
        <v>42276</v>
      </c>
      <c r="D37" s="1325"/>
      <c r="E37" s="1346">
        <v>44000</v>
      </c>
      <c r="F37" s="1325"/>
      <c r="G37" s="1346">
        <v>34600</v>
      </c>
      <c r="H37" s="1325"/>
      <c r="I37" s="1347">
        <f t="shared" si="3"/>
        <v>-7676</v>
      </c>
      <c r="J37" s="761"/>
      <c r="M37" s="1314" t="s">
        <v>0</v>
      </c>
      <c r="N37" s="1251"/>
    </row>
    <row r="38" spans="1:14" s="1072" customFormat="1">
      <c r="A38" s="1051" t="s">
        <v>620</v>
      </c>
      <c r="B38" s="1325"/>
      <c r="C38" s="1346">
        <v>19818</v>
      </c>
      <c r="D38" s="1325"/>
      <c r="E38" s="1346"/>
      <c r="F38" s="1325"/>
      <c r="G38" s="1346"/>
      <c r="H38" s="1325"/>
      <c r="I38" s="1347">
        <f t="shared" si="3"/>
        <v>-19818</v>
      </c>
      <c r="J38" s="761"/>
      <c r="M38" s="1314" t="s">
        <v>0</v>
      </c>
      <c r="N38" s="1251"/>
    </row>
    <row r="39" spans="1:14" s="1072" customFormat="1">
      <c r="A39" s="1051" t="s">
        <v>621</v>
      </c>
      <c r="B39" s="1325"/>
      <c r="C39" s="1346">
        <v>-207500</v>
      </c>
      <c r="D39" s="1325"/>
      <c r="E39" s="1346"/>
      <c r="F39" s="1325"/>
      <c r="G39" s="1346"/>
      <c r="H39" s="1325"/>
      <c r="I39" s="1347">
        <f t="shared" si="3"/>
        <v>207500</v>
      </c>
      <c r="J39" s="761"/>
      <c r="M39" s="1314" t="s">
        <v>0</v>
      </c>
      <c r="N39" s="1251"/>
    </row>
    <row r="40" spans="1:14" s="1072" customFormat="1">
      <c r="A40" s="1051" t="s">
        <v>481</v>
      </c>
      <c r="B40" s="1325"/>
      <c r="C40" s="1346">
        <v>-43468</v>
      </c>
      <c r="D40" s="1325"/>
      <c r="E40" s="1346">
        <v>-44000</v>
      </c>
      <c r="F40" s="1325"/>
      <c r="G40" s="1346">
        <v>-34600</v>
      </c>
      <c r="H40" s="1325"/>
      <c r="I40" s="1347">
        <f t="shared" si="3"/>
        <v>8868</v>
      </c>
      <c r="J40" s="761"/>
      <c r="M40" s="1314" t="s">
        <v>0</v>
      </c>
      <c r="N40" s="1251"/>
    </row>
    <row r="41" spans="1:14" s="1072" customFormat="1" ht="16.5" thickBot="1">
      <c r="A41" s="1348" t="s">
        <v>1</v>
      </c>
      <c r="B41" s="1349">
        <f t="shared" ref="B41:H41" si="4">B34+SUM(B35:B40)</f>
        <v>0</v>
      </c>
      <c r="C41" s="1350">
        <f t="shared" si="4"/>
        <v>1534768</v>
      </c>
      <c r="D41" s="1349">
        <f t="shared" si="4"/>
        <v>0</v>
      </c>
      <c r="E41" s="1350">
        <f t="shared" si="4"/>
        <v>1490768</v>
      </c>
      <c r="F41" s="1349">
        <f t="shared" si="4"/>
        <v>0</v>
      </c>
      <c r="G41" s="1350">
        <f t="shared" si="4"/>
        <v>1173500</v>
      </c>
      <c r="H41" s="1349">
        <f t="shared" si="4"/>
        <v>0</v>
      </c>
      <c r="I41" s="1351">
        <f>G41-C41</f>
        <v>-361268</v>
      </c>
      <c r="J41" s="761"/>
      <c r="M41" s="1314" t="s">
        <v>0</v>
      </c>
      <c r="N41" s="1251"/>
    </row>
    <row r="42" spans="1:14" s="1072" customFormat="1">
      <c r="A42" s="1056"/>
      <c r="B42" s="1057"/>
      <c r="C42" s="1058"/>
      <c r="D42" s="1057"/>
      <c r="E42" s="1058"/>
      <c r="F42" s="1057"/>
      <c r="G42" s="1058"/>
      <c r="H42" s="1057"/>
      <c r="I42" s="1059"/>
      <c r="J42" s="761"/>
      <c r="M42" s="1314" t="s">
        <v>0</v>
      </c>
      <c r="N42" s="1251"/>
    </row>
    <row r="43" spans="1:14" s="1072" customFormat="1">
      <c r="A43" s="1352" t="s">
        <v>268</v>
      </c>
      <c r="B43" s="1062"/>
      <c r="C43" s="1322"/>
      <c r="D43" s="1062"/>
      <c r="E43" s="1322"/>
      <c r="F43" s="1062"/>
      <c r="G43" s="1322"/>
      <c r="H43" s="1062"/>
      <c r="I43" s="1323"/>
      <c r="J43" s="761"/>
      <c r="M43" s="1314" t="s">
        <v>0</v>
      </c>
      <c r="N43" s="1251"/>
    </row>
    <row r="44" spans="1:14" s="1072" customFormat="1">
      <c r="A44" s="1051" t="s">
        <v>60</v>
      </c>
      <c r="B44" s="1353">
        <v>0</v>
      </c>
      <c r="C44" s="1319">
        <v>0</v>
      </c>
      <c r="D44" s="1353">
        <v>0</v>
      </c>
      <c r="E44" s="1319">
        <v>0</v>
      </c>
      <c r="F44" s="1353">
        <v>0</v>
      </c>
      <c r="G44" s="1319">
        <v>0</v>
      </c>
      <c r="H44" s="1062">
        <f>F44+B44</f>
        <v>0</v>
      </c>
      <c r="I44" s="1320">
        <f>C44+G44</f>
        <v>0</v>
      </c>
      <c r="J44" s="761"/>
      <c r="M44" s="1314" t="s">
        <v>0</v>
      </c>
      <c r="N44" s="1251"/>
    </row>
    <row r="45" spans="1:14" s="1072" customFormat="1">
      <c r="A45" s="1321" t="s">
        <v>2</v>
      </c>
      <c r="B45" s="1062"/>
      <c r="C45" s="1319">
        <v>0</v>
      </c>
      <c r="D45" s="1062"/>
      <c r="E45" s="1319">
        <v>0</v>
      </c>
      <c r="F45" s="1062"/>
      <c r="G45" s="1319">
        <v>0</v>
      </c>
      <c r="H45" s="1062"/>
      <c r="I45" s="1320">
        <f>C45+G45</f>
        <v>0</v>
      </c>
      <c r="J45" s="761"/>
      <c r="M45" s="1314" t="s">
        <v>0</v>
      </c>
      <c r="N45" s="1251"/>
    </row>
    <row r="46" spans="1:14" s="1072" customFormat="1">
      <c r="A46" s="1330" t="s">
        <v>3</v>
      </c>
      <c r="B46" s="1065"/>
      <c r="C46" s="1354">
        <v>0</v>
      </c>
      <c r="D46" s="1065"/>
      <c r="E46" s="1354">
        <v>0</v>
      </c>
      <c r="F46" s="1065"/>
      <c r="G46" s="1354">
        <v>0</v>
      </c>
      <c r="H46" s="1065"/>
      <c r="I46" s="1355">
        <f>C46+G46</f>
        <v>0</v>
      </c>
      <c r="J46" s="761"/>
      <c r="M46" s="1314" t="s">
        <v>0</v>
      </c>
      <c r="N46" s="1251"/>
    </row>
    <row r="47" spans="1:14" s="1072" customFormat="1">
      <c r="A47" s="1356"/>
      <c r="B47" s="1067"/>
      <c r="C47" s="1067"/>
      <c r="D47" s="1067"/>
      <c r="E47" s="1067"/>
      <c r="F47" s="1067"/>
      <c r="G47" s="1067"/>
      <c r="H47" s="1067"/>
      <c r="I47" s="1067"/>
      <c r="J47" s="761"/>
      <c r="M47" s="1314" t="s">
        <v>24</v>
      </c>
      <c r="N47" s="1251"/>
    </row>
    <row r="48" spans="1:14">
      <c r="A48" s="2311"/>
      <c r="B48" s="2312"/>
      <c r="C48" s="2312"/>
      <c r="D48" s="2312"/>
      <c r="E48" s="2312"/>
      <c r="F48" s="2312"/>
      <c r="G48" s="2312"/>
      <c r="H48" s="2312"/>
      <c r="I48" s="2312"/>
      <c r="J48" s="2312"/>
      <c r="K48" s="2312"/>
      <c r="L48" s="2312"/>
      <c r="M48" s="2312"/>
    </row>
    <row r="139" spans="1:1">
      <c r="A139" s="1020" t="s">
        <v>232</v>
      </c>
    </row>
  </sheetData>
  <mergeCells count="13">
    <mergeCell ref="A48:M48"/>
    <mergeCell ref="A7:I7"/>
    <mergeCell ref="A8:A9"/>
    <mergeCell ref="B8:C8"/>
    <mergeCell ref="D8:E8"/>
    <mergeCell ref="F8:G8"/>
    <mergeCell ref="H8:I8"/>
    <mergeCell ref="A6:I6"/>
    <mergeCell ref="A1:I1"/>
    <mergeCell ref="A2:I2"/>
    <mergeCell ref="A3:I3"/>
    <mergeCell ref="A4:I4"/>
    <mergeCell ref="A5:I5"/>
  </mergeCells>
  <printOptions horizontalCentered="1"/>
  <pageMargins left="0.5" right="0.5" top="0.5" bottom="0.25" header="0.5" footer="0.5"/>
  <pageSetup scale="70" orientation="landscape" r:id="rId1"/>
  <headerFooter alignWithMargins="0">
    <oddFooter>&amp;C&amp;"Times New Roman,Regular"Exhibit L - Summary of Requirements by Object Class&amp;R&amp;"Times New Roman,Regular"State and Local Law Enforcement Assistance</oddFooter>
  </headerFooter>
</worksheet>
</file>

<file path=xl/worksheets/sheet31.xml><?xml version="1.0" encoding="utf-8"?>
<worksheet xmlns="http://schemas.openxmlformats.org/spreadsheetml/2006/main" xmlns:r="http://schemas.openxmlformats.org/officeDocument/2006/relationships">
  <sheetPr>
    <pageSetUpPr fitToPage="1"/>
  </sheetPr>
  <dimension ref="A1:Y76"/>
  <sheetViews>
    <sheetView showGridLines="0" showOutlineSymbols="0" view="pageBreakPreview" zoomScale="65" zoomScaleNormal="75" zoomScaleSheetLayoutView="65" workbookViewId="0">
      <selection sqref="A1:X1"/>
    </sheetView>
  </sheetViews>
  <sheetFormatPr defaultColWidth="9.6640625" defaultRowHeight="15.75"/>
  <cols>
    <col min="1" max="2" width="2.5546875" style="663" customWidth="1"/>
    <col min="3" max="3" width="25" style="663" customWidth="1"/>
    <col min="4" max="4" width="6.88671875" style="684" customWidth="1"/>
    <col min="5" max="5" width="6.21875" style="684" customWidth="1"/>
    <col min="6" max="6" width="10.21875" style="684" customWidth="1"/>
    <col min="7" max="7" width="8.44140625" style="684" bestFit="1" customWidth="1"/>
    <col min="8" max="8" width="6.21875" style="684" customWidth="1"/>
    <col min="9" max="9" width="9.77734375" style="684" customWidth="1"/>
    <col min="10" max="10" width="6.21875" style="684" bestFit="1" customWidth="1"/>
    <col min="11" max="11" width="5.6640625" style="684" customWidth="1"/>
    <col min="12" max="12" width="9.33203125" style="684" bestFit="1" customWidth="1"/>
    <col min="13" max="13" width="7" style="684" bestFit="1" customWidth="1"/>
    <col min="14" max="14" width="6.109375" style="684" customWidth="1"/>
    <col min="15" max="15" width="9.77734375" style="684" customWidth="1"/>
    <col min="16" max="17" width="5.6640625" style="684" customWidth="1"/>
    <col min="18" max="18" width="8.5546875" style="684" customWidth="1"/>
    <col min="19" max="19" width="6.109375" style="684" customWidth="1"/>
    <col min="20" max="20" width="5.6640625" style="684" customWidth="1"/>
    <col min="21" max="21" width="10.6640625" style="684" bestFit="1" customWidth="1"/>
    <col min="22" max="22" width="9.5546875" style="684" customWidth="1"/>
    <col min="23" max="23" width="9.77734375" style="684" bestFit="1" customWidth="1"/>
    <col min="24" max="24" width="13.21875" style="684" bestFit="1" customWidth="1"/>
    <col min="25" max="25" width="6.5546875" style="745" customWidth="1"/>
    <col min="26" max="26" width="6.5546875" style="663" customWidth="1"/>
    <col min="27" max="27" width="7.6640625" style="663" customWidth="1"/>
    <col min="28" max="16384" width="9.6640625" style="663"/>
  </cols>
  <sheetData>
    <row r="1" spans="1:25" ht="20.25">
      <c r="A1" s="2061" t="s">
        <v>34</v>
      </c>
      <c r="B1" s="2062"/>
      <c r="C1" s="2062"/>
      <c r="D1" s="2062"/>
      <c r="E1" s="2062"/>
      <c r="F1" s="2062"/>
      <c r="G1" s="2062"/>
      <c r="H1" s="2062"/>
      <c r="I1" s="2062"/>
      <c r="J1" s="2062"/>
      <c r="K1" s="2062"/>
      <c r="L1" s="2062"/>
      <c r="M1" s="2062"/>
      <c r="N1" s="2062"/>
      <c r="O1" s="2062"/>
      <c r="P1" s="2062"/>
      <c r="Q1" s="2062"/>
      <c r="R1" s="2062"/>
      <c r="S1" s="2062"/>
      <c r="T1" s="2062"/>
      <c r="U1" s="2062"/>
      <c r="V1" s="2062"/>
      <c r="W1" s="2062"/>
      <c r="X1" s="2062"/>
      <c r="Y1" s="662" t="s">
        <v>0</v>
      </c>
    </row>
    <row r="2" spans="1:25">
      <c r="A2" s="2063"/>
      <c r="B2" s="2063"/>
      <c r="C2" s="2063"/>
      <c r="D2" s="2063"/>
      <c r="E2" s="2063"/>
      <c r="F2" s="2063"/>
      <c r="G2" s="2063"/>
      <c r="H2" s="2063"/>
      <c r="I2" s="2063"/>
      <c r="J2" s="2063"/>
      <c r="K2" s="2063"/>
      <c r="L2" s="2063"/>
      <c r="M2" s="2063"/>
      <c r="N2" s="2063"/>
      <c r="O2" s="2063"/>
      <c r="P2" s="2063"/>
      <c r="Q2" s="2063"/>
      <c r="R2" s="2063"/>
      <c r="S2" s="2063"/>
      <c r="T2" s="2063"/>
      <c r="U2" s="2063"/>
      <c r="V2" s="2063"/>
      <c r="W2" s="2063"/>
      <c r="X2" s="2063"/>
      <c r="Y2" s="662" t="s">
        <v>0</v>
      </c>
    </row>
    <row r="3" spans="1:25">
      <c r="A3" s="2064"/>
      <c r="B3" s="2064"/>
      <c r="C3" s="2064"/>
      <c r="D3" s="2064"/>
      <c r="E3" s="2064"/>
      <c r="F3" s="2064"/>
      <c r="G3" s="2064"/>
      <c r="H3" s="2064"/>
      <c r="I3" s="2064"/>
      <c r="J3" s="2064"/>
      <c r="K3" s="2064"/>
      <c r="L3" s="2064"/>
      <c r="M3" s="2064"/>
      <c r="N3" s="2064"/>
      <c r="O3" s="2064"/>
      <c r="P3" s="2064"/>
      <c r="Q3" s="2064"/>
      <c r="R3" s="2064"/>
      <c r="S3" s="2064"/>
      <c r="T3" s="2064"/>
      <c r="U3" s="2064"/>
      <c r="V3" s="2064"/>
      <c r="W3" s="2064"/>
      <c r="X3" s="2064"/>
      <c r="Y3" s="662" t="s">
        <v>0</v>
      </c>
    </row>
    <row r="4" spans="1:25" ht="22.5">
      <c r="A4" s="2065" t="s">
        <v>267</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662" t="s">
        <v>0</v>
      </c>
    </row>
    <row r="5" spans="1:25" ht="23.25">
      <c r="A5" s="2059" t="s">
        <v>362</v>
      </c>
      <c r="B5" s="2066"/>
      <c r="C5" s="2066"/>
      <c r="D5" s="2066"/>
      <c r="E5" s="2066"/>
      <c r="F5" s="2066"/>
      <c r="G5" s="2066"/>
      <c r="H5" s="2066"/>
      <c r="I5" s="2066"/>
      <c r="J5" s="2066"/>
      <c r="K5" s="2066"/>
      <c r="L5" s="2066"/>
      <c r="M5" s="2066"/>
      <c r="N5" s="2066"/>
      <c r="O5" s="2066"/>
      <c r="P5" s="2066"/>
      <c r="Q5" s="2066"/>
      <c r="R5" s="2066"/>
      <c r="S5" s="2066"/>
      <c r="T5" s="2066"/>
      <c r="U5" s="2066"/>
      <c r="V5" s="2066"/>
      <c r="W5" s="2066"/>
      <c r="X5" s="2066"/>
      <c r="Y5" s="662" t="s">
        <v>0</v>
      </c>
    </row>
    <row r="6" spans="1:25" ht="23.25">
      <c r="A6" s="2059" t="s">
        <v>626</v>
      </c>
      <c r="B6" s="2060"/>
      <c r="C6" s="2060"/>
      <c r="D6" s="2060"/>
      <c r="E6" s="2060"/>
      <c r="F6" s="2060"/>
      <c r="G6" s="2060"/>
      <c r="H6" s="2060"/>
      <c r="I6" s="2060"/>
      <c r="J6" s="2060"/>
      <c r="K6" s="2060"/>
      <c r="L6" s="2060"/>
      <c r="M6" s="2060"/>
      <c r="N6" s="2060"/>
      <c r="O6" s="2060"/>
      <c r="P6" s="2060"/>
      <c r="Q6" s="2060"/>
      <c r="R6" s="2060"/>
      <c r="S6" s="2060"/>
      <c r="T6" s="2060"/>
      <c r="U6" s="2060"/>
      <c r="V6" s="2060"/>
      <c r="W6" s="2060"/>
      <c r="X6" s="2060"/>
      <c r="Y6" s="662" t="s">
        <v>0</v>
      </c>
    </row>
    <row r="7" spans="1:25" ht="23.25">
      <c r="A7" s="2059" t="s">
        <v>257</v>
      </c>
      <c r="B7" s="2066"/>
      <c r="C7" s="2066"/>
      <c r="D7" s="2066"/>
      <c r="E7" s="2066"/>
      <c r="F7" s="2066"/>
      <c r="G7" s="2066"/>
      <c r="H7" s="2066"/>
      <c r="I7" s="2066"/>
      <c r="J7" s="2066"/>
      <c r="K7" s="2066"/>
      <c r="L7" s="2066"/>
      <c r="M7" s="2066"/>
      <c r="N7" s="2066"/>
      <c r="O7" s="2066"/>
      <c r="P7" s="2066"/>
      <c r="Q7" s="2066"/>
      <c r="R7" s="2066"/>
      <c r="S7" s="2066"/>
      <c r="T7" s="2066"/>
      <c r="U7" s="2066"/>
      <c r="V7" s="2066"/>
      <c r="W7" s="2066"/>
      <c r="X7" s="2066"/>
      <c r="Y7" s="662" t="s">
        <v>0</v>
      </c>
    </row>
    <row r="8" spans="1:25" ht="23.25">
      <c r="A8" s="2067"/>
      <c r="B8" s="2067"/>
      <c r="C8" s="2067"/>
      <c r="D8" s="2067"/>
      <c r="E8" s="2067"/>
      <c r="F8" s="2067"/>
      <c r="G8" s="2067"/>
      <c r="H8" s="2067"/>
      <c r="I8" s="2067"/>
      <c r="J8" s="2067"/>
      <c r="K8" s="2067"/>
      <c r="L8" s="2067"/>
      <c r="M8" s="2067"/>
      <c r="N8" s="2067"/>
      <c r="O8" s="2067"/>
      <c r="P8" s="2067"/>
      <c r="Q8" s="2067"/>
      <c r="R8" s="2067"/>
      <c r="S8" s="2067"/>
      <c r="T8" s="2067"/>
      <c r="U8" s="2067"/>
      <c r="V8" s="2067"/>
      <c r="W8" s="2067"/>
      <c r="X8" s="2067"/>
      <c r="Y8" s="662" t="s">
        <v>0</v>
      </c>
    </row>
    <row r="9" spans="1:25" ht="23.25">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662" t="s">
        <v>0</v>
      </c>
    </row>
    <row r="10" spans="1:25" ht="23.25">
      <c r="A10" s="2067"/>
      <c r="B10" s="2067"/>
      <c r="C10" s="2067"/>
      <c r="D10" s="2067"/>
      <c r="E10" s="2067"/>
      <c r="F10" s="2067"/>
      <c r="G10" s="2067"/>
      <c r="H10" s="2067"/>
      <c r="I10" s="2067"/>
      <c r="J10" s="2067"/>
      <c r="K10" s="2067"/>
      <c r="L10" s="2067"/>
      <c r="M10" s="2067"/>
      <c r="N10" s="2067"/>
      <c r="O10" s="2067"/>
      <c r="P10" s="2067"/>
      <c r="Q10" s="2067"/>
      <c r="R10" s="2067"/>
      <c r="S10" s="2067"/>
      <c r="T10" s="2067"/>
      <c r="U10" s="2067"/>
      <c r="V10" s="2067"/>
      <c r="W10" s="2067"/>
      <c r="X10" s="2067"/>
      <c r="Y10" s="662" t="s">
        <v>0</v>
      </c>
    </row>
    <row r="11" spans="1:25">
      <c r="A11" s="2064"/>
      <c r="B11" s="2064"/>
      <c r="C11" s="2064"/>
      <c r="D11" s="2064"/>
      <c r="E11" s="2064"/>
      <c r="F11" s="2064"/>
      <c r="G11" s="2064"/>
      <c r="H11" s="2064"/>
      <c r="I11" s="2064"/>
      <c r="J11" s="2064"/>
      <c r="K11" s="2064"/>
      <c r="L11" s="2064"/>
      <c r="M11" s="2064"/>
      <c r="N11" s="2064"/>
      <c r="O11" s="2064"/>
      <c r="P11" s="2064"/>
      <c r="Q11" s="2064"/>
      <c r="R11" s="2064"/>
      <c r="S11" s="2064"/>
      <c r="T11" s="2064"/>
      <c r="U11" s="2068"/>
      <c r="V11" s="2071" t="s">
        <v>40</v>
      </c>
      <c r="W11" s="2072"/>
      <c r="X11" s="2073"/>
      <c r="Y11" s="662" t="s">
        <v>0</v>
      </c>
    </row>
    <row r="12" spans="1:25">
      <c r="A12" s="2064"/>
      <c r="B12" s="2064"/>
      <c r="C12" s="2064"/>
      <c r="D12" s="2064"/>
      <c r="E12" s="2064"/>
      <c r="F12" s="2064"/>
      <c r="G12" s="2064"/>
      <c r="H12" s="2064"/>
      <c r="I12" s="2064"/>
      <c r="J12" s="2064"/>
      <c r="K12" s="2064"/>
      <c r="L12" s="2064"/>
      <c r="M12" s="2064"/>
      <c r="N12" s="2064"/>
      <c r="O12" s="2064"/>
      <c r="P12" s="2064"/>
      <c r="Q12" s="2064"/>
      <c r="R12" s="2064"/>
      <c r="S12" s="2064"/>
      <c r="T12" s="2064"/>
      <c r="U12" s="2068"/>
      <c r="V12" s="2074" t="s">
        <v>21</v>
      </c>
      <c r="W12" s="2076" t="s">
        <v>49</v>
      </c>
      <c r="X12" s="2078" t="s">
        <v>279</v>
      </c>
      <c r="Y12" s="662" t="s">
        <v>0</v>
      </c>
    </row>
    <row r="13" spans="1:25" ht="16.5" thickBot="1">
      <c r="A13" s="2069"/>
      <c r="B13" s="2069"/>
      <c r="C13" s="2069"/>
      <c r="D13" s="2069"/>
      <c r="E13" s="2069"/>
      <c r="F13" s="2069"/>
      <c r="G13" s="2069"/>
      <c r="H13" s="2069"/>
      <c r="I13" s="2069"/>
      <c r="J13" s="2069"/>
      <c r="K13" s="2069"/>
      <c r="L13" s="2069"/>
      <c r="M13" s="2069"/>
      <c r="N13" s="2069"/>
      <c r="O13" s="2069"/>
      <c r="P13" s="2069"/>
      <c r="Q13" s="2069"/>
      <c r="R13" s="2069"/>
      <c r="S13" s="2069"/>
      <c r="T13" s="2069"/>
      <c r="U13" s="2070"/>
      <c r="V13" s="2075"/>
      <c r="W13" s="2077"/>
      <c r="X13" s="2077"/>
      <c r="Y13" s="662" t="s">
        <v>0</v>
      </c>
    </row>
    <row r="14" spans="1:25">
      <c r="A14" s="2081" t="s">
        <v>116</v>
      </c>
      <c r="B14" s="2082"/>
      <c r="C14" s="2082"/>
      <c r="D14" s="2082"/>
      <c r="E14" s="2082"/>
      <c r="F14" s="2082"/>
      <c r="G14" s="2082"/>
      <c r="H14" s="2082"/>
      <c r="I14" s="2082"/>
      <c r="J14" s="2082"/>
      <c r="K14" s="2082"/>
      <c r="L14" s="2082"/>
      <c r="M14" s="2082"/>
      <c r="N14" s="2082"/>
      <c r="O14" s="2082"/>
      <c r="P14" s="2082"/>
      <c r="Q14" s="2082"/>
      <c r="R14" s="2082"/>
      <c r="S14" s="2082"/>
      <c r="T14" s="2082"/>
      <c r="U14" s="2082"/>
      <c r="V14" s="664">
        <v>0</v>
      </c>
      <c r="W14" s="664">
        <v>0</v>
      </c>
      <c r="X14" s="665">
        <v>19547</v>
      </c>
      <c r="Y14" s="662" t="s">
        <v>0</v>
      </c>
    </row>
    <row r="15" spans="1:25">
      <c r="A15" s="2457" t="s">
        <v>627</v>
      </c>
      <c r="B15" s="2458"/>
      <c r="C15" s="2458"/>
      <c r="D15" s="2458"/>
      <c r="E15" s="2458"/>
      <c r="F15" s="2458"/>
      <c r="G15" s="2458"/>
      <c r="H15" s="2458"/>
      <c r="I15" s="2458"/>
      <c r="J15" s="2458"/>
      <c r="K15" s="2458"/>
      <c r="L15" s="2458"/>
      <c r="M15" s="2458"/>
      <c r="N15" s="2458"/>
      <c r="O15" s="2458"/>
      <c r="P15" s="2458"/>
      <c r="Q15" s="2458"/>
      <c r="R15" s="2458"/>
      <c r="S15" s="2458"/>
      <c r="T15" s="2458"/>
      <c r="U15" s="2459"/>
      <c r="V15" s="1357"/>
      <c r="W15" s="1357"/>
      <c r="X15" s="1156">
        <v>-628</v>
      </c>
      <c r="Y15" s="662" t="s">
        <v>0</v>
      </c>
    </row>
    <row r="16" spans="1:25" ht="20.25" customHeight="1">
      <c r="A16" s="2460" t="s">
        <v>242</v>
      </c>
      <c r="B16" s="2461"/>
      <c r="C16" s="2461"/>
      <c r="D16" s="2461"/>
      <c r="E16" s="2461"/>
      <c r="F16" s="2461"/>
      <c r="G16" s="2461"/>
      <c r="H16" s="2461"/>
      <c r="I16" s="2461"/>
      <c r="J16" s="2461"/>
      <c r="K16" s="2461"/>
      <c r="L16" s="2461"/>
      <c r="M16" s="2461"/>
      <c r="N16" s="2461"/>
      <c r="O16" s="2461"/>
      <c r="P16" s="2461"/>
      <c r="Q16" s="2461"/>
      <c r="R16" s="2461"/>
      <c r="S16" s="2461"/>
      <c r="T16" s="2461"/>
      <c r="U16" s="2461"/>
      <c r="V16" s="666"/>
      <c r="W16" s="666"/>
      <c r="X16" s="667"/>
      <c r="Y16" s="662" t="s">
        <v>0</v>
      </c>
    </row>
    <row r="17" spans="1:25">
      <c r="A17" s="2087" t="s">
        <v>117</v>
      </c>
      <c r="B17" s="2088"/>
      <c r="C17" s="2088"/>
      <c r="D17" s="2088"/>
      <c r="E17" s="2088"/>
      <c r="F17" s="2088"/>
      <c r="G17" s="2088"/>
      <c r="H17" s="2088"/>
      <c r="I17" s="2088"/>
      <c r="J17" s="2088"/>
      <c r="K17" s="2088"/>
      <c r="L17" s="2088"/>
      <c r="M17" s="2088"/>
      <c r="N17" s="2088"/>
      <c r="O17" s="2088"/>
      <c r="P17" s="2088"/>
      <c r="Q17" s="2088"/>
      <c r="R17" s="2088"/>
      <c r="S17" s="2088"/>
      <c r="T17" s="2088"/>
      <c r="U17" s="2088"/>
      <c r="V17" s="668">
        <f>+V16+V14</f>
        <v>0</v>
      </c>
      <c r="W17" s="668">
        <f>+W16+W14</f>
        <v>0</v>
      </c>
      <c r="X17" s="669">
        <f>+X16+X15+X14</f>
        <v>18919</v>
      </c>
      <c r="Y17" s="662" t="s">
        <v>0</v>
      </c>
    </row>
    <row r="18" spans="1:25">
      <c r="A18" s="2081" t="s">
        <v>353</v>
      </c>
      <c r="B18" s="2082"/>
      <c r="C18" s="2082"/>
      <c r="D18" s="2082"/>
      <c r="E18" s="2082"/>
      <c r="F18" s="2082"/>
      <c r="G18" s="2082"/>
      <c r="H18" s="2082"/>
      <c r="I18" s="2082"/>
      <c r="J18" s="2082"/>
      <c r="K18" s="2082"/>
      <c r="L18" s="2082"/>
      <c r="M18" s="2082"/>
      <c r="N18" s="2082"/>
      <c r="O18" s="2082"/>
      <c r="P18" s="2082"/>
      <c r="Q18" s="2082"/>
      <c r="R18" s="2082"/>
      <c r="S18" s="2082"/>
      <c r="T18" s="2082"/>
      <c r="U18" s="2082"/>
      <c r="V18" s="670"/>
      <c r="W18" s="670"/>
      <c r="X18" s="671">
        <v>20000</v>
      </c>
      <c r="Y18" s="662" t="s">
        <v>0</v>
      </c>
    </row>
    <row r="19" spans="1:25" ht="18.75" customHeight="1">
      <c r="A19" s="2089" t="s">
        <v>41</v>
      </c>
      <c r="B19" s="2090"/>
      <c r="C19" s="2090"/>
      <c r="D19" s="2090"/>
      <c r="E19" s="2090"/>
      <c r="F19" s="2090"/>
      <c r="G19" s="2090"/>
      <c r="H19" s="2090"/>
      <c r="I19" s="2090"/>
      <c r="J19" s="2090"/>
      <c r="K19" s="2090"/>
      <c r="L19" s="2090"/>
      <c r="M19" s="2090"/>
      <c r="N19" s="2090"/>
      <c r="O19" s="2090"/>
      <c r="P19" s="2090"/>
      <c r="Q19" s="2090"/>
      <c r="R19" s="2090"/>
      <c r="S19" s="2090"/>
      <c r="T19" s="2090"/>
      <c r="U19" s="2090"/>
      <c r="V19" s="672"/>
      <c r="W19" s="672"/>
      <c r="X19" s="673"/>
      <c r="Y19" s="662" t="s">
        <v>0</v>
      </c>
    </row>
    <row r="20" spans="1:25">
      <c r="A20" s="2091" t="s">
        <v>354</v>
      </c>
      <c r="B20" s="2092"/>
      <c r="C20" s="2092"/>
      <c r="D20" s="2092"/>
      <c r="E20" s="2092"/>
      <c r="F20" s="2092"/>
      <c r="G20" s="2092"/>
      <c r="H20" s="2092"/>
      <c r="I20" s="2092"/>
      <c r="J20" s="2092"/>
      <c r="K20" s="2092"/>
      <c r="L20" s="2092"/>
      <c r="M20" s="2092"/>
      <c r="N20" s="2092"/>
      <c r="O20" s="2092"/>
      <c r="P20" s="2092"/>
      <c r="Q20" s="2092"/>
      <c r="R20" s="2092"/>
      <c r="S20" s="2092"/>
      <c r="T20" s="2092"/>
      <c r="U20" s="2092"/>
      <c r="V20" s="674">
        <f>+V19+V18</f>
        <v>0</v>
      </c>
      <c r="W20" s="674">
        <f>+W19+W18</f>
        <v>0</v>
      </c>
      <c r="X20" s="675">
        <f>+X19+X18</f>
        <v>20000</v>
      </c>
      <c r="Y20" s="662" t="s">
        <v>0</v>
      </c>
    </row>
    <row r="21" spans="1:25">
      <c r="A21" s="2100" t="s">
        <v>244</v>
      </c>
      <c r="B21" s="2101"/>
      <c r="C21" s="2101"/>
      <c r="D21" s="2101"/>
      <c r="E21" s="2101"/>
      <c r="F21" s="2101"/>
      <c r="G21" s="2101"/>
      <c r="H21" s="2101"/>
      <c r="I21" s="2101"/>
      <c r="J21" s="2101"/>
      <c r="K21" s="2101"/>
      <c r="L21" s="2101"/>
      <c r="M21" s="2101"/>
      <c r="N21" s="2101"/>
      <c r="O21" s="2101"/>
      <c r="P21" s="2101"/>
      <c r="Q21" s="2101"/>
      <c r="R21" s="2101"/>
      <c r="S21" s="2101"/>
      <c r="T21" s="2101"/>
      <c r="U21" s="2102"/>
      <c r="V21" s="677">
        <f>+V20</f>
        <v>0</v>
      </c>
      <c r="W21" s="677">
        <f>+W20</f>
        <v>0</v>
      </c>
      <c r="X21" s="677">
        <f>+X20</f>
        <v>20000</v>
      </c>
      <c r="Y21" s="662" t="s">
        <v>0</v>
      </c>
    </row>
    <row r="22" spans="1:25">
      <c r="A22" s="2079" t="s">
        <v>105</v>
      </c>
      <c r="B22" s="2080"/>
      <c r="C22" s="2080"/>
      <c r="D22" s="2080"/>
      <c r="E22" s="2080"/>
      <c r="F22" s="2080"/>
      <c r="G22" s="2080"/>
      <c r="H22" s="2080"/>
      <c r="I22" s="2080"/>
      <c r="J22" s="2080"/>
      <c r="K22" s="2080"/>
      <c r="L22" s="2080"/>
      <c r="M22" s="2080"/>
      <c r="N22" s="2080"/>
      <c r="O22" s="2080"/>
      <c r="P22" s="2080"/>
      <c r="Q22" s="2080"/>
      <c r="R22" s="2080"/>
      <c r="S22" s="2080"/>
      <c r="T22" s="2080"/>
      <c r="U22" s="2080"/>
      <c r="V22" s="676"/>
      <c r="W22" s="676"/>
      <c r="X22" s="667"/>
      <c r="Y22" s="662" t="s">
        <v>0</v>
      </c>
    </row>
    <row r="23" spans="1:25">
      <c r="A23" s="2096" t="s">
        <v>369</v>
      </c>
      <c r="B23" s="2097"/>
      <c r="C23" s="2097"/>
      <c r="D23" s="2097"/>
      <c r="E23" s="2097"/>
      <c r="F23" s="2097"/>
      <c r="G23" s="2097"/>
      <c r="H23" s="2097"/>
      <c r="I23" s="2097"/>
      <c r="J23" s="2097"/>
      <c r="K23" s="2097"/>
      <c r="L23" s="2097"/>
      <c r="M23" s="2097"/>
      <c r="N23" s="2097"/>
      <c r="O23" s="2097"/>
      <c r="P23" s="2097"/>
      <c r="Q23" s="2097"/>
      <c r="R23" s="2097"/>
      <c r="S23" s="2097"/>
      <c r="T23" s="2097"/>
      <c r="U23" s="2097"/>
      <c r="V23" s="676"/>
      <c r="W23" s="676"/>
      <c r="X23" s="667"/>
      <c r="Y23" s="662" t="s">
        <v>0</v>
      </c>
    </row>
    <row r="24" spans="1:25">
      <c r="A24" s="2105" t="s">
        <v>628</v>
      </c>
      <c r="B24" s="2099"/>
      <c r="C24" s="2099"/>
      <c r="D24" s="2099"/>
      <c r="E24" s="2099"/>
      <c r="F24" s="2099"/>
      <c r="G24" s="2099"/>
      <c r="H24" s="2099"/>
      <c r="I24" s="2099"/>
      <c r="J24" s="2099"/>
      <c r="K24" s="2099"/>
      <c r="L24" s="2099"/>
      <c r="M24" s="2099"/>
      <c r="N24" s="2099"/>
      <c r="O24" s="2099"/>
      <c r="P24" s="2099"/>
      <c r="Q24" s="2099"/>
      <c r="R24" s="2099"/>
      <c r="S24" s="2099"/>
      <c r="T24" s="2099"/>
      <c r="U24" s="2099"/>
      <c r="V24" s="676"/>
      <c r="W24" s="676"/>
      <c r="X24" s="667">
        <v>-20000</v>
      </c>
      <c r="Y24" s="662" t="s">
        <v>0</v>
      </c>
    </row>
    <row r="25" spans="1:25">
      <c r="A25" s="2103" t="s">
        <v>433</v>
      </c>
      <c r="B25" s="2104"/>
      <c r="C25" s="2104"/>
      <c r="D25" s="2104"/>
      <c r="E25" s="2104"/>
      <c r="F25" s="2104"/>
      <c r="G25" s="2104"/>
      <c r="H25" s="2104"/>
      <c r="I25" s="2104"/>
      <c r="J25" s="2104"/>
      <c r="K25" s="2104"/>
      <c r="L25" s="2104"/>
      <c r="M25" s="2104"/>
      <c r="N25" s="2104"/>
      <c r="O25" s="2104"/>
      <c r="P25" s="2104"/>
      <c r="Q25" s="2104"/>
      <c r="R25" s="2104"/>
      <c r="S25" s="2104"/>
      <c r="T25" s="2104"/>
      <c r="U25" s="2104"/>
      <c r="V25" s="679">
        <f>SUM(V23:V24)</f>
        <v>0</v>
      </c>
      <c r="W25" s="667">
        <f>SUM(W23:W24)</f>
        <v>0</v>
      </c>
      <c r="X25" s="667">
        <f>SUM(X24)</f>
        <v>-20000</v>
      </c>
      <c r="Y25" s="662" t="s">
        <v>0</v>
      </c>
    </row>
    <row r="26" spans="1:25" ht="18" customHeight="1">
      <c r="A26" s="2096" t="s">
        <v>106</v>
      </c>
      <c r="B26" s="2097"/>
      <c r="C26" s="2097"/>
      <c r="D26" s="2097"/>
      <c r="E26" s="2097"/>
      <c r="F26" s="2097"/>
      <c r="G26" s="2097"/>
      <c r="H26" s="2097"/>
      <c r="I26" s="2097"/>
      <c r="J26" s="2097"/>
      <c r="K26" s="2097"/>
      <c r="L26" s="2097"/>
      <c r="M26" s="2097"/>
      <c r="N26" s="2097"/>
      <c r="O26" s="2097"/>
      <c r="P26" s="2097"/>
      <c r="Q26" s="2097"/>
      <c r="R26" s="2097"/>
      <c r="S26" s="2097"/>
      <c r="T26" s="2097"/>
      <c r="U26" s="2097"/>
      <c r="V26" s="681">
        <f>SUM(V25)</f>
        <v>0</v>
      </c>
      <c r="W26" s="681">
        <f>SUM(W25)</f>
        <v>0</v>
      </c>
      <c r="X26" s="681">
        <f>SUM(X25)</f>
        <v>-20000</v>
      </c>
      <c r="Y26" s="662" t="s">
        <v>0</v>
      </c>
    </row>
    <row r="27" spans="1:25" ht="18" customHeight="1">
      <c r="A27" s="2108" t="s">
        <v>245</v>
      </c>
      <c r="B27" s="2109"/>
      <c r="C27" s="2109"/>
      <c r="D27" s="2109"/>
      <c r="E27" s="2109"/>
      <c r="F27" s="2109"/>
      <c r="G27" s="2109"/>
      <c r="H27" s="2109"/>
      <c r="I27" s="2109"/>
      <c r="J27" s="2109"/>
      <c r="K27" s="2109"/>
      <c r="L27" s="2109"/>
      <c r="M27" s="2109"/>
      <c r="N27" s="2109"/>
      <c r="O27" s="2109"/>
      <c r="P27" s="2109"/>
      <c r="Q27" s="2109"/>
      <c r="R27" s="2109"/>
      <c r="S27" s="2109"/>
      <c r="T27" s="2109"/>
      <c r="U27" s="2109"/>
      <c r="V27" s="683">
        <f>V21+V26</f>
        <v>0</v>
      </c>
      <c r="W27" s="683">
        <f>W21+W26</f>
        <v>0</v>
      </c>
      <c r="X27" s="683">
        <f>X21+X26</f>
        <v>0</v>
      </c>
      <c r="Y27" s="662" t="s">
        <v>0</v>
      </c>
    </row>
    <row r="28" spans="1:25" ht="18" customHeight="1">
      <c r="A28" s="2110" t="s">
        <v>360</v>
      </c>
      <c r="B28" s="2109"/>
      <c r="C28" s="2109"/>
      <c r="D28" s="2109"/>
      <c r="E28" s="2109"/>
      <c r="F28" s="2109"/>
      <c r="G28" s="2109"/>
      <c r="H28" s="2109"/>
      <c r="I28" s="2109"/>
      <c r="J28" s="2109"/>
      <c r="K28" s="2109"/>
      <c r="L28" s="2109"/>
      <c r="M28" s="2109"/>
      <c r="N28" s="2109"/>
      <c r="O28" s="2109"/>
      <c r="P28" s="2109"/>
      <c r="Q28" s="2109"/>
      <c r="R28" s="2109"/>
      <c r="S28" s="2109"/>
      <c r="T28" s="2109"/>
      <c r="U28" s="2109"/>
      <c r="V28" s="682">
        <f>+V27-V17</f>
        <v>0</v>
      </c>
      <c r="W28" s="682">
        <f>+W27-W17</f>
        <v>0</v>
      </c>
      <c r="X28" s="682">
        <f>+X27-X17</f>
        <v>-18919</v>
      </c>
      <c r="Y28" s="662" t="s">
        <v>0</v>
      </c>
    </row>
    <row r="29" spans="1:25">
      <c r="Y29" s="662" t="s">
        <v>0</v>
      </c>
    </row>
    <row r="30" spans="1:25" ht="18" customHeight="1">
      <c r="Y30" s="662" t="s">
        <v>0</v>
      </c>
    </row>
    <row r="31" spans="1:25" ht="18" customHeight="1">
      <c r="Y31" s="662" t="s">
        <v>0</v>
      </c>
    </row>
    <row r="32" spans="1:25" ht="18" customHeight="1">
      <c r="Y32" s="662" t="s">
        <v>0</v>
      </c>
    </row>
    <row r="33" spans="1:25" ht="18" customHeight="1">
      <c r="Y33" s="662" t="s">
        <v>0</v>
      </c>
    </row>
    <row r="34" spans="1:25" ht="18" customHeight="1">
      <c r="Y34" s="662" t="s">
        <v>0</v>
      </c>
    </row>
    <row r="35" spans="1:25" ht="18" customHeight="1">
      <c r="Y35" s="662" t="s">
        <v>0</v>
      </c>
    </row>
    <row r="36" spans="1:25" ht="18" customHeight="1">
      <c r="Y36" s="662" t="s">
        <v>0</v>
      </c>
    </row>
    <row r="37" spans="1:25" ht="18" customHeight="1">
      <c r="Y37" s="662" t="s">
        <v>0</v>
      </c>
    </row>
    <row r="38" spans="1:25" ht="22.5">
      <c r="A38" s="2065" t="s">
        <v>267</v>
      </c>
      <c r="B38" s="2060"/>
      <c r="C38" s="2060"/>
      <c r="D38" s="2060"/>
      <c r="E38" s="2060"/>
      <c r="F38" s="2060"/>
      <c r="G38" s="2060"/>
      <c r="H38" s="2060"/>
      <c r="I38" s="2060"/>
      <c r="J38" s="2060"/>
      <c r="K38" s="2060"/>
      <c r="L38" s="2060"/>
      <c r="M38" s="2060"/>
      <c r="N38" s="2060"/>
      <c r="O38" s="2060"/>
      <c r="P38" s="2060"/>
      <c r="Q38" s="2060"/>
      <c r="R38" s="2060"/>
      <c r="S38" s="2060"/>
      <c r="T38" s="2060"/>
      <c r="U38" s="2060"/>
      <c r="V38" s="2060"/>
      <c r="W38" s="2060"/>
      <c r="X38" s="2060"/>
      <c r="Y38" s="662" t="s">
        <v>0</v>
      </c>
    </row>
    <row r="39" spans="1:25" ht="23.25">
      <c r="A39" s="2059" t="str">
        <f>A5</f>
        <v>Office of Justice Programs</v>
      </c>
      <c r="B39" s="2111"/>
      <c r="C39" s="2111"/>
      <c r="D39" s="2111"/>
      <c r="E39" s="2111"/>
      <c r="F39" s="2111"/>
      <c r="G39" s="2111"/>
      <c r="H39" s="2111"/>
      <c r="I39" s="2111"/>
      <c r="J39" s="2111"/>
      <c r="K39" s="2111"/>
      <c r="L39" s="2111"/>
      <c r="M39" s="2111"/>
      <c r="N39" s="2111"/>
      <c r="O39" s="2111"/>
      <c r="P39" s="2111"/>
      <c r="Q39" s="2111"/>
      <c r="R39" s="2111"/>
      <c r="S39" s="2111"/>
      <c r="T39" s="2111"/>
      <c r="U39" s="2111"/>
      <c r="V39" s="2111"/>
      <c r="W39" s="2111"/>
      <c r="X39" s="2111"/>
      <c r="Y39" s="662" t="s">
        <v>0</v>
      </c>
    </row>
    <row r="40" spans="1:25" ht="23.25">
      <c r="A40" s="2059" t="str">
        <f>A6</f>
        <v>Weed and Seed Program Fund</v>
      </c>
      <c r="B40" s="2060"/>
      <c r="C40" s="2060"/>
      <c r="D40" s="2060"/>
      <c r="E40" s="2060"/>
      <c r="F40" s="2060"/>
      <c r="G40" s="2060"/>
      <c r="H40" s="2060"/>
      <c r="I40" s="2060"/>
      <c r="J40" s="2060"/>
      <c r="K40" s="2060"/>
      <c r="L40" s="2060"/>
      <c r="M40" s="2060"/>
      <c r="N40" s="2060"/>
      <c r="O40" s="2060"/>
      <c r="P40" s="2060"/>
      <c r="Q40" s="2060"/>
      <c r="R40" s="2060"/>
      <c r="S40" s="2060"/>
      <c r="T40" s="2060"/>
      <c r="U40" s="2060"/>
      <c r="V40" s="2060"/>
      <c r="W40" s="2060"/>
      <c r="X40" s="2060"/>
      <c r="Y40" s="662" t="s">
        <v>0</v>
      </c>
    </row>
    <row r="41" spans="1:25" ht="23.25">
      <c r="A41" s="2059" t="s">
        <v>257</v>
      </c>
      <c r="B41" s="2066"/>
      <c r="C41" s="2066"/>
      <c r="D41" s="2066"/>
      <c r="E41" s="2066"/>
      <c r="F41" s="2066"/>
      <c r="G41" s="2066"/>
      <c r="H41" s="2066"/>
      <c r="I41" s="2066"/>
      <c r="J41" s="2066"/>
      <c r="K41" s="2066"/>
      <c r="L41" s="2066"/>
      <c r="M41" s="2066"/>
      <c r="N41" s="2066"/>
      <c r="O41" s="2066"/>
      <c r="P41" s="2066"/>
      <c r="Q41" s="2066"/>
      <c r="R41" s="2066"/>
      <c r="S41" s="2066"/>
      <c r="T41" s="2066"/>
      <c r="U41" s="2066"/>
      <c r="V41" s="2066"/>
      <c r="W41" s="2066"/>
      <c r="X41" s="2066"/>
      <c r="Y41" s="662" t="s">
        <v>0</v>
      </c>
    </row>
    <row r="42" spans="1:25" ht="18" customHeight="1">
      <c r="Y42" s="662" t="s">
        <v>0</v>
      </c>
    </row>
    <row r="43" spans="1:25" ht="18" customHeight="1">
      <c r="Y43" s="662" t="s">
        <v>0</v>
      </c>
    </row>
    <row r="44" spans="1:25" ht="18" customHeight="1">
      <c r="Y44" s="662" t="s">
        <v>0</v>
      </c>
    </row>
    <row r="45" spans="1:25" ht="18" customHeight="1">
      <c r="Y45" s="662" t="s">
        <v>0</v>
      </c>
    </row>
    <row r="46" spans="1:25" ht="18" customHeight="1">
      <c r="A46" s="685"/>
      <c r="B46" s="685"/>
      <c r="C46" s="685"/>
      <c r="D46" s="686"/>
      <c r="E46" s="686"/>
      <c r="F46" s="686"/>
      <c r="G46" s="686"/>
      <c r="H46" s="686"/>
      <c r="I46" s="686"/>
      <c r="J46" s="686"/>
      <c r="K46" s="686"/>
      <c r="L46" s="686"/>
      <c r="M46" s="686"/>
      <c r="N46" s="686"/>
      <c r="O46" s="686"/>
      <c r="P46" s="686"/>
      <c r="Q46" s="686"/>
      <c r="R46" s="686"/>
      <c r="S46" s="686"/>
      <c r="T46" s="686"/>
      <c r="U46" s="686"/>
      <c r="V46" s="686"/>
      <c r="W46" s="686"/>
      <c r="X46" s="686"/>
      <c r="Y46" s="662" t="s">
        <v>0</v>
      </c>
    </row>
    <row r="47" spans="1:25" ht="22.5" customHeight="1">
      <c r="A47" s="2112" t="s">
        <v>276</v>
      </c>
      <c r="B47" s="2113"/>
      <c r="C47" s="2113"/>
      <c r="D47" s="2118" t="s">
        <v>18</v>
      </c>
      <c r="E47" s="2119"/>
      <c r="F47" s="2120"/>
      <c r="G47" s="2124" t="s">
        <v>355</v>
      </c>
      <c r="H47" s="2125"/>
      <c r="I47" s="2126"/>
      <c r="J47" s="2118" t="s">
        <v>246</v>
      </c>
      <c r="K47" s="2119"/>
      <c r="L47" s="2120"/>
      <c r="M47" s="2118" t="s">
        <v>244</v>
      </c>
      <c r="N47" s="2119"/>
      <c r="O47" s="2120"/>
      <c r="P47" s="2118" t="s">
        <v>247</v>
      </c>
      <c r="Q47" s="2130"/>
      <c r="R47" s="2130"/>
      <c r="S47" s="2118" t="s">
        <v>248</v>
      </c>
      <c r="T47" s="2119"/>
      <c r="U47" s="2119"/>
      <c r="V47" s="2118" t="s">
        <v>42</v>
      </c>
      <c r="W47" s="2119"/>
      <c r="X47" s="2120"/>
      <c r="Y47" s="662" t="s">
        <v>0</v>
      </c>
    </row>
    <row r="48" spans="1:25" ht="27.75" customHeight="1">
      <c r="A48" s="2114"/>
      <c r="B48" s="2115"/>
      <c r="C48" s="2115"/>
      <c r="D48" s="2121"/>
      <c r="E48" s="2122"/>
      <c r="F48" s="2123"/>
      <c r="G48" s="2127"/>
      <c r="H48" s="2128"/>
      <c r="I48" s="2129"/>
      <c r="J48" s="2121"/>
      <c r="K48" s="2122"/>
      <c r="L48" s="2123"/>
      <c r="M48" s="2121"/>
      <c r="N48" s="2122"/>
      <c r="O48" s="2123"/>
      <c r="P48" s="2131"/>
      <c r="Q48" s="2132"/>
      <c r="R48" s="2132"/>
      <c r="S48" s="2121"/>
      <c r="T48" s="2122"/>
      <c r="U48" s="2122"/>
      <c r="V48" s="2121"/>
      <c r="W48" s="2122"/>
      <c r="X48" s="2123"/>
      <c r="Y48" s="662" t="s">
        <v>0</v>
      </c>
    </row>
    <row r="49" spans="1:25" ht="16.5" thickBot="1">
      <c r="A49" s="2116"/>
      <c r="B49" s="2117"/>
      <c r="C49" s="2117"/>
      <c r="D49" s="687" t="s">
        <v>277</v>
      </c>
      <c r="E49" s="688" t="s">
        <v>49</v>
      </c>
      <c r="F49" s="689" t="s">
        <v>279</v>
      </c>
      <c r="G49" s="687" t="s">
        <v>277</v>
      </c>
      <c r="H49" s="688" t="s">
        <v>49</v>
      </c>
      <c r="I49" s="689" t="s">
        <v>279</v>
      </c>
      <c r="J49" s="687" t="s">
        <v>277</v>
      </c>
      <c r="K49" s="688" t="s">
        <v>49</v>
      </c>
      <c r="L49" s="689" t="s">
        <v>279</v>
      </c>
      <c r="M49" s="687" t="s">
        <v>277</v>
      </c>
      <c r="N49" s="688" t="s">
        <v>49</v>
      </c>
      <c r="O49" s="689" t="s">
        <v>279</v>
      </c>
      <c r="P49" s="687" t="s">
        <v>277</v>
      </c>
      <c r="Q49" s="688" t="s">
        <v>49</v>
      </c>
      <c r="R49" s="689" t="s">
        <v>279</v>
      </c>
      <c r="S49" s="687" t="s">
        <v>277</v>
      </c>
      <c r="T49" s="688" t="s">
        <v>49</v>
      </c>
      <c r="U49" s="689" t="s">
        <v>279</v>
      </c>
      <c r="V49" s="690" t="s">
        <v>277</v>
      </c>
      <c r="W49" s="688" t="s">
        <v>49</v>
      </c>
      <c r="X49" s="691" t="s">
        <v>279</v>
      </c>
      <c r="Y49" s="662" t="s">
        <v>0</v>
      </c>
    </row>
    <row r="50" spans="1:25">
      <c r="A50" s="692"/>
      <c r="B50" s="2135" t="s">
        <v>628</v>
      </c>
      <c r="C50" s="2135"/>
      <c r="D50" s="695"/>
      <c r="E50" s="696"/>
      <c r="F50" s="697">
        <v>19547</v>
      </c>
      <c r="G50" s="695"/>
      <c r="H50" s="696"/>
      <c r="I50" s="697">
        <v>20000</v>
      </c>
      <c r="J50" s="695"/>
      <c r="K50" s="696"/>
      <c r="L50" s="697">
        <v>0</v>
      </c>
      <c r="M50" s="695"/>
      <c r="N50" s="696"/>
      <c r="O50" s="697">
        <f>L50+I50</f>
        <v>20000</v>
      </c>
      <c r="P50" s="695"/>
      <c r="Q50" s="696"/>
      <c r="R50" s="697"/>
      <c r="S50" s="695"/>
      <c r="T50" s="696"/>
      <c r="U50" s="697">
        <v>-20000</v>
      </c>
      <c r="V50" s="695"/>
      <c r="W50" s="696"/>
      <c r="X50" s="708">
        <f>R50+O50+U50</f>
        <v>0</v>
      </c>
      <c r="Y50" s="662" t="s">
        <v>0</v>
      </c>
    </row>
    <row r="51" spans="1:25">
      <c r="A51" s="692"/>
      <c r="B51" s="2462" t="s">
        <v>597</v>
      </c>
      <c r="C51" s="2462"/>
      <c r="D51" s="695"/>
      <c r="E51" s="696"/>
      <c r="F51" s="697">
        <f>SUM(F50)</f>
        <v>19547</v>
      </c>
      <c r="G51" s="695"/>
      <c r="H51" s="696"/>
      <c r="I51" s="697">
        <f>SUM(I50)</f>
        <v>20000</v>
      </c>
      <c r="J51" s="695"/>
      <c r="K51" s="696"/>
      <c r="L51" s="697">
        <f>SUM(L50)</f>
        <v>0</v>
      </c>
      <c r="M51" s="695"/>
      <c r="N51" s="696"/>
      <c r="O51" s="697">
        <f>SUM(O50)</f>
        <v>20000</v>
      </c>
      <c r="P51" s="695"/>
      <c r="Q51" s="696"/>
      <c r="R51" s="697">
        <f>SUM(R50)</f>
        <v>0</v>
      </c>
      <c r="S51" s="695"/>
      <c r="T51" s="696"/>
      <c r="U51" s="697">
        <f>SUM(U50)</f>
        <v>-20000</v>
      </c>
      <c r="V51" s="695"/>
      <c r="W51" s="696"/>
      <c r="X51" s="708">
        <f>SUM(X50)</f>
        <v>0</v>
      </c>
      <c r="Y51" s="662" t="s">
        <v>0</v>
      </c>
    </row>
    <row r="52" spans="1:25">
      <c r="A52" s="692"/>
      <c r="B52" s="2135" t="s">
        <v>629</v>
      </c>
      <c r="C52" s="2135"/>
      <c r="D52" s="695"/>
      <c r="E52" s="696"/>
      <c r="F52" s="697">
        <v>-628</v>
      </c>
      <c r="G52" s="695"/>
      <c r="H52" s="696"/>
      <c r="I52" s="697">
        <v>0</v>
      </c>
      <c r="J52" s="695"/>
      <c r="K52" s="696"/>
      <c r="L52" s="697">
        <v>0</v>
      </c>
      <c r="M52" s="695"/>
      <c r="N52" s="696"/>
      <c r="O52" s="697">
        <f>L52+I52</f>
        <v>0</v>
      </c>
      <c r="P52" s="695"/>
      <c r="Q52" s="696"/>
      <c r="R52" s="697"/>
      <c r="S52" s="695"/>
      <c r="T52" s="696"/>
      <c r="U52" s="697">
        <v>0</v>
      </c>
      <c r="V52" s="695"/>
      <c r="W52" s="696"/>
      <c r="X52" s="708">
        <f>R52+O52+U52</f>
        <v>0</v>
      </c>
      <c r="Y52" s="662" t="s">
        <v>0</v>
      </c>
    </row>
    <row r="53" spans="1:25">
      <c r="A53" s="710"/>
      <c r="B53" s="711"/>
      <c r="C53" s="711" t="s">
        <v>50</v>
      </c>
      <c r="D53" s="712">
        <f>SUM(D50:D50)</f>
        <v>0</v>
      </c>
      <c r="E53" s="713">
        <f>SUM(E50:E50)</f>
        <v>0</v>
      </c>
      <c r="F53" s="714">
        <f>SUM(F51:F52)</f>
        <v>18919</v>
      </c>
      <c r="G53" s="712">
        <f>SUM(G50:G50)</f>
        <v>0</v>
      </c>
      <c r="H53" s="713">
        <f>SUM(H50:H50)</f>
        <v>0</v>
      </c>
      <c r="I53" s="714">
        <f>SUM(I51:I52)</f>
        <v>20000</v>
      </c>
      <c r="J53" s="712">
        <f>SUM(J50:J50)</f>
        <v>0</v>
      </c>
      <c r="K53" s="713">
        <f>SUM(K50:K50)</f>
        <v>0</v>
      </c>
      <c r="L53" s="714">
        <f>SUM(L51:L52)</f>
        <v>0</v>
      </c>
      <c r="M53" s="712">
        <f>SUM(M50:M50)</f>
        <v>0</v>
      </c>
      <c r="N53" s="713">
        <f>SUM(N50:N50)</f>
        <v>0</v>
      </c>
      <c r="O53" s="714">
        <f>SUM(O51:O52)</f>
        <v>20000</v>
      </c>
      <c r="P53" s="712">
        <f>SUM(P50:P50)</f>
        <v>0</v>
      </c>
      <c r="Q53" s="713">
        <f>SUM(Q50:Q50)</f>
        <v>0</v>
      </c>
      <c r="R53" s="714">
        <f>SUM(R51:R52)</f>
        <v>0</v>
      </c>
      <c r="S53" s="712">
        <f>SUM(S50:S50)</f>
        <v>0</v>
      </c>
      <c r="T53" s="713">
        <f>SUM(T50:T50)</f>
        <v>0</v>
      </c>
      <c r="U53" s="921">
        <f>SUM(U51:U52)</f>
        <v>-20000</v>
      </c>
      <c r="V53" s="712">
        <f>SUM(V50:V50)</f>
        <v>0</v>
      </c>
      <c r="W53" s="713">
        <f>SUM(W50:W50)</f>
        <v>0</v>
      </c>
      <c r="X53" s="715">
        <f>SUM(X51:X52)</f>
        <v>0</v>
      </c>
      <c r="Y53" s="662" t="s">
        <v>0</v>
      </c>
    </row>
    <row r="54" spans="1:25" ht="17.25" customHeight="1">
      <c r="A54" s="725"/>
      <c r="B54" s="2140"/>
      <c r="C54" s="2141"/>
      <c r="D54" s="726"/>
      <c r="E54" s="727"/>
      <c r="F54" s="663"/>
      <c r="G54" s="728"/>
      <c r="H54" s="729"/>
      <c r="I54" s="729"/>
      <c r="J54" s="728"/>
      <c r="K54" s="729"/>
      <c r="L54" s="729"/>
      <c r="M54" s="728"/>
      <c r="N54" s="729"/>
      <c r="O54" s="729"/>
      <c r="P54" s="728"/>
      <c r="Q54" s="729"/>
      <c r="R54" s="729"/>
      <c r="S54" s="728"/>
      <c r="T54" s="729"/>
      <c r="U54" s="729"/>
      <c r="V54" s="728"/>
      <c r="W54" s="730"/>
      <c r="X54" s="731"/>
      <c r="Y54" s="662" t="s">
        <v>0</v>
      </c>
    </row>
    <row r="55" spans="1:25">
      <c r="A55" s="710"/>
      <c r="B55" s="2142" t="s">
        <v>263</v>
      </c>
      <c r="C55" s="2143"/>
      <c r="D55" s="732"/>
      <c r="E55" s="733"/>
      <c r="F55" s="734"/>
      <c r="G55" s="735"/>
      <c r="H55" s="736"/>
      <c r="I55" s="736"/>
      <c r="J55" s="735"/>
      <c r="K55" s="736"/>
      <c r="L55" s="736"/>
      <c r="M55" s="735"/>
      <c r="N55" s="736"/>
      <c r="O55" s="736"/>
      <c r="P55" s="735"/>
      <c r="Q55" s="736"/>
      <c r="R55" s="736"/>
      <c r="S55" s="735"/>
      <c r="T55" s="736"/>
      <c r="U55" s="736"/>
      <c r="V55" s="735"/>
      <c r="W55" s="733"/>
      <c r="X55" s="737"/>
      <c r="Y55" s="662" t="s">
        <v>0</v>
      </c>
    </row>
    <row r="56" spans="1:25">
      <c r="A56" s="692"/>
      <c r="B56" s="2144" t="s">
        <v>262</v>
      </c>
      <c r="C56" s="2145"/>
      <c r="D56" s="695"/>
      <c r="E56" s="696">
        <f>+E53+E55</f>
        <v>0</v>
      </c>
      <c r="F56" s="701"/>
      <c r="G56" s="738"/>
      <c r="H56" s="696">
        <f>+H53+H55</f>
        <v>0</v>
      </c>
      <c r="I56" s="697"/>
      <c r="J56" s="738"/>
      <c r="K56" s="696">
        <f>+K53+K55</f>
        <v>0</v>
      </c>
      <c r="L56" s="697"/>
      <c r="M56" s="738"/>
      <c r="N56" s="696">
        <f>+N53+N55</f>
        <v>0</v>
      </c>
      <c r="O56" s="697"/>
      <c r="P56" s="738"/>
      <c r="Q56" s="696">
        <f>+Q53+Q55</f>
        <v>0</v>
      </c>
      <c r="R56" s="697"/>
      <c r="S56" s="738"/>
      <c r="T56" s="696">
        <f>+T53+T55</f>
        <v>0</v>
      </c>
      <c r="U56" s="697"/>
      <c r="V56" s="738"/>
      <c r="W56" s="696">
        <f>+W53+W55</f>
        <v>0</v>
      </c>
      <c r="X56" s="667"/>
      <c r="Y56" s="662" t="s">
        <v>0</v>
      </c>
    </row>
    <row r="57" spans="1:25">
      <c r="A57" s="739"/>
      <c r="B57" s="2133"/>
      <c r="C57" s="2134"/>
      <c r="D57" s="726"/>
      <c r="E57" s="727"/>
      <c r="F57" s="663"/>
      <c r="G57" s="728"/>
      <c r="H57" s="729"/>
      <c r="I57" s="729"/>
      <c r="J57" s="728"/>
      <c r="K57" s="729"/>
      <c r="L57" s="729"/>
      <c r="M57" s="728"/>
      <c r="N57" s="729"/>
      <c r="O57" s="729"/>
      <c r="P57" s="728"/>
      <c r="Q57" s="729"/>
      <c r="R57" s="729"/>
      <c r="S57" s="728"/>
      <c r="T57" s="729"/>
      <c r="U57" s="729"/>
      <c r="V57" s="728"/>
      <c r="W57" s="730"/>
      <c r="X57" s="731"/>
      <c r="Y57" s="662" t="s">
        <v>0</v>
      </c>
    </row>
    <row r="58" spans="1:25">
      <c r="A58" s="692"/>
      <c r="B58" s="2144" t="s">
        <v>260</v>
      </c>
      <c r="C58" s="2145"/>
      <c r="D58" s="695"/>
      <c r="E58" s="696"/>
      <c r="F58" s="701"/>
      <c r="G58" s="738"/>
      <c r="H58" s="697"/>
      <c r="I58" s="697"/>
      <c r="J58" s="738"/>
      <c r="K58" s="697"/>
      <c r="L58" s="697"/>
      <c r="M58" s="738"/>
      <c r="N58" s="697"/>
      <c r="O58" s="697"/>
      <c r="P58" s="738"/>
      <c r="Q58" s="697"/>
      <c r="R58" s="697"/>
      <c r="S58" s="738"/>
      <c r="T58" s="697"/>
      <c r="U58" s="697"/>
      <c r="V58" s="738"/>
      <c r="W58" s="697"/>
      <c r="X58" s="667"/>
      <c r="Y58" s="662" t="s">
        <v>0</v>
      </c>
    </row>
    <row r="59" spans="1:25">
      <c r="A59" s="692"/>
      <c r="B59" s="740"/>
      <c r="C59" s="704" t="s">
        <v>55</v>
      </c>
      <c r="D59" s="695"/>
      <c r="E59" s="696"/>
      <c r="F59" s="701"/>
      <c r="G59" s="738"/>
      <c r="H59" s="697"/>
      <c r="I59" s="697"/>
      <c r="J59" s="738"/>
      <c r="K59" s="696"/>
      <c r="L59" s="697"/>
      <c r="M59" s="738"/>
      <c r="N59" s="696"/>
      <c r="O59" s="697"/>
      <c r="P59" s="738"/>
      <c r="Q59" s="696"/>
      <c r="R59" s="697"/>
      <c r="S59" s="738"/>
      <c r="T59" s="696"/>
      <c r="U59" s="697"/>
      <c r="V59" s="738"/>
      <c r="W59" s="741"/>
      <c r="X59" s="667"/>
      <c r="Y59" s="662" t="s">
        <v>0</v>
      </c>
    </row>
    <row r="60" spans="1:25">
      <c r="A60" s="710"/>
      <c r="B60" s="742"/>
      <c r="C60" s="743" t="s">
        <v>103</v>
      </c>
      <c r="D60" s="732"/>
      <c r="E60" s="733"/>
      <c r="F60" s="734"/>
      <c r="G60" s="735"/>
      <c r="H60" s="736"/>
      <c r="I60" s="736"/>
      <c r="J60" s="735"/>
      <c r="K60" s="733"/>
      <c r="L60" s="736"/>
      <c r="M60" s="735"/>
      <c r="N60" s="733"/>
      <c r="O60" s="736"/>
      <c r="P60" s="735"/>
      <c r="Q60" s="733"/>
      <c r="R60" s="736"/>
      <c r="S60" s="735"/>
      <c r="T60" s="733"/>
      <c r="U60" s="736"/>
      <c r="V60" s="735"/>
      <c r="W60" s="733"/>
      <c r="X60" s="737"/>
      <c r="Y60" s="662" t="s">
        <v>0</v>
      </c>
    </row>
    <row r="61" spans="1:25">
      <c r="A61" s="710"/>
      <c r="B61" s="2148" t="s">
        <v>261</v>
      </c>
      <c r="C61" s="2149"/>
      <c r="D61" s="732"/>
      <c r="E61" s="733">
        <f>E60+E59+E56</f>
        <v>0</v>
      </c>
      <c r="F61" s="734"/>
      <c r="G61" s="735"/>
      <c r="H61" s="733">
        <f>H60+H59+H56</f>
        <v>0</v>
      </c>
      <c r="I61" s="736"/>
      <c r="J61" s="735"/>
      <c r="K61" s="733">
        <f>K60+K59+K56</f>
        <v>0</v>
      </c>
      <c r="L61" s="736"/>
      <c r="M61" s="735"/>
      <c r="N61" s="733">
        <f>N60+N59+N56</f>
        <v>0</v>
      </c>
      <c r="O61" s="736"/>
      <c r="P61" s="735"/>
      <c r="Q61" s="733">
        <f>Q60+Q59+Q56</f>
        <v>0</v>
      </c>
      <c r="R61" s="736"/>
      <c r="S61" s="735"/>
      <c r="T61" s="733">
        <f>T60+T59+T56</f>
        <v>0</v>
      </c>
      <c r="U61" s="736"/>
      <c r="V61" s="735"/>
      <c r="W61" s="733">
        <f>W60+W59+W56</f>
        <v>0</v>
      </c>
      <c r="X61" s="737"/>
      <c r="Y61" s="662" t="s">
        <v>24</v>
      </c>
    </row>
    <row r="62" spans="1:25">
      <c r="C62" s="744"/>
    </row>
    <row r="63" spans="1:25" s="746" customFormat="1" ht="15">
      <c r="D63" s="747"/>
      <c r="E63" s="747"/>
      <c r="F63" s="747"/>
      <c r="G63" s="747"/>
      <c r="H63" s="747"/>
      <c r="I63" s="747"/>
      <c r="J63" s="747"/>
      <c r="K63" s="747"/>
      <c r="L63" s="747"/>
      <c r="M63" s="747"/>
      <c r="N63" s="747"/>
      <c r="O63" s="747"/>
      <c r="P63" s="747"/>
      <c r="Q63" s="747"/>
      <c r="R63" s="747"/>
      <c r="S63" s="747"/>
      <c r="T63" s="747"/>
      <c r="U63" s="747"/>
      <c r="V63" s="747"/>
      <c r="W63" s="747"/>
      <c r="X63" s="747"/>
      <c r="Y63" s="748"/>
    </row>
    <row r="64" spans="1:25" s="746" customFormat="1" ht="15">
      <c r="D64" s="747"/>
      <c r="E64" s="747"/>
      <c r="F64" s="747"/>
      <c r="G64" s="747"/>
      <c r="H64" s="747"/>
      <c r="I64" s="747"/>
      <c r="J64" s="747"/>
      <c r="K64" s="747"/>
      <c r="L64" s="747"/>
      <c r="M64" s="747"/>
      <c r="N64" s="747"/>
      <c r="O64" s="747"/>
      <c r="P64" s="747"/>
      <c r="Q64" s="747"/>
      <c r="R64" s="747"/>
      <c r="S64" s="747"/>
      <c r="T64" s="747"/>
      <c r="U64" s="747"/>
      <c r="V64" s="747"/>
      <c r="W64" s="747"/>
      <c r="X64" s="747"/>
      <c r="Y64" s="748"/>
    </row>
    <row r="65" spans="1:25" s="746" customFormat="1" ht="15">
      <c r="D65" s="747"/>
      <c r="E65" s="747"/>
      <c r="F65" s="747"/>
      <c r="G65" s="747"/>
      <c r="H65" s="747"/>
      <c r="I65" s="747"/>
      <c r="J65" s="747"/>
      <c r="K65" s="747"/>
      <c r="L65" s="747"/>
      <c r="M65" s="747"/>
      <c r="N65" s="747"/>
      <c r="O65" s="747"/>
      <c r="P65" s="747"/>
      <c r="Q65" s="747"/>
      <c r="R65" s="747"/>
      <c r="S65" s="747"/>
      <c r="T65" s="747"/>
      <c r="U65" s="747"/>
      <c r="V65" s="747"/>
      <c r="W65" s="747"/>
      <c r="X65" s="747"/>
      <c r="Y65" s="748"/>
    </row>
    <row r="66" spans="1:25" s="746" customFormat="1" ht="15">
      <c r="A66" s="749"/>
      <c r="B66" s="749"/>
      <c r="C66" s="749"/>
      <c r="D66" s="750"/>
      <c r="E66" s="750"/>
      <c r="F66" s="750"/>
      <c r="G66" s="750"/>
      <c r="H66" s="750"/>
      <c r="I66" s="750"/>
      <c r="J66" s="750"/>
      <c r="K66" s="750"/>
      <c r="L66" s="750"/>
      <c r="M66" s="750"/>
      <c r="N66" s="750"/>
      <c r="O66" s="750"/>
      <c r="P66" s="750"/>
      <c r="Q66" s="750"/>
      <c r="R66" s="750"/>
      <c r="S66" s="750"/>
      <c r="T66" s="750"/>
      <c r="U66" s="750"/>
      <c r="V66" s="750"/>
      <c r="W66" s="750"/>
      <c r="X66" s="750"/>
      <c r="Y66" s="748"/>
    </row>
    <row r="67" spans="1:25" s="746" customFormat="1" ht="15">
      <c r="A67" s="751"/>
      <c r="B67" s="751"/>
      <c r="C67" s="751"/>
      <c r="D67" s="752"/>
      <c r="E67" s="752"/>
      <c r="F67" s="752"/>
      <c r="G67" s="752"/>
      <c r="H67" s="752"/>
      <c r="I67" s="752"/>
      <c r="J67" s="752"/>
      <c r="K67" s="752"/>
      <c r="L67" s="752"/>
      <c r="M67" s="752"/>
      <c r="N67" s="752"/>
      <c r="O67" s="752"/>
      <c r="P67" s="752"/>
      <c r="Q67" s="752"/>
      <c r="R67" s="752"/>
      <c r="S67" s="752"/>
      <c r="T67" s="752"/>
      <c r="U67" s="752"/>
      <c r="V67" s="752"/>
      <c r="W67" s="753"/>
      <c r="X67" s="753"/>
      <c r="Y67" s="748"/>
    </row>
    <row r="68" spans="1:25" s="746" customFormat="1" ht="26.25">
      <c r="A68" s="2150"/>
      <c r="B68" s="2150"/>
      <c r="C68" s="2150"/>
      <c r="D68" s="2150"/>
      <c r="E68" s="2150"/>
      <c r="F68" s="2150"/>
      <c r="G68" s="2150"/>
      <c r="H68" s="2150"/>
      <c r="I68" s="2150"/>
      <c r="J68" s="2150"/>
      <c r="K68" s="2150"/>
      <c r="L68" s="2150"/>
      <c r="M68" s="2150"/>
      <c r="N68" s="2150"/>
      <c r="O68" s="2150"/>
      <c r="P68" s="2150"/>
      <c r="Q68" s="2150"/>
      <c r="R68" s="2150"/>
      <c r="S68" s="2150"/>
      <c r="T68" s="2150"/>
      <c r="U68" s="2150"/>
      <c r="V68" s="2150"/>
      <c r="W68" s="754"/>
      <c r="X68" s="754"/>
      <c r="Y68" s="748"/>
    </row>
    <row r="69" spans="1:25" s="746" customFormat="1" ht="25.5">
      <c r="A69" s="2151"/>
      <c r="B69" s="2032"/>
      <c r="C69" s="2032"/>
      <c r="D69" s="2032"/>
      <c r="E69" s="2032"/>
      <c r="F69" s="2032"/>
      <c r="G69" s="2032"/>
      <c r="H69" s="2032"/>
      <c r="I69" s="2032"/>
      <c r="J69" s="2032"/>
      <c r="K69" s="2032"/>
      <c r="L69" s="2032"/>
      <c r="M69" s="2032"/>
      <c r="N69" s="2032"/>
      <c r="O69" s="2032"/>
      <c r="P69" s="2032"/>
      <c r="Q69" s="2032"/>
      <c r="R69" s="2032"/>
      <c r="S69" s="2032"/>
      <c r="T69" s="2032"/>
      <c r="U69" s="2032"/>
      <c r="V69" s="2032"/>
      <c r="W69" s="755"/>
      <c r="X69" s="755"/>
      <c r="Y69" s="748"/>
    </row>
    <row r="70" spans="1:25" s="746" customFormat="1" ht="25.5">
      <c r="A70" s="2152"/>
      <c r="B70" s="2153"/>
      <c r="C70" s="2153"/>
      <c r="D70" s="2153"/>
      <c r="E70" s="2153"/>
      <c r="F70" s="2153"/>
      <c r="G70" s="2153"/>
      <c r="H70" s="2153"/>
      <c r="I70" s="2153"/>
      <c r="J70" s="2153"/>
      <c r="K70" s="2153"/>
      <c r="L70" s="2153"/>
      <c r="M70" s="2153"/>
      <c r="N70" s="2153"/>
      <c r="O70" s="2153"/>
      <c r="P70" s="2153"/>
      <c r="Q70" s="2153"/>
      <c r="R70" s="2153"/>
      <c r="S70" s="2153"/>
      <c r="T70" s="2153"/>
      <c r="U70" s="2153"/>
      <c r="V70" s="2153"/>
      <c r="W70" s="755"/>
      <c r="X70" s="755"/>
      <c r="Y70" s="748"/>
    </row>
    <row r="71" spans="1:25" s="746" customFormat="1" ht="30" customHeight="1">
      <c r="A71" s="2153"/>
      <c r="B71" s="2153"/>
      <c r="C71" s="2153"/>
      <c r="D71" s="2153"/>
      <c r="E71" s="2153"/>
      <c r="F71" s="2153"/>
      <c r="G71" s="2153"/>
      <c r="H71" s="2153"/>
      <c r="I71" s="2153"/>
      <c r="J71" s="2153"/>
      <c r="K71" s="2153"/>
      <c r="L71" s="2153"/>
      <c r="M71" s="2153"/>
      <c r="N71" s="2153"/>
      <c r="O71" s="2153"/>
      <c r="P71" s="2153"/>
      <c r="Q71" s="2153"/>
      <c r="R71" s="2153"/>
      <c r="S71" s="2153"/>
      <c r="T71" s="2153"/>
      <c r="U71" s="2153"/>
      <c r="V71" s="2153"/>
      <c r="W71" s="755"/>
      <c r="X71" s="755"/>
      <c r="Y71" s="748"/>
    </row>
    <row r="72" spans="1:25" s="746" customFormat="1" ht="62.25" customHeight="1">
      <c r="A72" s="2146"/>
      <c r="B72" s="2146"/>
      <c r="C72" s="2146"/>
      <c r="D72" s="2146"/>
      <c r="E72" s="2146"/>
      <c r="F72" s="2146"/>
      <c r="G72" s="2146"/>
      <c r="H72" s="2146"/>
      <c r="I72" s="2146"/>
      <c r="J72" s="2146"/>
      <c r="K72" s="2146"/>
      <c r="L72" s="2146"/>
      <c r="M72" s="2146"/>
      <c r="N72" s="2146"/>
      <c r="O72" s="2146"/>
      <c r="P72" s="2146"/>
      <c r="Q72" s="2146"/>
      <c r="R72" s="2146"/>
      <c r="S72" s="2146"/>
      <c r="T72" s="2146"/>
      <c r="U72" s="2146"/>
      <c r="V72" s="2146"/>
      <c r="W72" s="756"/>
      <c r="X72" s="756"/>
      <c r="Y72" s="748"/>
    </row>
    <row r="73" spans="1:25" s="746" customFormat="1" ht="90.75" customHeight="1">
      <c r="A73" s="2146"/>
      <c r="B73" s="2147"/>
      <c r="C73" s="2147"/>
      <c r="D73" s="2147"/>
      <c r="E73" s="2147"/>
      <c r="F73" s="2147"/>
      <c r="G73" s="2147"/>
      <c r="H73" s="2147"/>
      <c r="I73" s="2147"/>
      <c r="J73" s="2147"/>
      <c r="K73" s="2147"/>
      <c r="L73" s="2147"/>
      <c r="M73" s="2147"/>
      <c r="N73" s="2147"/>
      <c r="O73" s="2147"/>
      <c r="P73" s="2147"/>
      <c r="Q73" s="2147"/>
      <c r="R73" s="2147"/>
      <c r="S73" s="2147"/>
      <c r="T73" s="2147"/>
      <c r="U73" s="2147"/>
      <c r="V73" s="2147"/>
      <c r="W73" s="756"/>
      <c r="X73" s="756"/>
      <c r="Y73" s="748"/>
    </row>
    <row r="74" spans="1:25" s="757" customFormat="1" ht="25.5">
      <c r="D74" s="758"/>
      <c r="E74" s="758"/>
      <c r="F74" s="758"/>
      <c r="G74" s="758"/>
      <c r="H74" s="758"/>
      <c r="I74" s="758"/>
      <c r="J74" s="758"/>
      <c r="K74" s="758"/>
      <c r="L74" s="758"/>
      <c r="M74" s="758"/>
      <c r="N74" s="758"/>
      <c r="O74" s="758"/>
      <c r="P74" s="758"/>
      <c r="Q74" s="758"/>
      <c r="R74" s="758"/>
      <c r="S74" s="758"/>
      <c r="T74" s="758"/>
      <c r="U74" s="758"/>
      <c r="V74" s="758"/>
      <c r="W74" s="759"/>
      <c r="X74" s="760"/>
    </row>
    <row r="75" spans="1:25">
      <c r="W75" s="761"/>
      <c r="X75" s="761"/>
    </row>
    <row r="76" spans="1:25">
      <c r="K76" s="762"/>
    </row>
  </sheetData>
  <mergeCells count="56">
    <mergeCell ref="A72:V72"/>
    <mergeCell ref="A73:V73"/>
    <mergeCell ref="B57:C57"/>
    <mergeCell ref="B58:C58"/>
    <mergeCell ref="B61:C61"/>
    <mergeCell ref="A68:V68"/>
    <mergeCell ref="A69:V69"/>
    <mergeCell ref="A70:V71"/>
    <mergeCell ref="B56:C56"/>
    <mergeCell ref="A41:X41"/>
    <mergeCell ref="A47:C49"/>
    <mergeCell ref="D47:F48"/>
    <mergeCell ref="G47:I48"/>
    <mergeCell ref="J47:L48"/>
    <mergeCell ref="M47:O48"/>
    <mergeCell ref="P47:R48"/>
    <mergeCell ref="S47:U48"/>
    <mergeCell ref="V47:X48"/>
    <mergeCell ref="B50:C50"/>
    <mergeCell ref="B51:C51"/>
    <mergeCell ref="B52:C52"/>
    <mergeCell ref="B54:C54"/>
    <mergeCell ref="B55:C55"/>
    <mergeCell ref="A40:X40"/>
    <mergeCell ref="A20:U20"/>
    <mergeCell ref="A21:U21"/>
    <mergeCell ref="A22:U22"/>
    <mergeCell ref="A23:U23"/>
    <mergeCell ref="A24:U24"/>
    <mergeCell ref="A25:U25"/>
    <mergeCell ref="A26:U26"/>
    <mergeCell ref="A27:U27"/>
    <mergeCell ref="A28:U28"/>
    <mergeCell ref="A38:X38"/>
    <mergeCell ref="A39:X39"/>
    <mergeCell ref="A19:U19"/>
    <mergeCell ref="A7:X7"/>
    <mergeCell ref="A8:X8"/>
    <mergeCell ref="A9:X9"/>
    <mergeCell ref="A10:X10"/>
    <mergeCell ref="A11:U13"/>
    <mergeCell ref="V11:X11"/>
    <mergeCell ref="V12:V13"/>
    <mergeCell ref="W12:W13"/>
    <mergeCell ref="X12:X13"/>
    <mergeCell ref="A14:U14"/>
    <mergeCell ref="A15:U15"/>
    <mergeCell ref="A16:U16"/>
    <mergeCell ref="A17:U17"/>
    <mergeCell ref="A18:U18"/>
    <mergeCell ref="A6:X6"/>
    <mergeCell ref="A1:X1"/>
    <mergeCell ref="A2:X2"/>
    <mergeCell ref="A3:X3"/>
    <mergeCell ref="A4:X4"/>
    <mergeCell ref="A5:X5"/>
  </mergeCells>
  <printOptions horizontalCentered="1"/>
  <pageMargins left="0.5" right="0.4" top="0.5" bottom="0.25" header="0" footer="0"/>
  <pageSetup scale="54" firstPageNumber="8" fitToHeight="0" orientation="landscape" useFirstPageNumber="1" r:id="rId1"/>
  <headerFooter alignWithMargins="0">
    <oddFooter>&amp;C&amp;"Times New Roman,Regular"Exhibit B - Summary of Requirements&amp;R&amp;"Times New Roman,Regular"Weed and Seed Program Fund</oddFooter>
  </headerFooter>
  <rowBreaks count="1" manualBreakCount="1">
    <brk id="28" max="23" man="1"/>
  </rowBreaks>
</worksheet>
</file>

<file path=xl/worksheets/sheet32.xml><?xml version="1.0" encoding="utf-8"?>
<worksheet xmlns="http://schemas.openxmlformats.org/spreadsheetml/2006/main" xmlns:r="http://schemas.openxmlformats.org/officeDocument/2006/relationships">
  <sheetPr>
    <pageSetUpPr fitToPage="1"/>
  </sheetPr>
  <dimension ref="A1:H28"/>
  <sheetViews>
    <sheetView view="pageBreakPreview" zoomScale="75" zoomScaleNormal="75" zoomScaleSheetLayoutView="75" workbookViewId="0">
      <selection activeCell="D37" sqref="D37"/>
    </sheetView>
  </sheetViews>
  <sheetFormatPr defaultColWidth="7.21875" defaultRowHeight="12.75"/>
  <cols>
    <col min="1" max="1" width="17.88671875" style="764" customWidth="1"/>
    <col min="2" max="2" width="23.109375" style="764" customWidth="1"/>
    <col min="3" max="3" width="4.6640625" style="764" customWidth="1"/>
    <col min="4" max="4" width="7.5546875" style="764" customWidth="1"/>
    <col min="5" max="5" width="4.6640625" style="764" customWidth="1"/>
    <col min="6" max="6" width="9.33203125" style="764" bestFit="1" customWidth="1"/>
    <col min="7" max="7" width="11.33203125" style="764" customWidth="1"/>
    <col min="8" max="8" width="8.88671875" style="811" customWidth="1"/>
    <col min="9" max="16384" width="7.21875" style="764"/>
  </cols>
  <sheetData>
    <row r="1" spans="1:8" ht="20.25">
      <c r="A1" s="2156" t="s">
        <v>33</v>
      </c>
      <c r="B1" s="2157"/>
      <c r="C1" s="2157"/>
      <c r="D1" s="2157"/>
      <c r="E1" s="2157"/>
      <c r="F1" s="2157"/>
      <c r="G1" s="2157"/>
      <c r="H1" s="763" t="s">
        <v>0</v>
      </c>
    </row>
    <row r="2" spans="1:8" ht="20.25">
      <c r="A2" s="2033"/>
      <c r="B2" s="2033"/>
      <c r="C2" s="2033"/>
      <c r="D2" s="2033"/>
      <c r="E2" s="2033"/>
      <c r="F2" s="2033"/>
      <c r="G2" s="2033"/>
      <c r="H2" s="763" t="s">
        <v>0</v>
      </c>
    </row>
    <row r="3" spans="1:8">
      <c r="A3" s="2158"/>
      <c r="B3" s="2158"/>
      <c r="C3" s="2158"/>
      <c r="D3" s="2158"/>
      <c r="E3" s="2158"/>
      <c r="F3" s="2158"/>
      <c r="G3" s="2158"/>
      <c r="H3" s="763" t="s">
        <v>0</v>
      </c>
    </row>
    <row r="4" spans="1:8" ht="23.25">
      <c r="A4" s="2159" t="s">
        <v>239</v>
      </c>
      <c r="B4" s="2155"/>
      <c r="C4" s="2155"/>
      <c r="D4" s="2155"/>
      <c r="E4" s="2155"/>
      <c r="F4" s="2155"/>
      <c r="G4" s="2155"/>
      <c r="H4" s="763" t="s">
        <v>0</v>
      </c>
    </row>
    <row r="5" spans="1:8" ht="23.25">
      <c r="A5" s="2160" t="str">
        <f>'B. Summ of Reqs - W&amp;S'!A39</f>
        <v>Office of Justice Programs</v>
      </c>
      <c r="B5" s="2161"/>
      <c r="C5" s="2161"/>
      <c r="D5" s="2161"/>
      <c r="E5" s="2161"/>
      <c r="F5" s="2161"/>
      <c r="G5" s="2161"/>
      <c r="H5" s="763" t="s">
        <v>0</v>
      </c>
    </row>
    <row r="6" spans="1:8" ht="23.25">
      <c r="A6" s="2160" t="str">
        <f>'B. Summ of Reqs - W&amp;S'!A40</f>
        <v>Weed and Seed Program Fund</v>
      </c>
      <c r="B6" s="2161"/>
      <c r="C6" s="2161"/>
      <c r="D6" s="2161"/>
      <c r="E6" s="2161"/>
      <c r="F6" s="2161"/>
      <c r="G6" s="2161"/>
      <c r="H6" s="763" t="s">
        <v>0</v>
      </c>
    </row>
    <row r="7" spans="1:8" ht="23.25">
      <c r="A7" s="2154" t="s">
        <v>257</v>
      </c>
      <c r="B7" s="2155"/>
      <c r="C7" s="2155"/>
      <c r="D7" s="2155"/>
      <c r="E7" s="2155"/>
      <c r="F7" s="2155"/>
      <c r="G7" s="2155"/>
      <c r="H7" s="763" t="s">
        <v>0</v>
      </c>
    </row>
    <row r="8" spans="1:8">
      <c r="A8" s="2162"/>
      <c r="B8" s="2162"/>
      <c r="C8" s="2162"/>
      <c r="D8" s="2162"/>
      <c r="E8" s="2162"/>
      <c r="F8" s="2162"/>
      <c r="G8" s="2162"/>
      <c r="H8" s="763" t="s">
        <v>0</v>
      </c>
    </row>
    <row r="9" spans="1:8">
      <c r="A9" s="2163"/>
      <c r="B9" s="2163"/>
      <c r="C9" s="2163"/>
      <c r="D9" s="2163"/>
      <c r="E9" s="2163"/>
      <c r="F9" s="2163"/>
      <c r="G9" s="2163"/>
      <c r="H9" s="763" t="s">
        <v>0</v>
      </c>
    </row>
    <row r="10" spans="1:8" ht="18.75" customHeight="1">
      <c r="A10" s="785"/>
      <c r="B10" s="773"/>
      <c r="C10" s="785"/>
      <c r="D10" s="786"/>
      <c r="E10" s="786"/>
      <c r="F10" s="787"/>
      <c r="G10" s="787"/>
      <c r="H10" s="763" t="s">
        <v>0</v>
      </c>
    </row>
    <row r="11" spans="1:8" ht="18.75" customHeight="1">
      <c r="A11" s="2172" t="s">
        <v>11</v>
      </c>
      <c r="B11" s="2166" t="s">
        <v>22</v>
      </c>
      <c r="C11" s="2168" t="s">
        <v>626</v>
      </c>
      <c r="D11" s="2169"/>
      <c r="E11" s="2169"/>
      <c r="F11" s="2170"/>
      <c r="G11" s="2166" t="s">
        <v>259</v>
      </c>
      <c r="H11" s="763" t="s">
        <v>0</v>
      </c>
    </row>
    <row r="12" spans="1:8" ht="18.75" customHeight="1">
      <c r="A12" s="2173"/>
      <c r="B12" s="2167"/>
      <c r="C12" s="765" t="s">
        <v>277</v>
      </c>
      <c r="D12" s="765" t="s">
        <v>10</v>
      </c>
      <c r="E12" s="765" t="s">
        <v>49</v>
      </c>
      <c r="F12" s="766" t="s">
        <v>279</v>
      </c>
      <c r="G12" s="2167"/>
      <c r="H12" s="763" t="s">
        <v>0</v>
      </c>
    </row>
    <row r="13" spans="1:8" ht="18.75" customHeight="1">
      <c r="A13" s="788"/>
      <c r="B13" s="789"/>
      <c r="C13" s="769"/>
      <c r="D13" s="770"/>
      <c r="E13" s="770"/>
      <c r="F13" s="771"/>
      <c r="G13" s="771"/>
      <c r="H13" s="763" t="s">
        <v>0</v>
      </c>
    </row>
    <row r="14" spans="1:8" ht="18.75" customHeight="1">
      <c r="A14" s="788" t="s">
        <v>628</v>
      </c>
      <c r="B14" s="1170" t="s">
        <v>626</v>
      </c>
      <c r="C14" s="772">
        <v>0</v>
      </c>
      <c r="D14" s="770">
        <v>0</v>
      </c>
      <c r="E14" s="770">
        <v>0</v>
      </c>
      <c r="F14" s="771">
        <v>-20000</v>
      </c>
      <c r="G14" s="771">
        <f>+F14</f>
        <v>-20000</v>
      </c>
      <c r="H14" s="763" t="s">
        <v>0</v>
      </c>
    </row>
    <row r="15" spans="1:8" ht="18.75" customHeight="1">
      <c r="A15" s="791"/>
      <c r="B15" s="792"/>
      <c r="C15" s="775"/>
      <c r="D15" s="776"/>
      <c r="E15" s="776"/>
      <c r="F15" s="777"/>
      <c r="G15" s="778"/>
      <c r="H15" s="763" t="s">
        <v>0</v>
      </c>
    </row>
    <row r="16" spans="1:8" ht="18.75" customHeight="1">
      <c r="A16" s="793" t="s">
        <v>259</v>
      </c>
      <c r="B16" s="794"/>
      <c r="C16" s="795">
        <f>SUM(C13:C15)</f>
        <v>0</v>
      </c>
      <c r="D16" s="796">
        <f>SUM(D13:D15)</f>
        <v>0</v>
      </c>
      <c r="E16" s="796">
        <f>SUM(E13:E15)</f>
        <v>0</v>
      </c>
      <c r="F16" s="797">
        <f>SUM(F13:F15)</f>
        <v>-20000</v>
      </c>
      <c r="G16" s="798">
        <f>SUM(G13:G15)</f>
        <v>-20000</v>
      </c>
      <c r="H16" s="763" t="s">
        <v>24</v>
      </c>
    </row>
    <row r="17" spans="1:8" ht="18.75" customHeight="1">
      <c r="A17" s="799"/>
      <c r="B17" s="800"/>
      <c r="C17" s="800"/>
      <c r="D17" s="800"/>
      <c r="E17" s="800"/>
      <c r="F17" s="800"/>
      <c r="G17" s="800"/>
      <c r="H17" s="763"/>
    </row>
    <row r="18" spans="1:8" ht="18.75" customHeight="1">
      <c r="H18" s="763"/>
    </row>
    <row r="19" spans="1:8" ht="18.75" customHeight="1">
      <c r="A19" s="801"/>
      <c r="B19" s="802"/>
      <c r="C19" s="803"/>
      <c r="D19" s="803"/>
      <c r="E19" s="803"/>
      <c r="F19" s="803"/>
      <c r="G19" s="803"/>
      <c r="H19" s="763"/>
    </row>
    <row r="20" spans="1:8" ht="18.75" customHeight="1">
      <c r="A20" s="801"/>
      <c r="B20" s="804"/>
      <c r="C20" s="805"/>
      <c r="D20" s="805"/>
      <c r="E20" s="805"/>
      <c r="F20" s="803"/>
      <c r="G20" s="805"/>
      <c r="H20" s="763"/>
    </row>
    <row r="21" spans="1:8" ht="18.75" customHeight="1">
      <c r="A21" s="801"/>
      <c r="B21" s="804"/>
      <c r="C21" s="806"/>
      <c r="D21" s="806"/>
      <c r="E21" s="806"/>
      <c r="F21" s="807"/>
      <c r="G21" s="808"/>
      <c r="H21" s="763"/>
    </row>
    <row r="22" spans="1:8" ht="12.75" customHeight="1">
      <c r="A22" s="809"/>
      <c r="B22" s="810"/>
      <c r="C22" s="810"/>
      <c r="D22" s="810"/>
      <c r="E22" s="810"/>
      <c r="F22" s="810"/>
    </row>
    <row r="23" spans="1:8" ht="33.75" customHeight="1">
      <c r="A23" s="2174"/>
      <c r="B23" s="2175"/>
      <c r="C23" s="2175"/>
      <c r="D23" s="2175"/>
      <c r="E23" s="2175"/>
      <c r="F23" s="2175"/>
    </row>
    <row r="24" spans="1:8" ht="12.75" customHeight="1">
      <c r="A24" s="812"/>
      <c r="B24" s="812"/>
      <c r="C24" s="812"/>
      <c r="D24" s="812"/>
      <c r="E24" s="812"/>
      <c r="F24" s="812"/>
    </row>
    <row r="25" spans="1:8" ht="57" customHeight="1">
      <c r="A25" s="2147"/>
      <c r="B25" s="2176"/>
      <c r="C25" s="2176"/>
      <c r="D25" s="2176"/>
      <c r="E25" s="2176"/>
      <c r="F25" s="2176"/>
    </row>
    <row r="26" spans="1:8" ht="15">
      <c r="A26" s="2171"/>
      <c r="B26" s="2171"/>
      <c r="C26" s="2171"/>
      <c r="D26" s="2171"/>
      <c r="E26" s="2171"/>
      <c r="F26" s="2171"/>
    </row>
    <row r="27" spans="1:8" ht="15" customHeight="1">
      <c r="A27" s="813"/>
      <c r="B27" s="814"/>
      <c r="C27" s="814"/>
      <c r="D27" s="814"/>
      <c r="E27" s="814"/>
      <c r="F27" s="814"/>
      <c r="G27" s="815"/>
    </row>
    <row r="28" spans="1:8">
      <c r="A28" s="814"/>
      <c r="B28" s="814"/>
      <c r="C28" s="814"/>
      <c r="D28" s="814"/>
      <c r="E28" s="814"/>
      <c r="F28" s="814"/>
    </row>
  </sheetData>
  <mergeCells count="16">
    <mergeCell ref="A23:F23"/>
    <mergeCell ref="A25:F25"/>
    <mergeCell ref="A26:F26"/>
    <mergeCell ref="A7:G7"/>
    <mergeCell ref="A8:G8"/>
    <mergeCell ref="A9:G9"/>
    <mergeCell ref="A11:A12"/>
    <mergeCell ref="B11:B12"/>
    <mergeCell ref="C11:F11"/>
    <mergeCell ref="G11:G12"/>
    <mergeCell ref="A6:G6"/>
    <mergeCell ref="A1:G1"/>
    <mergeCell ref="A2:G2"/>
    <mergeCell ref="A3:G3"/>
    <mergeCell ref="A4:G4"/>
    <mergeCell ref="A5:G5"/>
  </mergeCells>
  <printOptions horizontalCentered="1"/>
  <pageMargins left="0.5" right="0.4" top="0.5" bottom="0.25" header="0" footer="0"/>
  <pageSetup firstPageNumber="8" fitToHeight="0" orientation="landscape" useFirstPageNumber="1" r:id="rId1"/>
  <headerFooter alignWithMargins="0">
    <oddFooter>&amp;C&amp;"Times New Roman,Regular"Exhibit C - Program Increases/Offsets By Decision Unit&amp;R&amp;"Times New Roman,Regular"Weed and Seed Program Fund</oddFooter>
  </headerFooter>
</worksheet>
</file>

<file path=xl/worksheets/sheet33.xml><?xml version="1.0" encoding="utf-8"?>
<worksheet xmlns="http://schemas.openxmlformats.org/spreadsheetml/2006/main" xmlns:r="http://schemas.openxmlformats.org/officeDocument/2006/relationships">
  <dimension ref="A1:T60"/>
  <sheetViews>
    <sheetView view="pageBreakPreview" zoomScale="75" zoomScaleNormal="75" zoomScaleSheetLayoutView="75" workbookViewId="0">
      <selection sqref="A1:P1"/>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10.6640625" style="818" bestFit="1" customWidth="1"/>
    <col min="11" max="13" width="6.77734375" style="818" customWidth="1"/>
    <col min="14" max="14" width="10.6640625" style="818" bestFit="1" customWidth="1"/>
    <col min="15" max="15" width="6.33203125" style="818" customWidth="1"/>
    <col min="16" max="16" width="7.21875" style="818"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180" t="str">
        <f>'B. Summ of Reqs - W&amp;S'!A5:X5</f>
        <v>Office of Justice Programs</v>
      </c>
      <c r="B4" s="2034"/>
      <c r="C4" s="2034"/>
      <c r="D4" s="2034"/>
      <c r="E4" s="2034"/>
      <c r="F4" s="2034"/>
      <c r="G4" s="2034"/>
      <c r="H4" s="2034"/>
      <c r="I4" s="2034"/>
      <c r="J4" s="2034"/>
      <c r="K4" s="2034"/>
      <c r="L4" s="2034"/>
      <c r="M4" s="2034"/>
      <c r="N4" s="2034"/>
      <c r="O4" s="2034"/>
      <c r="P4" s="2034"/>
      <c r="Q4" s="816" t="s">
        <v>0</v>
      </c>
      <c r="R4" s="638"/>
      <c r="S4" s="638"/>
    </row>
    <row r="5" spans="1:20" ht="15.75">
      <c r="A5" s="2180" t="str">
        <f>'B. Summ of Reqs - W&amp;S'!A6:X6</f>
        <v>Weed and Seed Program Fund</v>
      </c>
      <c r="B5" s="2034"/>
      <c r="C5" s="2034"/>
      <c r="D5" s="2034"/>
      <c r="E5" s="2034"/>
      <c r="F5" s="2034"/>
      <c r="G5" s="2034"/>
      <c r="H5" s="2034"/>
      <c r="I5" s="2034"/>
      <c r="J5" s="2034"/>
      <c r="K5" s="2034"/>
      <c r="L5" s="2034"/>
      <c r="M5" s="2034"/>
      <c r="N5" s="2034"/>
      <c r="O5" s="2034"/>
      <c r="P5" s="2034"/>
      <c r="Q5" s="816" t="s">
        <v>0</v>
      </c>
      <c r="R5" s="638"/>
      <c r="S5" s="638"/>
    </row>
    <row r="6" spans="1:20" ht="15">
      <c r="A6" s="2181" t="s">
        <v>257</v>
      </c>
      <c r="B6" s="2181"/>
      <c r="C6" s="2181"/>
      <c r="D6" s="2181"/>
      <c r="E6" s="2181"/>
      <c r="F6" s="2181"/>
      <c r="G6" s="2181"/>
      <c r="H6" s="2181"/>
      <c r="I6" s="2181"/>
      <c r="J6" s="2181"/>
      <c r="K6" s="2181"/>
      <c r="L6" s="2181"/>
      <c r="M6" s="2181"/>
      <c r="N6" s="2181"/>
      <c r="O6" s="2181"/>
      <c r="P6" s="2181"/>
      <c r="Q6" s="816" t="s">
        <v>0</v>
      </c>
      <c r="R6" s="820"/>
      <c r="S6" s="820"/>
      <c r="T6" s="816"/>
    </row>
    <row r="7" spans="1:20" ht="13.5" thickBot="1">
      <c r="Q7" s="816" t="s">
        <v>0</v>
      </c>
      <c r="T7" s="816"/>
    </row>
    <row r="8" spans="1:20" ht="31.5" customHeight="1">
      <c r="A8" s="821"/>
      <c r="B8" s="822"/>
      <c r="C8" s="2197" t="s">
        <v>318</v>
      </c>
      <c r="D8" s="2198"/>
      <c r="E8" s="823"/>
      <c r="F8" s="2197" t="s">
        <v>355</v>
      </c>
      <c r="G8" s="2198"/>
      <c r="H8" s="823"/>
      <c r="I8" s="2203" t="s">
        <v>244</v>
      </c>
      <c r="J8" s="2198"/>
      <c r="K8" s="2204">
        <v>2012</v>
      </c>
      <c r="L8" s="2205"/>
      <c r="M8" s="2205"/>
      <c r="N8" s="2206"/>
      <c r="O8" s="2203" t="s">
        <v>42</v>
      </c>
      <c r="P8" s="2198"/>
      <c r="Q8" s="816" t="s">
        <v>0</v>
      </c>
      <c r="S8" s="824"/>
      <c r="T8" s="816"/>
    </row>
    <row r="9" spans="1:20" ht="14.25" customHeight="1">
      <c r="A9" s="822"/>
      <c r="B9" s="822"/>
      <c r="C9" s="2199"/>
      <c r="D9" s="2200"/>
      <c r="E9" s="823"/>
      <c r="F9" s="2201"/>
      <c r="G9" s="2202"/>
      <c r="H9" s="823"/>
      <c r="I9" s="2201"/>
      <c r="J9" s="2202"/>
      <c r="K9" s="2187" t="s">
        <v>280</v>
      </c>
      <c r="L9" s="2188"/>
      <c r="M9" s="2189" t="s">
        <v>289</v>
      </c>
      <c r="N9" s="2170"/>
      <c r="O9" s="2201"/>
      <c r="P9" s="2202"/>
      <c r="Q9" s="816" t="s">
        <v>0</v>
      </c>
      <c r="S9" s="824"/>
      <c r="T9" s="816"/>
    </row>
    <row r="10" spans="1:20" hidden="1">
      <c r="A10" s="2190" t="s">
        <v>290</v>
      </c>
      <c r="B10" s="822"/>
      <c r="C10" s="825"/>
      <c r="D10" s="826"/>
      <c r="E10" s="827"/>
      <c r="F10" s="825"/>
      <c r="G10" s="826"/>
      <c r="H10" s="827"/>
      <c r="I10" s="825"/>
      <c r="J10" s="826"/>
      <c r="K10" s="825"/>
      <c r="L10" s="826"/>
      <c r="M10" s="828"/>
      <c r="N10" s="826"/>
      <c r="O10" s="825"/>
      <c r="P10" s="826"/>
      <c r="Q10" s="816" t="s">
        <v>0</v>
      </c>
      <c r="S10" s="828"/>
      <c r="T10" s="816"/>
    </row>
    <row r="11" spans="1:20" ht="48" customHeight="1">
      <c r="A11" s="2191"/>
      <c r="B11" s="822"/>
      <c r="C11" s="829" t="s">
        <v>291</v>
      </c>
      <c r="D11" s="830" t="s">
        <v>292</v>
      </c>
      <c r="E11" s="827"/>
      <c r="F11" s="829" t="s">
        <v>291</v>
      </c>
      <c r="G11" s="830" t="s">
        <v>292</v>
      </c>
      <c r="H11" s="827"/>
      <c r="I11" s="829" t="s">
        <v>291</v>
      </c>
      <c r="J11" s="830" t="s">
        <v>292</v>
      </c>
      <c r="K11" s="829" t="s">
        <v>291</v>
      </c>
      <c r="L11" s="830" t="s">
        <v>292</v>
      </c>
      <c r="M11" s="829" t="s">
        <v>291</v>
      </c>
      <c r="N11" s="830" t="s">
        <v>292</v>
      </c>
      <c r="O11" s="829" t="s">
        <v>291</v>
      </c>
      <c r="P11" s="830" t="s">
        <v>292</v>
      </c>
      <c r="Q11" s="816" t="s">
        <v>0</v>
      </c>
      <c r="S11" s="831"/>
      <c r="T11" s="816"/>
    </row>
    <row r="12" spans="1:20">
      <c r="A12" s="832"/>
      <c r="B12" s="822"/>
      <c r="C12" s="833"/>
      <c r="D12" s="834"/>
      <c r="E12" s="835"/>
      <c r="F12" s="833"/>
      <c r="G12" s="834"/>
      <c r="H12" s="835"/>
      <c r="I12" s="833"/>
      <c r="J12" s="834"/>
      <c r="K12" s="833"/>
      <c r="L12" s="836"/>
      <c r="M12" s="837"/>
      <c r="N12" s="834"/>
      <c r="O12" s="833"/>
      <c r="P12" s="834"/>
      <c r="Q12" s="816" t="s">
        <v>0</v>
      </c>
      <c r="S12" s="838"/>
      <c r="T12" s="816"/>
    </row>
    <row r="13" spans="1:20">
      <c r="A13" s="839" t="s">
        <v>293</v>
      </c>
      <c r="B13" s="822"/>
      <c r="C13" s="833"/>
      <c r="D13" s="840"/>
      <c r="E13" s="835"/>
      <c r="F13" s="833"/>
      <c r="G13" s="840"/>
      <c r="H13" s="835"/>
      <c r="I13" s="833"/>
      <c r="J13" s="840"/>
      <c r="K13" s="833"/>
      <c r="L13" s="836"/>
      <c r="M13" s="833"/>
      <c r="N13" s="840"/>
      <c r="O13" s="833"/>
      <c r="P13" s="840"/>
      <c r="Q13" s="816" t="s">
        <v>0</v>
      </c>
      <c r="S13" s="841"/>
      <c r="T13" s="816"/>
    </row>
    <row r="14" spans="1:20">
      <c r="A14" s="842" t="s">
        <v>294</v>
      </c>
      <c r="B14" s="822"/>
      <c r="C14" s="833"/>
      <c r="D14" s="840"/>
      <c r="E14" s="835"/>
      <c r="F14" s="833"/>
      <c r="G14" s="840"/>
      <c r="H14" s="835"/>
      <c r="I14" s="833"/>
      <c r="J14" s="840"/>
      <c r="K14" s="833"/>
      <c r="L14" s="836"/>
      <c r="M14" s="833"/>
      <c r="N14" s="840"/>
      <c r="O14" s="833"/>
      <c r="P14" s="834"/>
      <c r="Q14" s="816" t="s">
        <v>0</v>
      </c>
      <c r="S14" s="841"/>
      <c r="T14" s="816"/>
    </row>
    <row r="15" spans="1:20" ht="25.5">
      <c r="A15" s="843" t="s">
        <v>295</v>
      </c>
      <c r="B15" s="822"/>
      <c r="C15" s="833"/>
      <c r="D15" s="840"/>
      <c r="E15" s="835"/>
      <c r="F15" s="833"/>
      <c r="G15" s="840"/>
      <c r="H15" s="835"/>
      <c r="I15" s="833"/>
      <c r="J15" s="840"/>
      <c r="K15" s="833"/>
      <c r="L15" s="836"/>
      <c r="M15" s="833"/>
      <c r="N15" s="840"/>
      <c r="O15" s="833"/>
      <c r="P15" s="834"/>
      <c r="Q15" s="816" t="s">
        <v>0</v>
      </c>
      <c r="S15" s="841"/>
      <c r="T15" s="816"/>
    </row>
    <row r="16" spans="1:20" ht="25.5">
      <c r="A16" s="843" t="s">
        <v>296</v>
      </c>
      <c r="B16" s="822"/>
      <c r="C16" s="833"/>
      <c r="D16" s="840"/>
      <c r="E16" s="835"/>
      <c r="F16" s="833"/>
      <c r="G16" s="840"/>
      <c r="H16" s="835"/>
      <c r="I16" s="833"/>
      <c r="J16" s="840"/>
      <c r="K16" s="833"/>
      <c r="L16" s="836"/>
      <c r="M16" s="833"/>
      <c r="N16" s="840"/>
      <c r="O16" s="833"/>
      <c r="P16" s="834"/>
      <c r="Q16" s="816" t="s">
        <v>0</v>
      </c>
      <c r="S16" s="841"/>
      <c r="T16" s="816"/>
    </row>
    <row r="17" spans="1:20" ht="13.5" customHeight="1">
      <c r="A17" s="842" t="s">
        <v>297</v>
      </c>
      <c r="B17" s="844"/>
      <c r="C17" s="845"/>
      <c r="D17" s="846"/>
      <c r="E17" s="847"/>
      <c r="F17" s="845"/>
      <c r="G17" s="846"/>
      <c r="H17" s="848"/>
      <c r="I17" s="845"/>
      <c r="J17" s="846"/>
      <c r="K17" s="845"/>
      <c r="L17" s="849"/>
      <c r="M17" s="845"/>
      <c r="N17" s="846"/>
      <c r="O17" s="845"/>
      <c r="P17" s="846"/>
      <c r="Q17" s="816" t="s">
        <v>0</v>
      </c>
      <c r="S17" s="850"/>
      <c r="T17" s="816"/>
    </row>
    <row r="18" spans="1:20" s="857" customFormat="1">
      <c r="A18" s="851" t="s">
        <v>298</v>
      </c>
      <c r="B18" s="839"/>
      <c r="C18" s="852">
        <f>SUM(C14:C17)</f>
        <v>0</v>
      </c>
      <c r="D18" s="853">
        <f>SUM(D14:D17)</f>
        <v>0</v>
      </c>
      <c r="E18" s="854"/>
      <c r="F18" s="852">
        <f>SUM(F14:F17)</f>
        <v>0</v>
      </c>
      <c r="G18" s="853">
        <f>SUM(G14:G17)</f>
        <v>0</v>
      </c>
      <c r="H18" s="855"/>
      <c r="I18" s="852">
        <f t="shared" ref="I18:P18" si="0">SUM(I14:I17)</f>
        <v>0</v>
      </c>
      <c r="J18" s="853">
        <f t="shared" si="0"/>
        <v>0</v>
      </c>
      <c r="K18" s="852">
        <f t="shared" si="0"/>
        <v>0</v>
      </c>
      <c r="L18" s="853">
        <f t="shared" si="0"/>
        <v>0</v>
      </c>
      <c r="M18" s="852">
        <f t="shared" si="0"/>
        <v>0</v>
      </c>
      <c r="N18" s="853">
        <f t="shared" si="0"/>
        <v>0</v>
      </c>
      <c r="O18" s="852">
        <f t="shared" si="0"/>
        <v>0</v>
      </c>
      <c r="P18" s="853">
        <f t="shared" si="0"/>
        <v>0</v>
      </c>
      <c r="Q18" s="816" t="s">
        <v>0</v>
      </c>
      <c r="R18" s="818"/>
      <c r="S18" s="856"/>
      <c r="T18" s="816"/>
    </row>
    <row r="19" spans="1:20">
      <c r="A19" s="844"/>
      <c r="B19" s="822"/>
      <c r="C19" s="833"/>
      <c r="D19" s="834"/>
      <c r="E19" s="858"/>
      <c r="F19" s="833"/>
      <c r="G19" s="834"/>
      <c r="H19" s="858"/>
      <c r="I19" s="833"/>
      <c r="J19" s="834"/>
      <c r="K19" s="833"/>
      <c r="L19" s="836"/>
      <c r="M19" s="833"/>
      <c r="N19" s="834"/>
      <c r="O19" s="833"/>
      <c r="P19" s="834"/>
      <c r="Q19" s="816" t="s">
        <v>0</v>
      </c>
      <c r="S19" s="838"/>
      <c r="T19" s="816"/>
    </row>
    <row r="20" spans="1:20" ht="25.5">
      <c r="A20" s="859" t="s">
        <v>299</v>
      </c>
      <c r="B20" s="822"/>
      <c r="C20" s="833"/>
      <c r="D20" s="834"/>
      <c r="E20" s="860"/>
      <c r="F20" s="833"/>
      <c r="G20" s="834"/>
      <c r="H20" s="860"/>
      <c r="I20" s="833"/>
      <c r="J20" s="834"/>
      <c r="K20" s="833"/>
      <c r="L20" s="836"/>
      <c r="M20" s="833"/>
      <c r="N20" s="834"/>
      <c r="O20" s="861"/>
      <c r="P20" s="862"/>
      <c r="Q20" s="816" t="s">
        <v>0</v>
      </c>
      <c r="S20" s="838"/>
      <c r="T20" s="816"/>
    </row>
    <row r="21" spans="1:20" ht="25.5">
      <c r="A21" s="843" t="s">
        <v>300</v>
      </c>
      <c r="B21" s="822"/>
      <c r="C21" s="833"/>
      <c r="D21" s="834">
        <v>20000</v>
      </c>
      <c r="E21" s="860"/>
      <c r="F21" s="833"/>
      <c r="G21" s="834">
        <v>20000</v>
      </c>
      <c r="H21" s="860"/>
      <c r="I21" s="833"/>
      <c r="J21" s="834">
        <v>20000</v>
      </c>
      <c r="K21" s="833"/>
      <c r="L21" s="836"/>
      <c r="M21" s="833"/>
      <c r="N21" s="834">
        <v>-20000</v>
      </c>
      <c r="O21" s="833"/>
      <c r="P21" s="834">
        <f t="shared" ref="P21" si="1">+J21+L21+N21</f>
        <v>0</v>
      </c>
      <c r="Q21" s="816" t="s">
        <v>0</v>
      </c>
      <c r="S21" s="838"/>
      <c r="T21" s="816"/>
    </row>
    <row r="22" spans="1:20">
      <c r="A22" s="842" t="s">
        <v>301</v>
      </c>
      <c r="B22" s="822"/>
      <c r="C22" s="833"/>
      <c r="D22" s="834"/>
      <c r="E22" s="860"/>
      <c r="F22" s="833"/>
      <c r="G22" s="834"/>
      <c r="H22" s="860"/>
      <c r="I22" s="833"/>
      <c r="J22" s="834"/>
      <c r="K22" s="833"/>
      <c r="L22" s="836"/>
      <c r="M22" s="833"/>
      <c r="N22" s="834"/>
      <c r="O22" s="833"/>
      <c r="P22" s="834"/>
      <c r="Q22" s="816" t="s">
        <v>0</v>
      </c>
      <c r="S22" s="838"/>
      <c r="T22" s="816"/>
    </row>
    <row r="23" spans="1:20">
      <c r="A23" s="842" t="s">
        <v>302</v>
      </c>
      <c r="B23" s="822"/>
      <c r="C23" s="833"/>
      <c r="D23" s="834"/>
      <c r="E23" s="860"/>
      <c r="F23" s="833"/>
      <c r="G23" s="834"/>
      <c r="H23" s="860"/>
      <c r="I23" s="833"/>
      <c r="J23" s="834"/>
      <c r="K23" s="833"/>
      <c r="L23" s="836"/>
      <c r="M23" s="833"/>
      <c r="N23" s="834"/>
      <c r="O23" s="833"/>
      <c r="P23" s="834"/>
      <c r="Q23" s="816" t="s">
        <v>0</v>
      </c>
      <c r="S23" s="838"/>
      <c r="T23" s="816"/>
    </row>
    <row r="24" spans="1:20">
      <c r="A24" s="842" t="s">
        <v>303</v>
      </c>
      <c r="B24" s="822"/>
      <c r="C24" s="833"/>
      <c r="D24" s="834"/>
      <c r="E24" s="860"/>
      <c r="F24" s="833"/>
      <c r="G24" s="834"/>
      <c r="H24" s="860"/>
      <c r="I24" s="833"/>
      <c r="J24" s="834"/>
      <c r="K24" s="833"/>
      <c r="L24" s="836"/>
      <c r="M24" s="833"/>
      <c r="N24" s="834"/>
      <c r="O24" s="833"/>
      <c r="P24" s="834"/>
      <c r="Q24" s="816" t="s">
        <v>0</v>
      </c>
      <c r="S24" s="838"/>
      <c r="T24" s="816"/>
    </row>
    <row r="25" spans="1:20" ht="25.5">
      <c r="A25" s="843" t="s">
        <v>304</v>
      </c>
      <c r="B25" s="822"/>
      <c r="C25" s="833"/>
      <c r="D25" s="834"/>
      <c r="E25" s="860"/>
      <c r="F25" s="833"/>
      <c r="G25" s="834"/>
      <c r="H25" s="860"/>
      <c r="I25" s="833"/>
      <c r="J25" s="834"/>
      <c r="K25" s="833"/>
      <c r="L25" s="836"/>
      <c r="M25" s="833"/>
      <c r="N25" s="834"/>
      <c r="O25" s="833"/>
      <c r="P25" s="834"/>
      <c r="Q25" s="816" t="s">
        <v>0</v>
      </c>
      <c r="S25" s="838"/>
      <c r="T25" s="816"/>
    </row>
    <row r="26" spans="1:20">
      <c r="A26" s="842" t="s">
        <v>305</v>
      </c>
      <c r="B26" s="822"/>
      <c r="C26" s="833"/>
      <c r="D26" s="834"/>
      <c r="E26" s="860"/>
      <c r="F26" s="833"/>
      <c r="G26" s="834"/>
      <c r="H26" s="860"/>
      <c r="I26" s="833"/>
      <c r="J26" s="834"/>
      <c r="K26" s="833"/>
      <c r="L26" s="836"/>
      <c r="M26" s="833"/>
      <c r="N26" s="834"/>
      <c r="O26" s="833"/>
      <c r="P26" s="834"/>
      <c r="Q26" s="816" t="s">
        <v>0</v>
      </c>
      <c r="S26" s="838"/>
      <c r="T26" s="816"/>
    </row>
    <row r="27" spans="1:20" ht="25.5">
      <c r="A27" s="843" t="s">
        <v>306</v>
      </c>
      <c r="B27" s="822"/>
      <c r="C27" s="833"/>
      <c r="D27" s="834"/>
      <c r="E27" s="860"/>
      <c r="F27" s="833"/>
      <c r="G27" s="834"/>
      <c r="H27" s="860"/>
      <c r="I27" s="833"/>
      <c r="J27" s="834"/>
      <c r="K27" s="833"/>
      <c r="L27" s="836"/>
      <c r="M27" s="833"/>
      <c r="N27" s="834"/>
      <c r="O27" s="833"/>
      <c r="P27" s="834"/>
      <c r="Q27" s="816" t="s">
        <v>0</v>
      </c>
      <c r="R27" s="838"/>
      <c r="S27" s="838"/>
      <c r="T27" s="816"/>
    </row>
    <row r="28" spans="1:20" ht="27.75" customHeight="1">
      <c r="A28" s="843" t="s">
        <v>307</v>
      </c>
      <c r="B28" s="844"/>
      <c r="C28" s="845"/>
      <c r="D28" s="846"/>
      <c r="E28" s="863"/>
      <c r="F28" s="845"/>
      <c r="G28" s="846"/>
      <c r="H28" s="864"/>
      <c r="I28" s="845"/>
      <c r="J28" s="846"/>
      <c r="K28" s="845"/>
      <c r="L28" s="849"/>
      <c r="M28" s="845"/>
      <c r="N28" s="846"/>
      <c r="O28" s="833"/>
      <c r="P28" s="865"/>
      <c r="Q28" s="816" t="s">
        <v>0</v>
      </c>
      <c r="R28" s="850"/>
      <c r="S28" s="850"/>
      <c r="T28" s="816"/>
    </row>
    <row r="29" spans="1:20">
      <c r="A29" s="851" t="s">
        <v>308</v>
      </c>
      <c r="B29" s="839"/>
      <c r="C29" s="852">
        <f>SUM(C21:C28)</f>
        <v>0</v>
      </c>
      <c r="D29" s="853">
        <f>SUM(D21:D28)</f>
        <v>20000</v>
      </c>
      <c r="E29" s="866"/>
      <c r="F29" s="852">
        <f>SUM(F21:F28)</f>
        <v>0</v>
      </c>
      <c r="G29" s="853">
        <f>SUM(G21:G28)</f>
        <v>20000</v>
      </c>
      <c r="H29" s="867"/>
      <c r="I29" s="852">
        <f t="shared" ref="I29:P29" si="2">SUM(I21:I28)</f>
        <v>0</v>
      </c>
      <c r="J29" s="853">
        <f t="shared" si="2"/>
        <v>20000</v>
      </c>
      <c r="K29" s="868">
        <f t="shared" si="2"/>
        <v>0</v>
      </c>
      <c r="L29" s="869">
        <f t="shared" si="2"/>
        <v>0</v>
      </c>
      <c r="M29" s="852">
        <f t="shared" si="2"/>
        <v>0</v>
      </c>
      <c r="N29" s="853">
        <f t="shared" si="2"/>
        <v>-20000</v>
      </c>
      <c r="O29" s="868">
        <f t="shared" si="2"/>
        <v>0</v>
      </c>
      <c r="P29" s="853">
        <f t="shared" si="2"/>
        <v>0</v>
      </c>
      <c r="Q29" s="816" t="s">
        <v>0</v>
      </c>
      <c r="R29" s="856"/>
      <c r="S29" s="856"/>
      <c r="T29" s="816"/>
    </row>
    <row r="30" spans="1:20">
      <c r="A30" s="844"/>
      <c r="B30" s="822"/>
      <c r="C30" s="833"/>
      <c r="D30" s="834"/>
      <c r="E30" s="822"/>
      <c r="F30" s="833"/>
      <c r="G30" s="834"/>
      <c r="H30" s="822"/>
      <c r="I30" s="833"/>
      <c r="J30" s="834"/>
      <c r="K30" s="833"/>
      <c r="L30" s="836"/>
      <c r="M30" s="833"/>
      <c r="N30" s="834"/>
      <c r="O30" s="833"/>
      <c r="P30" s="834"/>
      <c r="Q30" s="816" t="s">
        <v>0</v>
      </c>
      <c r="R30" s="838"/>
      <c r="S30" s="838"/>
      <c r="T30" s="816"/>
    </row>
    <row r="31" spans="1:20" ht="25.5">
      <c r="A31" s="859" t="s">
        <v>309</v>
      </c>
      <c r="B31" s="822"/>
      <c r="C31" s="833"/>
      <c r="D31" s="834"/>
      <c r="E31" s="835"/>
      <c r="F31" s="833"/>
      <c r="G31" s="834"/>
      <c r="H31" s="835"/>
      <c r="I31" s="833"/>
      <c r="J31" s="834"/>
      <c r="K31" s="833"/>
      <c r="L31" s="836"/>
      <c r="M31" s="833"/>
      <c r="N31" s="834"/>
      <c r="O31" s="833"/>
      <c r="P31" s="834"/>
      <c r="Q31" s="816" t="s">
        <v>0</v>
      </c>
      <c r="R31" s="838"/>
      <c r="S31" s="838"/>
      <c r="T31" s="816"/>
    </row>
    <row r="32" spans="1:20" ht="38.25">
      <c r="A32" s="843" t="s">
        <v>310</v>
      </c>
      <c r="B32" s="822"/>
      <c r="C32" s="833"/>
      <c r="D32" s="834"/>
      <c r="E32" s="835"/>
      <c r="F32" s="833"/>
      <c r="G32" s="834"/>
      <c r="H32" s="835"/>
      <c r="I32" s="833"/>
      <c r="J32" s="834"/>
      <c r="K32" s="833"/>
      <c r="L32" s="836"/>
      <c r="M32" s="833"/>
      <c r="N32" s="834"/>
      <c r="O32" s="833"/>
      <c r="P32" s="834"/>
      <c r="Q32" s="816" t="s">
        <v>0</v>
      </c>
      <c r="R32" s="838"/>
      <c r="S32" s="838"/>
      <c r="T32" s="816"/>
    </row>
    <row r="33" spans="1:20">
      <c r="A33" s="842" t="s">
        <v>311</v>
      </c>
      <c r="B33" s="822"/>
      <c r="C33" s="833"/>
      <c r="D33" s="834"/>
      <c r="E33" s="835"/>
      <c r="F33" s="833"/>
      <c r="G33" s="834"/>
      <c r="H33" s="835"/>
      <c r="I33" s="833"/>
      <c r="J33" s="834"/>
      <c r="K33" s="833"/>
      <c r="L33" s="836"/>
      <c r="M33" s="833"/>
      <c r="N33" s="834"/>
      <c r="O33" s="833"/>
      <c r="P33" s="834"/>
      <c r="Q33" s="816" t="s">
        <v>0</v>
      </c>
      <c r="R33" s="838"/>
      <c r="S33" s="838"/>
      <c r="T33" s="816"/>
    </row>
    <row r="34" spans="1:20" ht="42" customHeight="1">
      <c r="A34" s="843" t="s">
        <v>312</v>
      </c>
      <c r="B34" s="822"/>
      <c r="C34" s="833"/>
      <c r="D34" s="834"/>
      <c r="E34" s="835"/>
      <c r="F34" s="833"/>
      <c r="G34" s="834"/>
      <c r="H34" s="835"/>
      <c r="I34" s="833"/>
      <c r="J34" s="834"/>
      <c r="K34" s="833"/>
      <c r="L34" s="836"/>
      <c r="M34" s="833"/>
      <c r="N34" s="834"/>
      <c r="O34" s="833"/>
      <c r="P34" s="834"/>
      <c r="Q34" s="816" t="s">
        <v>0</v>
      </c>
      <c r="R34" s="838"/>
      <c r="S34" s="838"/>
      <c r="T34" s="816"/>
    </row>
    <row r="35" spans="1:20" ht="38.25">
      <c r="A35" s="843" t="s">
        <v>313</v>
      </c>
      <c r="B35" s="822"/>
      <c r="C35" s="833"/>
      <c r="D35" s="834"/>
      <c r="E35" s="835"/>
      <c r="F35" s="833"/>
      <c r="G35" s="834"/>
      <c r="H35" s="835"/>
      <c r="I35" s="833"/>
      <c r="J35" s="834"/>
      <c r="K35" s="833"/>
      <c r="L35" s="836"/>
      <c r="M35" s="833"/>
      <c r="N35" s="834"/>
      <c r="O35" s="833"/>
      <c r="P35" s="834"/>
      <c r="Q35" s="816" t="s">
        <v>0</v>
      </c>
      <c r="R35" s="838"/>
      <c r="S35" s="838"/>
      <c r="T35" s="816"/>
    </row>
    <row r="36" spans="1:20" ht="25.5">
      <c r="A36" s="843" t="s">
        <v>314</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456</v>
      </c>
      <c r="B37" s="822"/>
      <c r="C37" s="833"/>
      <c r="D37" s="834"/>
      <c r="E37" s="835"/>
      <c r="F37" s="833"/>
      <c r="G37" s="834"/>
      <c r="H37" s="835"/>
      <c r="I37" s="833"/>
      <c r="J37" s="834"/>
      <c r="K37" s="833"/>
      <c r="L37" s="836"/>
      <c r="M37" s="833"/>
      <c r="N37" s="834"/>
      <c r="O37" s="833"/>
      <c r="P37" s="834"/>
      <c r="Q37" s="816" t="s">
        <v>0</v>
      </c>
      <c r="R37" s="838"/>
      <c r="S37" s="838"/>
      <c r="T37" s="816"/>
    </row>
    <row r="38" spans="1:20">
      <c r="A38" s="842" t="s">
        <v>315</v>
      </c>
      <c r="B38" s="822"/>
      <c r="C38" s="833"/>
      <c r="D38" s="834"/>
      <c r="E38" s="835"/>
      <c r="F38" s="833"/>
      <c r="G38" s="834"/>
      <c r="H38" s="835"/>
      <c r="I38" s="833"/>
      <c r="J38" s="834"/>
      <c r="K38" s="833"/>
      <c r="L38" s="836"/>
      <c r="M38" s="833"/>
      <c r="N38" s="834"/>
      <c r="O38" s="833"/>
      <c r="P38" s="834"/>
      <c r="Q38" s="816" t="s">
        <v>0</v>
      </c>
      <c r="R38" s="838"/>
      <c r="S38" s="838"/>
      <c r="T38" s="816"/>
    </row>
    <row r="39" spans="1:20">
      <c r="A39" s="851" t="s">
        <v>316</v>
      </c>
      <c r="B39" s="839"/>
      <c r="C39" s="852">
        <f>SUM(C32:C38)</f>
        <v>0</v>
      </c>
      <c r="D39" s="853">
        <f>SUM(D32:D38)</f>
        <v>0</v>
      </c>
      <c r="E39" s="854"/>
      <c r="F39" s="852">
        <f>SUM(F32:F38)</f>
        <v>0</v>
      </c>
      <c r="G39" s="853">
        <f>SUM(G32:G38)</f>
        <v>0</v>
      </c>
      <c r="H39" s="855"/>
      <c r="I39" s="852">
        <f t="shared" ref="I39:P39" si="3">SUM(I32:I38)</f>
        <v>0</v>
      </c>
      <c r="J39" s="853">
        <f t="shared" si="3"/>
        <v>0</v>
      </c>
      <c r="K39" s="852">
        <f t="shared" si="3"/>
        <v>0</v>
      </c>
      <c r="L39" s="869">
        <f t="shared" si="3"/>
        <v>0</v>
      </c>
      <c r="M39" s="852">
        <f t="shared" si="3"/>
        <v>0</v>
      </c>
      <c r="N39" s="853">
        <f t="shared" si="3"/>
        <v>0</v>
      </c>
      <c r="O39" s="852">
        <f t="shared" si="3"/>
        <v>0</v>
      </c>
      <c r="P39" s="853">
        <f t="shared" si="3"/>
        <v>0</v>
      </c>
      <c r="Q39" s="816" t="s">
        <v>0</v>
      </c>
      <c r="R39" s="856"/>
      <c r="S39" s="856"/>
      <c r="T39" s="816"/>
    </row>
    <row r="40" spans="1:20">
      <c r="A40" s="851" t="s">
        <v>457</v>
      </c>
      <c r="B40" s="839"/>
      <c r="C40" s="852">
        <f>SUM(C18+C29+C39)</f>
        <v>0</v>
      </c>
      <c r="D40" s="853">
        <f>SUM(D18+D29+D39)</f>
        <v>20000</v>
      </c>
      <c r="E40" s="854"/>
      <c r="F40" s="852">
        <f>SUM(F18+F29+F39)</f>
        <v>0</v>
      </c>
      <c r="G40" s="853">
        <f>SUM(G18+G29+G39)</f>
        <v>20000</v>
      </c>
      <c r="H40" s="855"/>
      <c r="I40" s="852">
        <f t="shared" ref="I40:P40" si="4">SUM(I18+I29+I39)</f>
        <v>0</v>
      </c>
      <c r="J40" s="853">
        <f t="shared" si="4"/>
        <v>20000</v>
      </c>
      <c r="K40" s="852">
        <f t="shared" si="4"/>
        <v>0</v>
      </c>
      <c r="L40" s="869">
        <f t="shared" si="4"/>
        <v>0</v>
      </c>
      <c r="M40" s="852">
        <f t="shared" si="4"/>
        <v>0</v>
      </c>
      <c r="N40" s="853">
        <f t="shared" si="4"/>
        <v>-20000</v>
      </c>
      <c r="O40" s="852">
        <f t="shared" si="4"/>
        <v>0</v>
      </c>
      <c r="P40" s="853">
        <f t="shared" si="4"/>
        <v>0</v>
      </c>
      <c r="Q40" s="816" t="s">
        <v>0</v>
      </c>
      <c r="R40" s="856"/>
      <c r="S40" s="856"/>
      <c r="T40" s="816"/>
    </row>
    <row r="41" spans="1:20">
      <c r="A41" s="851" t="s">
        <v>448</v>
      </c>
      <c r="B41" s="839"/>
      <c r="C41" s="852">
        <f>SUM(C32:C38)</f>
        <v>0</v>
      </c>
      <c r="D41" s="853">
        <v>-453</v>
      </c>
      <c r="E41" s="854"/>
      <c r="F41" s="852">
        <f>SUM(F32:F38)</f>
        <v>0</v>
      </c>
      <c r="G41" s="853">
        <f>SUM(G32:G38)</f>
        <v>0</v>
      </c>
      <c r="H41" s="855"/>
      <c r="I41" s="852">
        <f t="shared" ref="I41:P42" si="5">SUM(I32:I38)</f>
        <v>0</v>
      </c>
      <c r="J41" s="853">
        <f t="shared" si="5"/>
        <v>0</v>
      </c>
      <c r="K41" s="852">
        <f t="shared" si="5"/>
        <v>0</v>
      </c>
      <c r="L41" s="869">
        <f t="shared" si="5"/>
        <v>0</v>
      </c>
      <c r="M41" s="852">
        <f t="shared" si="5"/>
        <v>0</v>
      </c>
      <c r="N41" s="853">
        <f t="shared" si="5"/>
        <v>0</v>
      </c>
      <c r="O41" s="852">
        <f t="shared" si="5"/>
        <v>0</v>
      </c>
      <c r="P41" s="853">
        <f t="shared" si="5"/>
        <v>0</v>
      </c>
      <c r="Q41" s="816" t="s">
        <v>0</v>
      </c>
      <c r="R41" s="856"/>
      <c r="S41" s="856"/>
      <c r="T41" s="816"/>
    </row>
    <row r="42" spans="1:20">
      <c r="A42" s="851" t="s">
        <v>458</v>
      </c>
      <c r="B42" s="839"/>
      <c r="C42" s="852">
        <f>SUM(C33:C39)</f>
        <v>0</v>
      </c>
      <c r="D42" s="853">
        <v>-628</v>
      </c>
      <c r="E42" s="854"/>
      <c r="F42" s="852">
        <f>SUM(F33:F39)</f>
        <v>0</v>
      </c>
      <c r="G42" s="853">
        <f>SUM(G33:G39)</f>
        <v>0</v>
      </c>
      <c r="H42" s="855"/>
      <c r="I42" s="852">
        <f t="shared" si="5"/>
        <v>0</v>
      </c>
      <c r="J42" s="853">
        <f t="shared" si="5"/>
        <v>0</v>
      </c>
      <c r="K42" s="852">
        <f t="shared" si="5"/>
        <v>0</v>
      </c>
      <c r="L42" s="869">
        <f t="shared" si="5"/>
        <v>0</v>
      </c>
      <c r="M42" s="852">
        <f t="shared" si="5"/>
        <v>0</v>
      </c>
      <c r="N42" s="853">
        <f t="shared" si="5"/>
        <v>0</v>
      </c>
      <c r="O42" s="852">
        <f t="shared" si="5"/>
        <v>0</v>
      </c>
      <c r="P42" s="853">
        <f t="shared" si="5"/>
        <v>0</v>
      </c>
      <c r="Q42" s="816" t="s">
        <v>0</v>
      </c>
      <c r="R42" s="856"/>
      <c r="S42" s="856"/>
      <c r="T42" s="816"/>
    </row>
    <row r="43" spans="1:20" ht="13.5" thickBot="1">
      <c r="A43" s="822"/>
      <c r="B43" s="822"/>
      <c r="C43" s="822"/>
      <c r="D43" s="822"/>
      <c r="E43" s="822"/>
      <c r="F43" s="822"/>
      <c r="G43" s="822"/>
      <c r="H43" s="822"/>
      <c r="I43" s="822"/>
      <c r="J43" s="822"/>
      <c r="K43" s="874"/>
      <c r="L43" s="874"/>
      <c r="M43" s="1358"/>
      <c r="N43" s="822"/>
      <c r="O43" s="822"/>
      <c r="P43" s="822"/>
      <c r="Q43" s="816" t="s">
        <v>0</v>
      </c>
      <c r="R43" s="838"/>
      <c r="S43" s="838"/>
      <c r="T43" s="816"/>
    </row>
    <row r="44" spans="1:20" s="883" customFormat="1" ht="18.75" customHeight="1" thickBot="1">
      <c r="A44" s="876" t="s">
        <v>317</v>
      </c>
      <c r="B44" s="877"/>
      <c r="C44" s="878">
        <f>C40+C41+C42</f>
        <v>0</v>
      </c>
      <c r="D44" s="879">
        <f>D40+D41+D42</f>
        <v>18919</v>
      </c>
      <c r="E44" s="880"/>
      <c r="F44" s="878">
        <f>F40+F41+F42</f>
        <v>0</v>
      </c>
      <c r="G44" s="879">
        <f>G40+G41+G42</f>
        <v>20000</v>
      </c>
      <c r="H44" s="880"/>
      <c r="I44" s="878">
        <f t="shared" ref="I44:P44" si="6">I40+I41+I42</f>
        <v>0</v>
      </c>
      <c r="J44" s="879">
        <f t="shared" si="6"/>
        <v>20000</v>
      </c>
      <c r="K44" s="878">
        <f t="shared" si="6"/>
        <v>0</v>
      </c>
      <c r="L44" s="879">
        <f t="shared" si="6"/>
        <v>0</v>
      </c>
      <c r="M44" s="878">
        <f t="shared" si="6"/>
        <v>0</v>
      </c>
      <c r="N44" s="879">
        <f t="shared" si="6"/>
        <v>-20000</v>
      </c>
      <c r="O44" s="878">
        <f t="shared" si="6"/>
        <v>0</v>
      </c>
      <c r="P44" s="879">
        <f t="shared" si="6"/>
        <v>0</v>
      </c>
      <c r="Q44" s="816" t="s">
        <v>24</v>
      </c>
      <c r="R44" s="881"/>
      <c r="S44" s="882"/>
      <c r="T44" s="816"/>
    </row>
    <row r="45" spans="1:20">
      <c r="A45" s="884"/>
      <c r="B45" s="884"/>
      <c r="C45" s="881"/>
      <c r="D45" s="882"/>
      <c r="E45" s="884"/>
      <c r="F45" s="881"/>
      <c r="G45" s="882"/>
      <c r="H45" s="884"/>
      <c r="I45" s="881"/>
      <c r="J45" s="882"/>
      <c r="K45" s="883"/>
      <c r="L45" s="883"/>
      <c r="M45" s="883"/>
      <c r="N45" s="883"/>
      <c r="O45" s="883"/>
      <c r="P45" s="883"/>
      <c r="Q45" s="883"/>
      <c r="R45" s="885"/>
      <c r="S45" s="885"/>
      <c r="T45" s="816"/>
    </row>
    <row r="46" spans="1:20">
      <c r="A46" s="884"/>
      <c r="B46" s="884"/>
      <c r="C46" s="881"/>
      <c r="D46" s="882"/>
      <c r="E46" s="884"/>
      <c r="F46" s="881"/>
      <c r="G46" s="882"/>
      <c r="H46" s="884"/>
      <c r="I46" s="881"/>
      <c r="J46" s="882"/>
      <c r="K46" s="883"/>
      <c r="L46" s="883"/>
      <c r="M46" s="883"/>
      <c r="N46" s="883"/>
      <c r="O46" s="883"/>
      <c r="P46" s="883"/>
      <c r="Q46" s="883"/>
      <c r="R46" s="885"/>
      <c r="S46" s="885"/>
      <c r="T46" s="816"/>
    </row>
    <row r="47" spans="1:20">
      <c r="A47" s="886"/>
      <c r="B47" s="887"/>
      <c r="C47" s="888"/>
      <c r="D47" s="889"/>
      <c r="E47" s="887"/>
      <c r="F47" s="888"/>
      <c r="G47" s="889"/>
      <c r="H47" s="887"/>
      <c r="I47" s="888"/>
      <c r="J47" s="889"/>
      <c r="K47" s="888"/>
      <c r="L47" s="890"/>
      <c r="M47" s="888"/>
      <c r="N47" s="889"/>
      <c r="O47" s="888"/>
      <c r="P47" s="889"/>
      <c r="Q47" s="883"/>
      <c r="R47" s="891"/>
      <c r="S47" s="892"/>
      <c r="T47" s="816"/>
    </row>
    <row r="48" spans="1:20">
      <c r="A48" s="884"/>
      <c r="B48" s="884"/>
      <c r="C48" s="881"/>
      <c r="D48" s="882"/>
      <c r="E48" s="884"/>
      <c r="F48" s="881"/>
      <c r="G48" s="882"/>
      <c r="H48" s="884"/>
      <c r="I48" s="881"/>
      <c r="J48" s="882"/>
      <c r="K48" s="883"/>
      <c r="L48" s="883"/>
      <c r="M48" s="883"/>
      <c r="N48" s="883"/>
      <c r="O48" s="883"/>
      <c r="P48" s="883"/>
      <c r="Q48" s="883"/>
      <c r="R48" s="885"/>
      <c r="S48" s="885"/>
    </row>
    <row r="50" spans="1:19" ht="15.75">
      <c r="A50" s="2192"/>
      <c r="B50" s="2192"/>
      <c r="C50" s="2192"/>
      <c r="D50" s="2192"/>
      <c r="E50" s="2192"/>
      <c r="F50" s="2192"/>
      <c r="G50" s="2192"/>
      <c r="H50" s="2192"/>
      <c r="I50" s="893"/>
      <c r="J50" s="894"/>
      <c r="K50" s="895"/>
      <c r="L50" s="895"/>
      <c r="M50" s="895"/>
      <c r="N50" s="895"/>
      <c r="O50" s="895"/>
      <c r="P50" s="895"/>
      <c r="Q50" s="895"/>
      <c r="R50" s="895"/>
      <c r="S50" s="895"/>
    </row>
    <row r="51" spans="1:19" ht="15.75">
      <c r="A51" s="896"/>
      <c r="B51" s="897"/>
      <c r="C51" s="898"/>
      <c r="D51" s="898"/>
      <c r="E51" s="897"/>
      <c r="F51" s="898"/>
      <c r="G51" s="898"/>
      <c r="H51" s="897"/>
      <c r="I51" s="893"/>
      <c r="J51" s="894"/>
      <c r="K51" s="895"/>
      <c r="L51" s="895"/>
      <c r="M51" s="895"/>
      <c r="N51" s="895"/>
      <c r="O51" s="895"/>
      <c r="P51" s="895"/>
      <c r="Q51" s="895"/>
      <c r="R51" s="895"/>
      <c r="S51" s="895"/>
    </row>
    <row r="52" spans="1:19" ht="68.25" customHeight="1">
      <c r="A52" s="2193"/>
      <c r="B52" s="2194"/>
      <c r="C52" s="2194"/>
      <c r="D52" s="2194"/>
      <c r="E52" s="2194"/>
      <c r="F52" s="2194"/>
      <c r="G52" s="2194"/>
      <c r="H52" s="899"/>
      <c r="I52" s="756"/>
      <c r="J52" s="900"/>
      <c r="K52" s="900"/>
      <c r="L52" s="900"/>
      <c r="M52" s="900"/>
      <c r="N52" s="900"/>
      <c r="O52" s="900"/>
      <c r="P52" s="900"/>
      <c r="Q52" s="900"/>
      <c r="R52" s="900"/>
      <c r="S52" s="900"/>
    </row>
    <row r="53" spans="1:19" ht="15" customHeight="1">
      <c r="A53" s="899"/>
      <c r="B53" s="899"/>
      <c r="C53" s="899"/>
      <c r="D53" s="899"/>
      <c r="E53" s="899"/>
      <c r="F53" s="899"/>
      <c r="G53" s="899"/>
      <c r="H53" s="899"/>
      <c r="I53" s="756"/>
      <c r="J53" s="900"/>
      <c r="K53" s="900"/>
      <c r="L53" s="900"/>
      <c r="M53" s="900"/>
      <c r="N53" s="900"/>
      <c r="O53" s="900"/>
      <c r="P53" s="900"/>
      <c r="Q53" s="900"/>
      <c r="R53" s="900"/>
      <c r="S53" s="900"/>
    </row>
    <row r="54" spans="1:19" ht="15">
      <c r="A54" s="2195"/>
      <c r="B54" s="2196"/>
      <c r="C54" s="2196"/>
      <c r="D54" s="2196"/>
      <c r="E54" s="2196"/>
      <c r="F54" s="2196"/>
      <c r="G54" s="2196"/>
      <c r="H54" s="901"/>
      <c r="I54" s="902"/>
      <c r="J54" s="902"/>
      <c r="K54" s="902"/>
      <c r="L54" s="902"/>
      <c r="M54" s="902"/>
      <c r="N54" s="902"/>
      <c r="O54" s="902"/>
      <c r="P54" s="902"/>
      <c r="Q54" s="902"/>
      <c r="R54" s="902"/>
      <c r="S54" s="902"/>
    </row>
    <row r="55" spans="1:19">
      <c r="A55" s="903"/>
      <c r="B55" s="903"/>
      <c r="C55" s="903"/>
      <c r="D55" s="903"/>
      <c r="E55" s="903"/>
      <c r="F55" s="903"/>
      <c r="G55" s="903"/>
      <c r="H55" s="903"/>
      <c r="I55" s="895"/>
      <c r="J55" s="895"/>
      <c r="K55" s="895"/>
      <c r="L55" s="895"/>
      <c r="M55" s="895"/>
      <c r="N55" s="895"/>
      <c r="O55" s="895"/>
      <c r="P55" s="895"/>
      <c r="Q55" s="895"/>
      <c r="R55" s="895"/>
      <c r="S55" s="895"/>
    </row>
    <row r="56" spans="1:19" ht="57" customHeight="1">
      <c r="A56" s="2182"/>
      <c r="B56" s="2183"/>
      <c r="C56" s="2183"/>
      <c r="D56" s="2183"/>
      <c r="E56" s="2183"/>
      <c r="F56" s="2183"/>
      <c r="G56" s="2183"/>
      <c r="H56" s="899"/>
      <c r="I56" s="756"/>
      <c r="J56" s="900"/>
      <c r="K56" s="900"/>
      <c r="L56" s="900"/>
      <c r="M56" s="900"/>
      <c r="N56" s="900"/>
      <c r="O56" s="900"/>
      <c r="P56" s="900"/>
      <c r="Q56" s="900"/>
      <c r="R56" s="900"/>
      <c r="S56" s="900"/>
    </row>
    <row r="57" spans="1:19" ht="33.75" customHeight="1">
      <c r="A57" s="2182"/>
      <c r="B57" s="2183"/>
      <c r="C57" s="2183"/>
      <c r="D57" s="2183"/>
      <c r="E57" s="2183"/>
      <c r="F57" s="2183"/>
      <c r="G57" s="2183"/>
      <c r="H57" s="899"/>
      <c r="I57" s="756"/>
      <c r="J57" s="900"/>
      <c r="K57" s="900"/>
      <c r="L57" s="900"/>
      <c r="M57" s="900"/>
      <c r="N57" s="900"/>
      <c r="O57" s="900"/>
      <c r="P57" s="900"/>
      <c r="Q57" s="900"/>
      <c r="R57" s="900"/>
      <c r="S57" s="900"/>
    </row>
    <row r="58" spans="1:19" ht="15">
      <c r="A58" s="2184"/>
      <c r="B58" s="2185"/>
      <c r="C58" s="2185"/>
      <c r="D58" s="2185"/>
      <c r="E58" s="2185"/>
      <c r="F58" s="2185"/>
      <c r="G58" s="2185"/>
      <c r="H58" s="2185"/>
      <c r="I58" s="2185"/>
      <c r="J58" s="2186"/>
      <c r="K58" s="2186"/>
      <c r="L58" s="2186"/>
      <c r="M58" s="2186"/>
      <c r="N58" s="2186"/>
      <c r="O58" s="2186"/>
      <c r="P58" s="2186"/>
      <c r="Q58" s="2186"/>
      <c r="R58" s="2186"/>
      <c r="S58" s="2186"/>
    </row>
    <row r="59" spans="1:19" ht="15">
      <c r="A59" s="2184"/>
      <c r="B59" s="2185"/>
      <c r="C59" s="2185"/>
      <c r="D59" s="2185"/>
      <c r="E59" s="2185"/>
      <c r="F59" s="2185"/>
      <c r="G59" s="2185"/>
      <c r="H59" s="2185"/>
      <c r="I59" s="2185"/>
      <c r="J59" s="2186"/>
      <c r="K59" s="2186"/>
      <c r="L59" s="2186"/>
      <c r="M59" s="2186"/>
      <c r="N59" s="2186"/>
      <c r="O59" s="2186"/>
      <c r="P59" s="2186"/>
      <c r="Q59" s="2186"/>
      <c r="R59" s="2186"/>
      <c r="S59" s="2186"/>
    </row>
    <row r="60" spans="1:19">
      <c r="S60" s="816"/>
    </row>
  </sheetData>
  <mergeCells count="20">
    <mergeCell ref="A56:G56"/>
    <mergeCell ref="A57:G57"/>
    <mergeCell ref="A58:S58"/>
    <mergeCell ref="A59:S59"/>
    <mergeCell ref="K9:L9"/>
    <mergeCell ref="M9:N9"/>
    <mergeCell ref="A10:A11"/>
    <mergeCell ref="A50:H50"/>
    <mergeCell ref="A52:G52"/>
    <mergeCell ref="A54:G54"/>
    <mergeCell ref="C8:D9"/>
    <mergeCell ref="F8:G9"/>
    <mergeCell ref="I8:J9"/>
    <mergeCell ref="K8:N8"/>
    <mergeCell ref="O8:P9"/>
    <mergeCell ref="A1:P1"/>
    <mergeCell ref="A3:P3"/>
    <mergeCell ref="A4:P4"/>
    <mergeCell ref="A5:P5"/>
    <mergeCell ref="A6:P6"/>
  </mergeCells>
  <printOptions horizontalCentered="1"/>
  <pageMargins left="0.5" right="0.4" top="0.5" bottom="0.25" header="0" footer="0"/>
  <pageSetup scale="65" firstPageNumber="8" fitToHeight="0" orientation="landscape" useFirstPageNumber="1" r:id="rId1"/>
  <headerFooter alignWithMargins="0">
    <oddFooter>&amp;C&amp;"Times New Roman,Regular"Exhibit D – Resources by DOJ Strategic Goals Strategic Objectives&amp;R&amp;"Times New Roman,Regular"Weed and Seed Program Fund</oddFooter>
  </headerFooter>
</worksheet>
</file>

<file path=xl/worksheets/sheet34.xml><?xml version="1.0" encoding="utf-8"?>
<worksheet xmlns="http://schemas.openxmlformats.org/spreadsheetml/2006/main" xmlns:r="http://schemas.openxmlformats.org/officeDocument/2006/relationships">
  <sheetPr>
    <pageSetUpPr fitToPage="1"/>
  </sheetPr>
  <dimension ref="A1:AC42"/>
  <sheetViews>
    <sheetView showGridLines="0" showOutlineSymbols="0" view="pageBreakPreview" zoomScale="75" zoomScaleNormal="75" workbookViewId="0">
      <selection activeCell="M12" sqref="M12:N12"/>
    </sheetView>
  </sheetViews>
  <sheetFormatPr defaultColWidth="9.6640625" defaultRowHeight="15.75"/>
  <cols>
    <col min="1" max="1" width="27.77734375"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8" width="5.5546875" style="684" customWidth="1"/>
    <col min="9" max="9" width="5.6640625" style="684" customWidth="1"/>
    <col min="10" max="10" width="7.77734375" style="684" customWidth="1"/>
    <col min="11" max="11" width="8.77734375" style="684" customWidth="1"/>
    <col min="12" max="12" width="10" style="684" customWidth="1"/>
    <col min="13" max="13" width="7.5546875" style="684" bestFit="1" customWidth="1"/>
    <col min="14" max="14" width="6.77734375" style="684" customWidth="1"/>
    <col min="15" max="15" width="10.88671875" style="684" bestFit="1" customWidth="1"/>
    <col min="16" max="16" width="1" style="948" customWidth="1"/>
    <col min="17" max="16384" width="9.6640625" style="684"/>
  </cols>
  <sheetData>
    <row r="1" spans="1:29" ht="20.25">
      <c r="A1" s="2156" t="s">
        <v>240</v>
      </c>
      <c r="B1" s="2157"/>
      <c r="C1" s="2157"/>
      <c r="D1" s="2157"/>
      <c r="E1" s="2157"/>
      <c r="F1" s="2157"/>
      <c r="G1" s="2157"/>
      <c r="H1" s="2157"/>
      <c r="I1" s="2157"/>
      <c r="J1" s="2157"/>
      <c r="K1" s="2157"/>
      <c r="L1" s="2157"/>
      <c r="M1" s="2157"/>
      <c r="N1" s="2157"/>
      <c r="O1" s="2157"/>
      <c r="P1" s="904" t="s">
        <v>0</v>
      </c>
    </row>
    <row r="2" spans="1:29">
      <c r="A2" s="2209"/>
      <c r="B2" s="2209"/>
      <c r="C2" s="2209"/>
      <c r="D2" s="2209"/>
      <c r="E2" s="2209"/>
      <c r="F2" s="2209"/>
      <c r="G2" s="2209"/>
      <c r="H2" s="2209"/>
      <c r="I2" s="2209"/>
      <c r="J2" s="2209"/>
      <c r="K2" s="2209"/>
      <c r="L2" s="2209"/>
      <c r="M2" s="2209"/>
      <c r="N2" s="2209"/>
      <c r="O2" s="2209"/>
      <c r="P2" s="904" t="s">
        <v>0</v>
      </c>
    </row>
    <row r="3" spans="1:29" ht="18.75">
      <c r="A3" s="2210" t="s">
        <v>231</v>
      </c>
      <c r="B3" s="2211"/>
      <c r="C3" s="2211"/>
      <c r="D3" s="2211"/>
      <c r="E3" s="2211"/>
      <c r="F3" s="2211"/>
      <c r="G3" s="2211"/>
      <c r="H3" s="2211"/>
      <c r="I3" s="2211"/>
      <c r="J3" s="2211"/>
      <c r="K3" s="2211"/>
      <c r="L3" s="2211"/>
      <c r="M3" s="2211"/>
      <c r="N3" s="2211"/>
      <c r="O3" s="2211"/>
      <c r="P3" s="904" t="s">
        <v>0</v>
      </c>
    </row>
    <row r="4" spans="1:29" ht="16.5">
      <c r="A4" s="2212" t="str">
        <f>+'B. Summ of Reqs - W&amp;S'!A5</f>
        <v>Office of Justice Programs</v>
      </c>
      <c r="B4" s="2208"/>
      <c r="C4" s="2208"/>
      <c r="D4" s="2208"/>
      <c r="E4" s="2208"/>
      <c r="F4" s="2208"/>
      <c r="G4" s="2208"/>
      <c r="H4" s="2208"/>
      <c r="I4" s="2208"/>
      <c r="J4" s="2208"/>
      <c r="K4" s="2208"/>
      <c r="L4" s="2208"/>
      <c r="M4" s="2208"/>
      <c r="N4" s="2208"/>
      <c r="O4" s="2208"/>
      <c r="P4" s="904" t="s">
        <v>0</v>
      </c>
    </row>
    <row r="5" spans="1:29" ht="16.5">
      <c r="A5" s="2212" t="str">
        <f>+'B. Summ of Reqs - W&amp;S'!A6</f>
        <v>Weed and Seed Program Fund</v>
      </c>
      <c r="B5" s="2211"/>
      <c r="C5" s="2211"/>
      <c r="D5" s="2211"/>
      <c r="E5" s="2211"/>
      <c r="F5" s="2211"/>
      <c r="G5" s="2211"/>
      <c r="H5" s="2211"/>
      <c r="I5" s="2211"/>
      <c r="J5" s="2211"/>
      <c r="K5" s="2211"/>
      <c r="L5" s="2211"/>
      <c r="M5" s="2211"/>
      <c r="N5" s="2211"/>
      <c r="O5" s="2211"/>
      <c r="P5" s="904" t="s">
        <v>0</v>
      </c>
    </row>
    <row r="6" spans="1:29">
      <c r="A6" s="2207" t="s">
        <v>257</v>
      </c>
      <c r="B6" s="2208"/>
      <c r="C6" s="2208"/>
      <c r="D6" s="2208"/>
      <c r="E6" s="2208"/>
      <c r="F6" s="2208"/>
      <c r="G6" s="2208"/>
      <c r="H6" s="2208"/>
      <c r="I6" s="2208"/>
      <c r="J6" s="2208"/>
      <c r="K6" s="2208"/>
      <c r="L6" s="2208"/>
      <c r="M6" s="2208"/>
      <c r="N6" s="2208"/>
      <c r="O6" s="2208"/>
      <c r="P6" s="904" t="s">
        <v>0</v>
      </c>
    </row>
    <row r="7" spans="1:29">
      <c r="A7" s="2209"/>
      <c r="B7" s="2209"/>
      <c r="C7" s="2209"/>
      <c r="D7" s="2209"/>
      <c r="E7" s="2209"/>
      <c r="F7" s="2209"/>
      <c r="G7" s="2209"/>
      <c r="H7" s="2209"/>
      <c r="I7" s="2209"/>
      <c r="J7" s="2209"/>
      <c r="K7" s="2209"/>
      <c r="L7" s="2209"/>
      <c r="M7" s="2209"/>
      <c r="N7" s="2209"/>
      <c r="O7" s="2209"/>
      <c r="P7" s="904" t="s">
        <v>0</v>
      </c>
    </row>
    <row r="8" spans="1:29">
      <c r="A8" s="2213"/>
      <c r="B8" s="2213"/>
      <c r="C8" s="2213"/>
      <c r="D8" s="2213"/>
      <c r="E8" s="2213"/>
      <c r="F8" s="2213"/>
      <c r="G8" s="2213"/>
      <c r="H8" s="2213"/>
      <c r="I8" s="2213"/>
      <c r="J8" s="2213"/>
      <c r="K8" s="2213"/>
      <c r="L8" s="2213"/>
      <c r="M8" s="2213"/>
      <c r="N8" s="2213"/>
      <c r="O8" s="2213"/>
      <c r="P8" s="904" t="s">
        <v>0</v>
      </c>
    </row>
    <row r="9" spans="1:29" ht="15.75" customHeight="1">
      <c r="A9" s="2214" t="s">
        <v>626</v>
      </c>
      <c r="B9" s="2217" t="s">
        <v>19</v>
      </c>
      <c r="C9" s="2218"/>
      <c r="D9" s="2219"/>
      <c r="E9" s="2223" t="s">
        <v>269</v>
      </c>
      <c r="F9" s="2224"/>
      <c r="G9" s="2225"/>
      <c r="H9" s="2217" t="s">
        <v>23</v>
      </c>
      <c r="I9" s="2218"/>
      <c r="J9" s="2218"/>
      <c r="K9" s="2229" t="s">
        <v>356</v>
      </c>
      <c r="L9" s="2229" t="s">
        <v>357</v>
      </c>
      <c r="M9" s="2217" t="s">
        <v>35</v>
      </c>
      <c r="N9" s="2218"/>
      <c r="O9" s="2219"/>
      <c r="P9" s="904" t="s">
        <v>0</v>
      </c>
    </row>
    <row r="10" spans="1:29">
      <c r="A10" s="2215"/>
      <c r="B10" s="2220"/>
      <c r="C10" s="2221"/>
      <c r="D10" s="2222"/>
      <c r="E10" s="2226"/>
      <c r="F10" s="2227"/>
      <c r="G10" s="2228"/>
      <c r="H10" s="2220"/>
      <c r="I10" s="2221"/>
      <c r="J10" s="2221"/>
      <c r="K10" s="2230"/>
      <c r="L10" s="2230"/>
      <c r="M10" s="2220"/>
      <c r="N10" s="2221"/>
      <c r="O10" s="2222"/>
      <c r="P10" s="904" t="s">
        <v>0</v>
      </c>
    </row>
    <row r="11" spans="1:29"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row>
    <row r="12" spans="1:29">
      <c r="A12" s="910" t="s">
        <v>630</v>
      </c>
      <c r="B12" s="738"/>
      <c r="C12" s="697"/>
      <c r="D12" s="697">
        <v>20000</v>
      </c>
      <c r="E12" s="738"/>
      <c r="F12" s="697"/>
      <c r="G12" s="1619">
        <v>-453</v>
      </c>
      <c r="H12" s="738"/>
      <c r="I12" s="697"/>
      <c r="J12" s="697">
        <v>-628</v>
      </c>
      <c r="K12" s="676">
        <v>906</v>
      </c>
      <c r="L12" s="697">
        <v>1548</v>
      </c>
      <c r="M12" s="1630"/>
      <c r="N12" s="1631"/>
      <c r="O12" s="667">
        <f>D12+G12+J12+K12+L12</f>
        <v>21373</v>
      </c>
      <c r="P12" s="904" t="s">
        <v>0</v>
      </c>
    </row>
    <row r="13" spans="1:29">
      <c r="A13" s="918" t="s">
        <v>286</v>
      </c>
      <c r="B13" s="919">
        <f t="shared" ref="B13:O13" si="0">SUM(B12:B12)</f>
        <v>0</v>
      </c>
      <c r="C13" s="920">
        <f t="shared" si="0"/>
        <v>0</v>
      </c>
      <c r="D13" s="921">
        <f t="shared" si="0"/>
        <v>20000</v>
      </c>
      <c r="E13" s="919">
        <f t="shared" si="0"/>
        <v>0</v>
      </c>
      <c r="F13" s="920">
        <f t="shared" si="0"/>
        <v>0</v>
      </c>
      <c r="G13" s="921">
        <f t="shared" si="0"/>
        <v>-453</v>
      </c>
      <c r="H13" s="919">
        <f t="shared" si="0"/>
        <v>0</v>
      </c>
      <c r="I13" s="920">
        <f t="shared" si="0"/>
        <v>0</v>
      </c>
      <c r="J13" s="921">
        <f t="shared" si="0"/>
        <v>-628</v>
      </c>
      <c r="K13" s="923">
        <f t="shared" si="0"/>
        <v>906</v>
      </c>
      <c r="L13" s="921">
        <f t="shared" si="0"/>
        <v>1548</v>
      </c>
      <c r="M13" s="919">
        <f t="shared" si="0"/>
        <v>0</v>
      </c>
      <c r="N13" s="920">
        <f t="shared" si="0"/>
        <v>0</v>
      </c>
      <c r="O13" s="926">
        <f t="shared" si="0"/>
        <v>21373</v>
      </c>
      <c r="P13" s="904" t="s">
        <v>0</v>
      </c>
    </row>
    <row r="14" spans="1:29">
      <c r="A14" s="927" t="s">
        <v>263</v>
      </c>
      <c r="B14" s="735" t="s">
        <v>278</v>
      </c>
      <c r="C14" s="736"/>
      <c r="D14" s="736"/>
      <c r="E14" s="735"/>
      <c r="F14" s="736"/>
      <c r="G14" s="736"/>
      <c r="H14" s="735"/>
      <c r="I14" s="736"/>
      <c r="J14" s="736"/>
      <c r="K14" s="682"/>
      <c r="L14" s="736"/>
      <c r="M14" s="735"/>
      <c r="N14" s="736"/>
      <c r="O14" s="737"/>
      <c r="P14" s="904" t="s">
        <v>0</v>
      </c>
      <c r="Q14" s="928"/>
      <c r="R14" s="928"/>
      <c r="S14" s="928"/>
      <c r="T14" s="928"/>
      <c r="U14" s="928"/>
      <c r="V14" s="928"/>
      <c r="W14" s="928"/>
      <c r="X14" s="928"/>
      <c r="Y14" s="928"/>
      <c r="Z14" s="928"/>
      <c r="AA14" s="928"/>
      <c r="AB14" s="928"/>
      <c r="AC14" s="928"/>
    </row>
    <row r="15" spans="1:29">
      <c r="A15" s="927" t="s">
        <v>262</v>
      </c>
      <c r="B15" s="929"/>
      <c r="C15" s="930">
        <f>SUM(C13:C14)</f>
        <v>0</v>
      </c>
      <c r="D15" s="930"/>
      <c r="E15" s="929"/>
      <c r="F15" s="930">
        <f>+F13+F14</f>
        <v>0</v>
      </c>
      <c r="G15" s="930"/>
      <c r="H15" s="929"/>
      <c r="I15" s="930">
        <f>+I13+I14</f>
        <v>0</v>
      </c>
      <c r="J15" s="930"/>
      <c r="K15" s="931"/>
      <c r="L15" s="930"/>
      <c r="M15" s="929"/>
      <c r="N15" s="930">
        <f>SUM(N13:N14)</f>
        <v>0</v>
      </c>
      <c r="O15" s="932"/>
      <c r="P15" s="904" t="s">
        <v>0</v>
      </c>
    </row>
    <row r="16" spans="1:29">
      <c r="A16" s="933" t="s">
        <v>264</v>
      </c>
      <c r="B16" s="738"/>
      <c r="C16" s="697"/>
      <c r="D16" s="697"/>
      <c r="E16" s="738"/>
      <c r="F16" s="697"/>
      <c r="G16" s="697"/>
      <c r="H16" s="738"/>
      <c r="I16" s="697"/>
      <c r="J16" s="697"/>
      <c r="K16" s="676"/>
      <c r="L16" s="697"/>
      <c r="M16" s="738"/>
      <c r="N16" s="697"/>
      <c r="O16" s="667"/>
      <c r="P16" s="904" t="s">
        <v>0</v>
      </c>
    </row>
    <row r="17" spans="1:16">
      <c r="A17" s="934" t="s">
        <v>55</v>
      </c>
      <c r="B17" s="738"/>
      <c r="C17" s="697"/>
      <c r="D17" s="697"/>
      <c r="E17" s="738"/>
      <c r="F17" s="697"/>
      <c r="G17" s="697"/>
      <c r="H17" s="738"/>
      <c r="I17" s="697"/>
      <c r="J17" s="697"/>
      <c r="K17" s="676"/>
      <c r="L17" s="697"/>
      <c r="M17" s="738"/>
      <c r="N17" s="697"/>
      <c r="O17" s="667"/>
      <c r="P17" s="904" t="s">
        <v>0</v>
      </c>
    </row>
    <row r="18" spans="1:16">
      <c r="A18" s="935" t="s">
        <v>103</v>
      </c>
      <c r="B18" s="735"/>
      <c r="C18" s="736"/>
      <c r="D18" s="736"/>
      <c r="E18" s="735"/>
      <c r="F18" s="736"/>
      <c r="G18" s="736"/>
      <c r="H18" s="735"/>
      <c r="I18" s="736"/>
      <c r="J18" s="736"/>
      <c r="K18" s="682"/>
      <c r="L18" s="736"/>
      <c r="M18" s="735"/>
      <c r="N18" s="736"/>
      <c r="O18" s="737"/>
      <c r="P18" s="904" t="s">
        <v>0</v>
      </c>
    </row>
    <row r="19" spans="1:16">
      <c r="A19" s="927" t="s">
        <v>265</v>
      </c>
      <c r="B19" s="735"/>
      <c r="C19" s="736">
        <f>C18+C17+C15</f>
        <v>0</v>
      </c>
      <c r="D19" s="936"/>
      <c r="E19" s="735"/>
      <c r="F19" s="736">
        <f>F18+F17+F15</f>
        <v>0</v>
      </c>
      <c r="G19" s="936"/>
      <c r="H19" s="735"/>
      <c r="I19" s="736">
        <f>I18+I17+I15</f>
        <v>0</v>
      </c>
      <c r="J19" s="936"/>
      <c r="K19" s="937"/>
      <c r="L19" s="936"/>
      <c r="M19" s="735"/>
      <c r="N19" s="736">
        <f>N18+N17+N15</f>
        <v>0</v>
      </c>
      <c r="O19" s="938"/>
      <c r="P19" s="904" t="s">
        <v>0</v>
      </c>
    </row>
    <row r="20" spans="1:16">
      <c r="B20" s="939"/>
      <c r="C20" s="939"/>
      <c r="D20" s="939"/>
      <c r="E20" s="939"/>
      <c r="F20" s="939"/>
      <c r="G20" s="939"/>
      <c r="H20" s="939"/>
      <c r="I20" s="939"/>
      <c r="J20" s="939"/>
      <c r="K20" s="939"/>
      <c r="L20" s="939"/>
      <c r="M20" s="939"/>
      <c r="N20" s="939"/>
      <c r="O20" s="939"/>
      <c r="P20" s="904" t="s">
        <v>0</v>
      </c>
    </row>
    <row r="21" spans="1:16">
      <c r="A21" s="939"/>
      <c r="C21" s="939"/>
      <c r="D21" s="939"/>
      <c r="E21" s="939"/>
      <c r="F21" s="939"/>
      <c r="G21" s="939"/>
      <c r="H21" s="939"/>
      <c r="I21" s="939"/>
      <c r="J21" s="939"/>
      <c r="K21" s="939"/>
      <c r="L21" s="939"/>
      <c r="M21" s="939"/>
      <c r="N21" s="939"/>
      <c r="O21" s="939"/>
      <c r="P21" s="904" t="s">
        <v>0</v>
      </c>
    </row>
    <row r="22" spans="1:16">
      <c r="A22" s="939"/>
      <c r="C22" s="939"/>
      <c r="D22" s="939"/>
      <c r="E22" s="939"/>
      <c r="F22" s="939"/>
      <c r="G22" s="939"/>
      <c r="H22" s="939"/>
      <c r="I22" s="939"/>
      <c r="J22" s="939"/>
      <c r="K22" s="939"/>
      <c r="L22" s="939"/>
      <c r="M22" s="939"/>
      <c r="N22" s="939"/>
      <c r="O22" s="939"/>
      <c r="P22" s="904" t="s">
        <v>0</v>
      </c>
    </row>
    <row r="23" spans="1:16">
      <c r="A23" s="939" t="s">
        <v>631</v>
      </c>
      <c r="C23" s="939"/>
      <c r="D23" s="939"/>
      <c r="E23" s="939"/>
      <c r="F23" s="939"/>
      <c r="G23" s="939"/>
      <c r="H23" s="939"/>
      <c r="I23" s="939"/>
      <c r="J23" s="939"/>
      <c r="K23" s="939"/>
      <c r="L23" s="939"/>
      <c r="M23" s="939"/>
      <c r="N23" s="939"/>
      <c r="O23" s="939"/>
      <c r="P23" s="904" t="s">
        <v>0</v>
      </c>
    </row>
    <row r="24" spans="1:16">
      <c r="A24" s="939"/>
      <c r="C24" s="939"/>
      <c r="D24" s="939"/>
      <c r="E24" s="939"/>
      <c r="F24" s="939"/>
      <c r="G24" s="939"/>
      <c r="H24" s="939"/>
      <c r="I24" s="939"/>
      <c r="J24" s="939"/>
      <c r="K24" s="939"/>
      <c r="L24" s="939"/>
      <c r="M24" s="939"/>
      <c r="N24" s="939"/>
      <c r="O24" s="939"/>
      <c r="P24" s="904" t="s">
        <v>0</v>
      </c>
    </row>
    <row r="25" spans="1:16" ht="14.45" customHeight="1">
      <c r="A25" s="939"/>
      <c r="B25" s="940"/>
      <c r="C25" s="940"/>
      <c r="D25" s="940"/>
      <c r="E25" s="940"/>
      <c r="F25" s="940"/>
      <c r="G25" s="940"/>
      <c r="H25" s="940"/>
      <c r="I25" s="940"/>
      <c r="J25" s="940"/>
      <c r="K25" s="940"/>
      <c r="L25" s="940"/>
      <c r="M25" s="939"/>
      <c r="N25" s="939"/>
      <c r="O25" s="939"/>
      <c r="P25" s="904" t="s">
        <v>0</v>
      </c>
    </row>
    <row r="26" spans="1:16">
      <c r="A26" s="941"/>
      <c r="B26" s="939"/>
      <c r="C26" s="939"/>
      <c r="D26" s="939"/>
      <c r="E26" s="939"/>
      <c r="F26" s="939"/>
      <c r="G26" s="939"/>
      <c r="H26" s="939"/>
      <c r="I26" s="939"/>
      <c r="J26" s="939"/>
      <c r="K26" s="939"/>
      <c r="L26" s="939"/>
      <c r="M26" s="939"/>
      <c r="N26" s="939"/>
      <c r="O26" s="939"/>
      <c r="P26" s="904" t="s">
        <v>24</v>
      </c>
    </row>
    <row r="27" spans="1:16">
      <c r="A27" s="942"/>
      <c r="B27" s="942"/>
      <c r="C27" s="942"/>
      <c r="D27" s="942"/>
      <c r="E27" s="942"/>
      <c r="F27" s="942"/>
      <c r="G27" s="942"/>
      <c r="H27" s="939"/>
      <c r="I27" s="939"/>
      <c r="J27" s="939"/>
      <c r="K27" s="939"/>
      <c r="L27" s="939"/>
      <c r="M27" s="939"/>
      <c r="N27" s="939"/>
      <c r="O27" s="939"/>
    </row>
    <row r="28" spans="1:16">
      <c r="A28" s="2233"/>
      <c r="B28" s="2232"/>
      <c r="C28" s="2232"/>
      <c r="D28" s="2232"/>
      <c r="E28" s="2232"/>
      <c r="F28" s="2232"/>
      <c r="G28" s="2232"/>
      <c r="H28" s="2232"/>
      <c r="I28" s="2232"/>
      <c r="J28" s="2232"/>
      <c r="K28" s="2232"/>
      <c r="L28" s="2232"/>
      <c r="M28" s="2232"/>
      <c r="N28" s="2232"/>
      <c r="O28" s="2232"/>
      <c r="P28" s="684"/>
    </row>
    <row r="29" spans="1:16">
      <c r="A29" s="943"/>
      <c r="B29" s="944"/>
      <c r="C29" s="944"/>
      <c r="D29" s="944"/>
      <c r="E29" s="944"/>
      <c r="F29" s="944"/>
      <c r="G29" s="944"/>
      <c r="H29" s="944"/>
      <c r="I29" s="944"/>
      <c r="J29" s="944"/>
      <c r="K29" s="944"/>
      <c r="L29" s="944"/>
      <c r="M29" s="944"/>
      <c r="N29" s="944"/>
      <c r="O29" s="944"/>
      <c r="P29" s="684"/>
    </row>
    <row r="30" spans="1:16">
      <c r="A30" s="2234"/>
      <c r="B30" s="2235"/>
      <c r="C30" s="2235"/>
      <c r="D30" s="2235"/>
      <c r="E30" s="2235"/>
      <c r="F30" s="2235"/>
      <c r="G30" s="2235"/>
      <c r="H30" s="2235"/>
      <c r="I30" s="2235"/>
      <c r="J30" s="2235"/>
      <c r="K30" s="2235"/>
      <c r="L30" s="2235"/>
      <c r="M30" s="2235"/>
      <c r="N30" s="2235"/>
      <c r="O30" s="2235"/>
      <c r="P30" s="684"/>
    </row>
    <row r="31" spans="1:16" ht="24" customHeight="1">
      <c r="A31" s="2236"/>
      <c r="B31" s="2235"/>
      <c r="C31" s="2235"/>
      <c r="D31" s="2235"/>
      <c r="E31" s="2235"/>
      <c r="F31" s="2235"/>
      <c r="G31" s="2235"/>
      <c r="H31" s="2235"/>
      <c r="I31" s="2235"/>
      <c r="J31" s="2235"/>
      <c r="K31" s="2235"/>
      <c r="L31" s="2235"/>
      <c r="M31" s="2235"/>
      <c r="N31" s="2235"/>
      <c r="O31" s="2235"/>
      <c r="P31" s="684"/>
    </row>
    <row r="32" spans="1:16" ht="23.25" customHeight="1">
      <c r="A32" s="2234"/>
      <c r="B32" s="2236"/>
      <c r="C32" s="2236"/>
      <c r="D32" s="2236"/>
      <c r="E32" s="2236"/>
      <c r="F32" s="2236"/>
      <c r="G32" s="2236"/>
      <c r="H32" s="2236"/>
      <c r="I32" s="2236"/>
      <c r="J32" s="2236"/>
      <c r="K32" s="2236"/>
      <c r="L32" s="2236"/>
      <c r="M32" s="2236"/>
      <c r="N32" s="2236"/>
      <c r="O32" s="2236"/>
      <c r="P32" s="684"/>
    </row>
    <row r="33" spans="1:16" ht="9.75" customHeight="1">
      <c r="A33" s="752"/>
      <c r="B33" s="752"/>
      <c r="C33" s="752"/>
      <c r="D33" s="752"/>
      <c r="E33" s="752"/>
      <c r="F33" s="752"/>
      <c r="G33" s="752"/>
      <c r="H33" s="752"/>
      <c r="I33" s="752"/>
      <c r="J33" s="752"/>
      <c r="K33" s="752"/>
      <c r="L33" s="752"/>
      <c r="M33" s="752"/>
      <c r="N33" s="752"/>
      <c r="O33" s="752"/>
      <c r="P33" s="684"/>
    </row>
    <row r="34" spans="1:16" ht="11.25" customHeight="1">
      <c r="A34" s="752"/>
      <c r="B34" s="752"/>
      <c r="C34" s="752"/>
      <c r="D34" s="752"/>
      <c r="E34" s="752"/>
      <c r="F34" s="752"/>
      <c r="G34" s="752"/>
      <c r="H34" s="752"/>
      <c r="I34" s="752"/>
      <c r="J34" s="752"/>
      <c r="K34" s="752"/>
      <c r="L34" s="752"/>
      <c r="M34" s="752"/>
      <c r="N34" s="752"/>
      <c r="O34" s="752"/>
      <c r="P34" s="684"/>
    </row>
    <row r="35" spans="1:16">
      <c r="A35" s="2236"/>
      <c r="B35" s="2236"/>
      <c r="C35" s="2236"/>
      <c r="D35" s="2236"/>
      <c r="E35" s="2236"/>
      <c r="F35" s="2236"/>
      <c r="G35" s="2236"/>
      <c r="H35" s="2236"/>
      <c r="I35" s="2236"/>
      <c r="J35" s="2236"/>
      <c r="K35" s="2236"/>
      <c r="L35" s="2236"/>
      <c r="M35" s="2236"/>
      <c r="N35" s="2236"/>
      <c r="O35" s="2236"/>
      <c r="P35" s="684"/>
    </row>
    <row r="36" spans="1:16" ht="7.5" customHeight="1">
      <c r="A36" s="945"/>
      <c r="B36" s="945"/>
      <c r="C36" s="945"/>
      <c r="D36" s="945"/>
      <c r="E36" s="945"/>
      <c r="F36" s="945"/>
      <c r="G36" s="945"/>
      <c r="H36" s="945"/>
      <c r="I36" s="945"/>
      <c r="J36" s="945"/>
      <c r="K36" s="945"/>
      <c r="L36" s="945"/>
      <c r="M36" s="945"/>
      <c r="N36" s="945"/>
      <c r="O36" s="945"/>
      <c r="P36" s="684"/>
    </row>
    <row r="37" spans="1:16">
      <c r="A37" s="946"/>
      <c r="B37" s="945"/>
      <c r="C37" s="945"/>
      <c r="D37" s="945"/>
      <c r="E37" s="945"/>
      <c r="F37" s="945"/>
      <c r="G37" s="945"/>
      <c r="H37" s="945"/>
      <c r="I37" s="945"/>
      <c r="J37" s="945"/>
      <c r="K37" s="945"/>
      <c r="L37" s="945"/>
      <c r="M37" s="945"/>
      <c r="N37" s="945"/>
      <c r="O37" s="945"/>
      <c r="P37" s="684"/>
    </row>
    <row r="38" spans="1:16" ht="11.25" customHeight="1">
      <c r="A38" s="752"/>
      <c r="B38" s="752"/>
      <c r="C38" s="752"/>
      <c r="D38" s="752"/>
      <c r="E38" s="752"/>
      <c r="F38" s="752"/>
      <c r="G38" s="752"/>
      <c r="H38" s="752"/>
      <c r="I38" s="752"/>
      <c r="J38" s="752"/>
      <c r="K38" s="752"/>
      <c r="L38" s="752"/>
      <c r="M38" s="752"/>
      <c r="N38" s="752"/>
      <c r="O38" s="752"/>
      <c r="P38" s="684"/>
    </row>
    <row r="39" spans="1:16" ht="15" customHeight="1">
      <c r="A39" s="2236"/>
      <c r="B39" s="2235"/>
      <c r="C39" s="2235"/>
      <c r="D39" s="2235"/>
      <c r="E39" s="2235"/>
      <c r="F39" s="2235"/>
      <c r="G39" s="2235"/>
      <c r="H39" s="2235"/>
      <c r="I39" s="2235"/>
      <c r="J39" s="2235"/>
      <c r="K39" s="2235"/>
      <c r="L39" s="2235"/>
      <c r="M39" s="2235"/>
      <c r="N39" s="2235"/>
      <c r="O39" s="2235"/>
      <c r="P39" s="684"/>
    </row>
    <row r="40" spans="1:16" ht="12" customHeight="1">
      <c r="A40" s="747"/>
      <c r="B40" s="747"/>
      <c r="C40" s="747"/>
      <c r="D40" s="747"/>
      <c r="E40" s="747"/>
      <c r="F40" s="747"/>
      <c r="G40" s="747"/>
      <c r="H40" s="747"/>
      <c r="I40" s="747"/>
      <c r="J40" s="747"/>
      <c r="K40" s="747"/>
      <c r="L40" s="747"/>
      <c r="M40" s="747"/>
      <c r="N40" s="747"/>
      <c r="O40" s="947"/>
      <c r="P40" s="684"/>
    </row>
    <row r="41" spans="1:16" ht="36" customHeight="1">
      <c r="A41" s="2231"/>
      <c r="B41" s="2232"/>
      <c r="C41" s="2232"/>
      <c r="D41" s="2232"/>
      <c r="E41" s="2232"/>
      <c r="F41" s="2232"/>
      <c r="G41" s="2232"/>
      <c r="H41" s="2232"/>
      <c r="I41" s="2232"/>
      <c r="J41" s="2232"/>
      <c r="K41" s="2232"/>
      <c r="L41" s="2232"/>
      <c r="M41" s="2232"/>
      <c r="N41" s="2232"/>
      <c r="O41" s="2232"/>
      <c r="P41" s="2232"/>
    </row>
    <row r="42" spans="1:16">
      <c r="P42" s="684"/>
    </row>
  </sheetData>
  <mergeCells count="22">
    <mergeCell ref="A41:P41"/>
    <mergeCell ref="A28:O28"/>
    <mergeCell ref="A30:O30"/>
    <mergeCell ref="A31:O31"/>
    <mergeCell ref="A32:O32"/>
    <mergeCell ref="A35:O35"/>
    <mergeCell ref="A39:O39"/>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4" top="0.5" bottom="0.25" header="0" footer="0"/>
  <pageSetup scale="79" firstPageNumber="8" fitToHeight="0" orientation="landscape" useFirstPageNumber="1" r:id="rId1"/>
  <headerFooter alignWithMargins="0">
    <oddFooter>&amp;C&amp;"Times New Roman,Regular"Exhibit F – Crosswalk of 2010 Availability&amp;R&amp;"Times New Roman,Regular"Weed and Seed Program Fund</oddFooter>
  </headerFooter>
</worksheet>
</file>

<file path=xl/worksheets/sheet35.xml><?xml version="1.0" encoding="utf-8"?>
<worksheet xmlns="http://schemas.openxmlformats.org/spreadsheetml/2006/main" xmlns:r="http://schemas.openxmlformats.org/officeDocument/2006/relationships">
  <sheetPr>
    <pageSetUpPr fitToPage="1"/>
  </sheetPr>
  <dimension ref="A1:N37"/>
  <sheetViews>
    <sheetView view="pageBreakPreview" zoomScale="70" zoomScaleNormal="100" zoomScaleSheetLayoutView="70" workbookViewId="0">
      <selection sqref="A1:L1"/>
    </sheetView>
  </sheetViews>
  <sheetFormatPr defaultRowHeight="15.75"/>
  <cols>
    <col min="1" max="1" width="35.21875" style="949" customWidth="1"/>
    <col min="2" max="7" width="8.88671875" style="949"/>
    <col min="8" max="8" width="9.44140625" style="684" customWidth="1"/>
    <col min="9" max="9" width="10" style="684" customWidth="1"/>
    <col min="10" max="16384" width="8.88671875" style="949"/>
  </cols>
  <sheetData>
    <row r="1" spans="1:14" ht="20.25">
      <c r="A1" s="2156" t="s">
        <v>613</v>
      </c>
      <c r="B1" s="2157"/>
      <c r="C1" s="2157"/>
      <c r="D1" s="2157"/>
      <c r="E1" s="2157"/>
      <c r="F1" s="2157"/>
      <c r="G1" s="2157"/>
      <c r="H1" s="2157"/>
      <c r="I1" s="2157"/>
      <c r="J1" s="2157"/>
      <c r="K1" s="2157"/>
      <c r="L1" s="2157"/>
      <c r="M1" s="904" t="s">
        <v>0</v>
      </c>
      <c r="N1" s="684"/>
    </row>
    <row r="2" spans="1:14">
      <c r="A2" s="2209"/>
      <c r="B2" s="2209"/>
      <c r="C2" s="2209"/>
      <c r="D2" s="2209"/>
      <c r="E2" s="2209"/>
      <c r="F2" s="2209"/>
      <c r="G2" s="2209"/>
      <c r="H2" s="2209"/>
      <c r="I2" s="2209"/>
      <c r="J2" s="2209"/>
      <c r="K2" s="2209"/>
      <c r="L2" s="2209"/>
      <c r="M2" s="904" t="s">
        <v>0</v>
      </c>
      <c r="N2" s="684"/>
    </row>
    <row r="3" spans="1:14" ht="18.75">
      <c r="A3" s="2210" t="s">
        <v>329</v>
      </c>
      <c r="B3" s="2211"/>
      <c r="C3" s="2211"/>
      <c r="D3" s="2211"/>
      <c r="E3" s="2211"/>
      <c r="F3" s="2211"/>
      <c r="G3" s="2211"/>
      <c r="H3" s="2211"/>
      <c r="I3" s="2211"/>
      <c r="J3" s="2211"/>
      <c r="K3" s="2211"/>
      <c r="L3" s="2211"/>
      <c r="M3" s="904" t="s">
        <v>0</v>
      </c>
      <c r="N3" s="684"/>
    </row>
    <row r="4" spans="1:14" ht="16.5">
      <c r="A4" s="2212" t="str">
        <f>+'B. Summ of Reqs - W&amp;S'!A5</f>
        <v>Office of Justice Programs</v>
      </c>
      <c r="B4" s="2208"/>
      <c r="C4" s="2208"/>
      <c r="D4" s="2208"/>
      <c r="E4" s="2208"/>
      <c r="F4" s="2208"/>
      <c r="G4" s="2208"/>
      <c r="H4" s="2208"/>
      <c r="I4" s="2208"/>
      <c r="J4" s="2208"/>
      <c r="K4" s="2208"/>
      <c r="L4" s="2208"/>
      <c r="M4" s="904" t="s">
        <v>0</v>
      </c>
      <c r="N4" s="684"/>
    </row>
    <row r="5" spans="1:14" ht="16.5">
      <c r="A5" s="2212" t="str">
        <f>+'B. Summ of Reqs - W&amp;S'!A6</f>
        <v>Weed and Seed Program Fund</v>
      </c>
      <c r="B5" s="2211"/>
      <c r="C5" s="2211"/>
      <c r="D5" s="2211"/>
      <c r="E5" s="2211"/>
      <c r="F5" s="2211"/>
      <c r="G5" s="2211"/>
      <c r="H5" s="2211"/>
      <c r="I5" s="2211"/>
      <c r="J5" s="2211"/>
      <c r="K5" s="2211"/>
      <c r="L5" s="2211"/>
      <c r="M5" s="904" t="s">
        <v>0</v>
      </c>
      <c r="N5" s="684"/>
    </row>
    <row r="6" spans="1:14">
      <c r="A6" s="2207" t="s">
        <v>257</v>
      </c>
      <c r="B6" s="2208"/>
      <c r="C6" s="2208"/>
      <c r="D6" s="2208"/>
      <c r="E6" s="2208"/>
      <c r="F6" s="2208"/>
      <c r="G6" s="2208"/>
      <c r="H6" s="2208"/>
      <c r="I6" s="2208"/>
      <c r="J6" s="2208"/>
      <c r="K6" s="2208"/>
      <c r="L6" s="2208"/>
      <c r="M6" s="904" t="s">
        <v>0</v>
      </c>
      <c r="N6" s="684"/>
    </row>
    <row r="7" spans="1:14">
      <c r="A7" s="2209"/>
      <c r="B7" s="2209"/>
      <c r="C7" s="2209"/>
      <c r="D7" s="2209"/>
      <c r="E7" s="2209"/>
      <c r="F7" s="2209"/>
      <c r="G7" s="2209"/>
      <c r="H7" s="2209"/>
      <c r="I7" s="2209"/>
      <c r="J7" s="2209"/>
      <c r="K7" s="2209"/>
      <c r="L7" s="2209"/>
      <c r="M7" s="904" t="s">
        <v>0</v>
      </c>
      <c r="N7" s="684"/>
    </row>
    <row r="8" spans="1:14">
      <c r="A8" s="2213"/>
      <c r="B8" s="2213"/>
      <c r="C8" s="2213"/>
      <c r="D8" s="2213"/>
      <c r="E8" s="2213"/>
      <c r="F8" s="2213"/>
      <c r="G8" s="2213"/>
      <c r="H8" s="2213"/>
      <c r="I8" s="2213"/>
      <c r="J8" s="2213"/>
      <c r="K8" s="2213"/>
      <c r="L8" s="2213"/>
      <c r="M8" s="904" t="s">
        <v>0</v>
      </c>
      <c r="N8" s="684"/>
    </row>
    <row r="9" spans="1:14" ht="15.75" customHeight="1">
      <c r="A9" s="2214" t="s">
        <v>626</v>
      </c>
      <c r="B9" s="2217" t="s">
        <v>359</v>
      </c>
      <c r="C9" s="2218"/>
      <c r="D9" s="2219"/>
      <c r="E9" s="2217" t="s">
        <v>23</v>
      </c>
      <c r="F9" s="2218"/>
      <c r="G9" s="2219"/>
      <c r="H9" s="2229" t="s">
        <v>356</v>
      </c>
      <c r="I9" s="2237" t="s">
        <v>357</v>
      </c>
      <c r="J9" s="2217" t="s">
        <v>330</v>
      </c>
      <c r="K9" s="2218"/>
      <c r="L9" s="2219"/>
      <c r="M9" s="904" t="s">
        <v>0</v>
      </c>
      <c r="N9" s="684"/>
    </row>
    <row r="10" spans="1:14">
      <c r="A10" s="2215"/>
      <c r="B10" s="2220"/>
      <c r="C10" s="2221"/>
      <c r="D10" s="2222"/>
      <c r="E10" s="2220"/>
      <c r="F10" s="2221"/>
      <c r="G10" s="2222"/>
      <c r="H10" s="2230"/>
      <c r="I10" s="2238"/>
      <c r="J10" s="2220"/>
      <c r="K10" s="2221"/>
      <c r="L10" s="2222"/>
      <c r="M10" s="904" t="s">
        <v>0</v>
      </c>
      <c r="N10" s="684"/>
    </row>
    <row r="11" spans="1:14" ht="16.5" thickBot="1">
      <c r="A11" s="2216"/>
      <c r="B11" s="905" t="s">
        <v>277</v>
      </c>
      <c r="C11" s="906" t="s">
        <v>49</v>
      </c>
      <c r="D11" s="906" t="s">
        <v>279</v>
      </c>
      <c r="E11" s="905" t="s">
        <v>277</v>
      </c>
      <c r="F11" s="906" t="s">
        <v>49</v>
      </c>
      <c r="G11" s="906" t="s">
        <v>279</v>
      </c>
      <c r="H11" s="907" t="s">
        <v>279</v>
      </c>
      <c r="I11" s="908" t="s">
        <v>279</v>
      </c>
      <c r="J11" s="905" t="s">
        <v>277</v>
      </c>
      <c r="K11" s="906" t="s">
        <v>49</v>
      </c>
      <c r="L11" s="909" t="s">
        <v>279</v>
      </c>
      <c r="M11" s="904" t="s">
        <v>0</v>
      </c>
      <c r="N11" s="684"/>
    </row>
    <row r="12" spans="1:14">
      <c r="A12" s="910" t="s">
        <v>630</v>
      </c>
      <c r="B12" s="738"/>
      <c r="C12" s="697"/>
      <c r="D12" s="697">
        <v>20000</v>
      </c>
      <c r="E12" s="738"/>
      <c r="F12" s="697"/>
      <c r="G12" s="697"/>
      <c r="H12" s="676">
        <v>2625</v>
      </c>
      <c r="I12" s="697">
        <v>450</v>
      </c>
      <c r="J12" s="738">
        <f>B12+E12</f>
        <v>0</v>
      </c>
      <c r="K12" s="697">
        <f>C12+F12</f>
        <v>0</v>
      </c>
      <c r="L12" s="667">
        <f>D12+G12+H12+I12</f>
        <v>23075</v>
      </c>
      <c r="M12" s="904" t="s">
        <v>0</v>
      </c>
      <c r="N12" s="684"/>
    </row>
    <row r="13" spans="1:14">
      <c r="A13" s="918" t="s">
        <v>286</v>
      </c>
      <c r="B13" s="919">
        <f t="shared" ref="B13:L13" si="0">SUM(B12:B12)</f>
        <v>0</v>
      </c>
      <c r="C13" s="920">
        <f t="shared" si="0"/>
        <v>0</v>
      </c>
      <c r="D13" s="921">
        <f t="shared" si="0"/>
        <v>20000</v>
      </c>
      <c r="E13" s="919">
        <f t="shared" si="0"/>
        <v>0</v>
      </c>
      <c r="F13" s="920">
        <f t="shared" si="0"/>
        <v>0</v>
      </c>
      <c r="G13" s="921">
        <f t="shared" si="0"/>
        <v>0</v>
      </c>
      <c r="H13" s="923">
        <f t="shared" si="0"/>
        <v>2625</v>
      </c>
      <c r="I13" s="921">
        <f t="shared" si="0"/>
        <v>450</v>
      </c>
      <c r="J13" s="919">
        <f t="shared" si="0"/>
        <v>0</v>
      </c>
      <c r="K13" s="920">
        <f t="shared" si="0"/>
        <v>0</v>
      </c>
      <c r="L13" s="926">
        <f t="shared" si="0"/>
        <v>23075</v>
      </c>
      <c r="M13" s="904" t="s">
        <v>0</v>
      </c>
      <c r="N13" s="684"/>
    </row>
    <row r="14" spans="1:14">
      <c r="A14" s="927" t="s">
        <v>263</v>
      </c>
      <c r="B14" s="735" t="s">
        <v>278</v>
      </c>
      <c r="C14" s="736"/>
      <c r="D14" s="736"/>
      <c r="E14" s="735"/>
      <c r="F14" s="736"/>
      <c r="G14" s="736"/>
      <c r="H14" s="682"/>
      <c r="I14" s="736"/>
      <c r="J14" s="735"/>
      <c r="K14" s="736"/>
      <c r="L14" s="737"/>
      <c r="M14" s="904" t="s">
        <v>0</v>
      </c>
      <c r="N14" s="928"/>
    </row>
    <row r="15" spans="1:14">
      <c r="A15" s="927" t="s">
        <v>262</v>
      </c>
      <c r="B15" s="929"/>
      <c r="C15" s="930">
        <f>SUM(C13:C14)</f>
        <v>0</v>
      </c>
      <c r="D15" s="930"/>
      <c r="E15" s="929"/>
      <c r="F15" s="930">
        <f>+F13+F14</f>
        <v>0</v>
      </c>
      <c r="G15" s="930"/>
      <c r="H15" s="931"/>
      <c r="I15" s="930"/>
      <c r="J15" s="929"/>
      <c r="K15" s="930"/>
      <c r="L15" s="932"/>
      <c r="M15" s="904" t="s">
        <v>0</v>
      </c>
      <c r="N15" s="684"/>
    </row>
    <row r="16" spans="1:14">
      <c r="A16" s="933" t="s">
        <v>264</v>
      </c>
      <c r="B16" s="738"/>
      <c r="C16" s="697"/>
      <c r="D16" s="697"/>
      <c r="E16" s="738"/>
      <c r="F16" s="697"/>
      <c r="G16" s="697"/>
      <c r="H16" s="676"/>
      <c r="I16" s="697"/>
      <c r="J16" s="738"/>
      <c r="K16" s="697"/>
      <c r="L16" s="667"/>
      <c r="M16" s="904" t="s">
        <v>0</v>
      </c>
      <c r="N16" s="684"/>
    </row>
    <row r="17" spans="1:14">
      <c r="A17" s="934" t="s">
        <v>55</v>
      </c>
      <c r="B17" s="738"/>
      <c r="C17" s="697"/>
      <c r="D17" s="697"/>
      <c r="E17" s="738"/>
      <c r="F17" s="697"/>
      <c r="G17" s="697"/>
      <c r="H17" s="676"/>
      <c r="I17" s="697"/>
      <c r="J17" s="738"/>
      <c r="K17" s="697"/>
      <c r="L17" s="667"/>
      <c r="M17" s="904" t="s">
        <v>0</v>
      </c>
      <c r="N17" s="684"/>
    </row>
    <row r="18" spans="1:14">
      <c r="A18" s="935" t="s">
        <v>103</v>
      </c>
      <c r="B18" s="735"/>
      <c r="C18" s="736"/>
      <c r="D18" s="736"/>
      <c r="E18" s="735"/>
      <c r="F18" s="736"/>
      <c r="G18" s="736"/>
      <c r="H18" s="682"/>
      <c r="I18" s="736"/>
      <c r="J18" s="735"/>
      <c r="K18" s="736"/>
      <c r="L18" s="737"/>
      <c r="M18" s="904" t="s">
        <v>0</v>
      </c>
      <c r="N18" s="684"/>
    </row>
    <row r="19" spans="1:14">
      <c r="A19" s="927" t="s">
        <v>265</v>
      </c>
      <c r="B19" s="735"/>
      <c r="C19" s="736">
        <f>C18+C17+C15</f>
        <v>0</v>
      </c>
      <c r="D19" s="936"/>
      <c r="E19" s="735"/>
      <c r="F19" s="736">
        <f>F18+F17+F15</f>
        <v>0</v>
      </c>
      <c r="G19" s="936"/>
      <c r="H19" s="937"/>
      <c r="I19" s="936"/>
      <c r="J19" s="735"/>
      <c r="K19" s="736"/>
      <c r="L19" s="938"/>
      <c r="M19" s="904" t="s">
        <v>24</v>
      </c>
      <c r="N19" s="684"/>
    </row>
    <row r="20" spans="1:14">
      <c r="A20" s="941"/>
      <c r="B20" s="939"/>
      <c r="C20" s="939"/>
      <c r="D20" s="939"/>
      <c r="E20" s="939"/>
      <c r="F20" s="939"/>
      <c r="G20" s="939"/>
      <c r="H20" s="939"/>
      <c r="I20" s="939"/>
      <c r="J20" s="939"/>
      <c r="K20" s="939"/>
      <c r="L20" s="939"/>
      <c r="M20" s="948"/>
      <c r="N20" s="684"/>
    </row>
    <row r="21" spans="1:14">
      <c r="A21" s="942"/>
      <c r="B21" s="942"/>
      <c r="C21" s="942"/>
      <c r="D21" s="942"/>
      <c r="E21" s="939"/>
      <c r="F21" s="939"/>
      <c r="G21" s="939"/>
      <c r="H21" s="939"/>
      <c r="I21" s="939"/>
      <c r="J21" s="939"/>
      <c r="K21" s="939"/>
      <c r="L21" s="939"/>
      <c r="M21" s="948"/>
      <c r="N21" s="684"/>
    </row>
    <row r="22" spans="1:14">
      <c r="A22" s="2233"/>
      <c r="B22" s="2232"/>
      <c r="C22" s="2232"/>
      <c r="D22" s="2232"/>
      <c r="E22" s="2232"/>
      <c r="F22" s="2232"/>
      <c r="G22" s="2232"/>
      <c r="H22" s="2232"/>
      <c r="I22" s="2232"/>
      <c r="J22" s="2232"/>
      <c r="K22" s="2232"/>
      <c r="L22" s="2232"/>
      <c r="M22" s="684"/>
      <c r="N22" s="684"/>
    </row>
    <row r="23" spans="1:14">
      <c r="A23" s="943"/>
      <c r="B23" s="944"/>
      <c r="C23" s="944"/>
      <c r="D23" s="944"/>
      <c r="E23" s="944"/>
      <c r="F23" s="944"/>
      <c r="G23" s="944"/>
      <c r="H23" s="944"/>
      <c r="I23" s="944"/>
      <c r="J23" s="944"/>
      <c r="K23" s="944"/>
      <c r="L23" s="944"/>
      <c r="M23" s="684"/>
      <c r="N23" s="684"/>
    </row>
    <row r="24" spans="1:14">
      <c r="A24" s="2234"/>
      <c r="B24" s="2235"/>
      <c r="C24" s="2235"/>
      <c r="D24" s="2235"/>
      <c r="E24" s="2235"/>
      <c r="F24" s="2235"/>
      <c r="G24" s="2235"/>
      <c r="H24" s="2235"/>
      <c r="I24" s="2235"/>
      <c r="J24" s="2235"/>
      <c r="K24" s="2235"/>
      <c r="L24" s="2235"/>
      <c r="M24" s="684"/>
      <c r="N24" s="684"/>
    </row>
    <row r="25" spans="1:14">
      <c r="A25" s="2236"/>
      <c r="B25" s="2235"/>
      <c r="C25" s="2235"/>
      <c r="D25" s="2235"/>
      <c r="E25" s="2235"/>
      <c r="F25" s="2235"/>
      <c r="G25" s="2235"/>
      <c r="H25" s="2235"/>
      <c r="I25" s="2235"/>
      <c r="J25" s="2235"/>
      <c r="K25" s="2235"/>
      <c r="L25" s="2235"/>
      <c r="M25" s="684"/>
      <c r="N25" s="684"/>
    </row>
    <row r="26" spans="1:14" ht="18" customHeight="1">
      <c r="A26" s="2234"/>
      <c r="B26" s="2236"/>
      <c r="C26" s="2236"/>
      <c r="D26" s="2236"/>
      <c r="E26" s="2236"/>
      <c r="F26" s="2236"/>
      <c r="G26" s="2236"/>
      <c r="H26" s="2236"/>
      <c r="I26" s="2236"/>
      <c r="J26" s="2236"/>
      <c r="K26" s="2236"/>
      <c r="L26" s="2236"/>
      <c r="M26" s="684"/>
      <c r="N26" s="684"/>
    </row>
    <row r="27" spans="1:14" ht="18" customHeight="1">
      <c r="A27" s="752"/>
      <c r="B27" s="752"/>
      <c r="C27" s="752"/>
      <c r="D27" s="752"/>
      <c r="E27" s="752"/>
      <c r="F27" s="752"/>
      <c r="G27" s="752"/>
      <c r="H27" s="752"/>
      <c r="I27" s="752"/>
      <c r="J27" s="752"/>
      <c r="K27" s="752"/>
      <c r="L27" s="752"/>
      <c r="M27" s="684"/>
      <c r="N27" s="684"/>
    </row>
    <row r="28" spans="1:14">
      <c r="A28" s="752"/>
      <c r="B28" s="752"/>
      <c r="C28" s="752"/>
      <c r="D28" s="752"/>
      <c r="E28" s="752"/>
      <c r="F28" s="752"/>
      <c r="G28" s="752"/>
      <c r="H28" s="752"/>
      <c r="I28" s="752"/>
      <c r="J28" s="752"/>
      <c r="K28" s="752"/>
      <c r="L28" s="752"/>
      <c r="M28" s="684"/>
      <c r="N28" s="684"/>
    </row>
    <row r="29" spans="1:14" s="684" customFormat="1">
      <c r="A29" s="2236"/>
      <c r="B29" s="2236"/>
      <c r="C29" s="2236"/>
      <c r="D29" s="2236"/>
      <c r="E29" s="2236"/>
      <c r="F29" s="2236"/>
      <c r="G29" s="2236"/>
      <c r="H29" s="2236"/>
      <c r="I29" s="2236"/>
      <c r="J29" s="2236"/>
      <c r="K29" s="2236"/>
      <c r="L29" s="2236"/>
    </row>
    <row r="30" spans="1:14" s="684" customFormat="1" ht="7.5" customHeight="1">
      <c r="A30" s="945"/>
      <c r="B30" s="945"/>
      <c r="C30" s="945"/>
      <c r="D30" s="945"/>
      <c r="E30" s="945"/>
      <c r="F30" s="945"/>
      <c r="G30" s="945"/>
      <c r="H30" s="945"/>
      <c r="I30" s="945"/>
      <c r="J30" s="945"/>
      <c r="K30" s="945"/>
      <c r="L30" s="945"/>
    </row>
    <row r="31" spans="1:14" s="684" customFormat="1">
      <c r="A31" s="946"/>
      <c r="B31" s="945"/>
      <c r="C31" s="945"/>
      <c r="D31" s="945"/>
      <c r="E31" s="945"/>
      <c r="F31" s="945"/>
      <c r="G31" s="945"/>
      <c r="H31" s="945"/>
      <c r="I31" s="945"/>
      <c r="J31" s="945"/>
      <c r="K31" s="945"/>
      <c r="L31" s="945"/>
    </row>
    <row r="32" spans="1:14" s="684" customFormat="1" ht="11.25" customHeight="1">
      <c r="A32" s="752"/>
      <c r="B32" s="752"/>
      <c r="C32" s="752"/>
      <c r="D32" s="752"/>
      <c r="E32" s="752"/>
      <c r="F32" s="752"/>
      <c r="G32" s="752"/>
      <c r="H32" s="752"/>
      <c r="I32" s="752"/>
      <c r="J32" s="752"/>
      <c r="K32" s="752"/>
      <c r="L32" s="752"/>
    </row>
    <row r="33" spans="1:14" s="684" customFormat="1" ht="15" customHeight="1">
      <c r="A33" s="2236"/>
      <c r="B33" s="2235"/>
      <c r="C33" s="2235"/>
      <c r="D33" s="2235"/>
      <c r="E33" s="2235"/>
      <c r="F33" s="2235"/>
      <c r="G33" s="2235"/>
      <c r="H33" s="2235"/>
      <c r="I33" s="2235"/>
      <c r="J33" s="2235"/>
      <c r="K33" s="2235"/>
      <c r="L33" s="2235"/>
    </row>
    <row r="34" spans="1:14">
      <c r="A34" s="747"/>
      <c r="B34" s="747"/>
      <c r="C34" s="747"/>
      <c r="D34" s="747"/>
      <c r="E34" s="747"/>
      <c r="F34" s="747"/>
      <c r="G34" s="747"/>
      <c r="H34" s="747"/>
      <c r="I34" s="747"/>
      <c r="J34" s="747"/>
      <c r="K34" s="747"/>
      <c r="L34" s="947"/>
      <c r="M34" s="684"/>
      <c r="N34" s="684"/>
    </row>
    <row r="35" spans="1:14" ht="18" customHeight="1">
      <c r="A35" s="2231"/>
      <c r="B35" s="2232"/>
      <c r="C35" s="2232"/>
      <c r="D35" s="2232"/>
      <c r="E35" s="2232"/>
      <c r="F35" s="2232"/>
      <c r="G35" s="2232"/>
      <c r="H35" s="2232"/>
      <c r="I35" s="2232"/>
      <c r="J35" s="2232"/>
      <c r="K35" s="2232"/>
      <c r="L35" s="2232"/>
      <c r="M35" s="2232"/>
      <c r="N35" s="684"/>
    </row>
    <row r="36" spans="1:14">
      <c r="A36" s="747"/>
      <c r="B36" s="747"/>
      <c r="C36" s="747"/>
      <c r="D36" s="747"/>
      <c r="E36" s="747"/>
      <c r="F36" s="747"/>
      <c r="G36" s="747"/>
      <c r="J36" s="747"/>
      <c r="K36" s="747"/>
      <c r="L36" s="747"/>
      <c r="M36" s="947"/>
      <c r="N36" s="948"/>
    </row>
    <row r="37" spans="1:14" ht="18">
      <c r="A37" s="952"/>
      <c r="B37" s="684"/>
      <c r="C37" s="684"/>
      <c r="D37" s="684"/>
      <c r="E37" s="684"/>
      <c r="F37" s="684"/>
      <c r="G37" s="684"/>
      <c r="J37" s="684"/>
      <c r="K37" s="684"/>
      <c r="L37" s="684"/>
      <c r="M37" s="684"/>
      <c r="N37" s="948"/>
    </row>
  </sheetData>
  <mergeCells count="21">
    <mergeCell ref="A35:M35"/>
    <mergeCell ref="A22:L22"/>
    <mergeCell ref="A24:L24"/>
    <mergeCell ref="A25:L25"/>
    <mergeCell ref="A26:L26"/>
    <mergeCell ref="A29:L29"/>
    <mergeCell ref="A33:L33"/>
    <mergeCell ref="A7:L7"/>
    <mergeCell ref="A8:L8"/>
    <mergeCell ref="A9:A11"/>
    <mergeCell ref="B9:D10"/>
    <mergeCell ref="E9:G10"/>
    <mergeCell ref="H9:H10"/>
    <mergeCell ref="I9:I10"/>
    <mergeCell ref="J9:L10"/>
    <mergeCell ref="A6:L6"/>
    <mergeCell ref="A1:L1"/>
    <mergeCell ref="A2:L2"/>
    <mergeCell ref="A3:L3"/>
    <mergeCell ref="A4:L4"/>
    <mergeCell ref="A5:L5"/>
  </mergeCells>
  <printOptions horizontalCentered="1"/>
  <pageMargins left="0.5" right="0.4" top="0.5" bottom="0.25" header="0" footer="0"/>
  <pageSetup scale="80" firstPageNumber="8" fitToHeight="0" orientation="landscape" useFirstPageNumber="1" r:id="rId1"/>
  <headerFooter alignWithMargins="0">
    <oddFooter>&amp;C&amp;"Times New Roman,Regular"Exhibit G - Crosswalk of 2011 Availability&amp;R&amp;"Times New Roman,Regular"Weed and Seed Program Fund</oddFooter>
  </headerFooter>
</worksheet>
</file>

<file path=xl/worksheets/sheet36.xml><?xml version="1.0" encoding="utf-8"?>
<worksheet xmlns="http://schemas.openxmlformats.org/spreadsheetml/2006/main" xmlns:r="http://schemas.openxmlformats.org/officeDocument/2006/relationships">
  <sheetPr>
    <pageSetUpPr fitToPage="1"/>
  </sheetPr>
  <dimension ref="A1:T21"/>
  <sheetViews>
    <sheetView view="pageBreakPreview" zoomScale="55" zoomScaleNormal="75" zoomScaleSheetLayoutView="55" workbookViewId="0">
      <selection activeCell="E12" sqref="E12"/>
    </sheetView>
  </sheetViews>
  <sheetFormatPr defaultRowHeight="15"/>
  <cols>
    <col min="1" max="1" width="57.44140625" style="949" customWidth="1"/>
    <col min="2" max="2" width="6.21875" style="949" customWidth="1"/>
    <col min="3" max="3" width="13.77734375" style="820" customWidth="1"/>
    <col min="4" max="4" width="10.5546875" style="949" bestFit="1" customWidth="1"/>
    <col min="5" max="5" width="12" style="820" customWidth="1"/>
    <col min="6" max="6" width="0.6640625" style="992" customWidth="1"/>
    <col min="7" max="16384" width="8.88671875" style="949"/>
  </cols>
  <sheetData>
    <row r="1" spans="1:20" ht="20.25">
      <c r="A1" s="953" t="s">
        <v>29</v>
      </c>
      <c r="B1" s="954"/>
      <c r="C1" s="955"/>
      <c r="D1" s="954"/>
      <c r="E1" s="956"/>
      <c r="F1" s="957" t="s">
        <v>0</v>
      </c>
    </row>
    <row r="2" spans="1:20" ht="13.15" customHeight="1">
      <c r="A2" s="2285"/>
      <c r="B2" s="2285"/>
      <c r="C2" s="2285"/>
      <c r="D2" s="2285"/>
      <c r="E2" s="2464"/>
      <c r="F2" s="957" t="s">
        <v>0</v>
      </c>
    </row>
    <row r="3" spans="1:20" ht="18.75">
      <c r="A3" s="2241" t="s">
        <v>4</v>
      </c>
      <c r="B3" s="2241"/>
      <c r="C3" s="2241"/>
      <c r="D3" s="2241"/>
      <c r="E3" s="2241"/>
      <c r="F3" s="957" t="s">
        <v>0</v>
      </c>
    </row>
    <row r="4" spans="1:20" ht="16.5">
      <c r="A4" s="2243" t="str">
        <f>+'B. Summ of Reqs - W&amp;S'!A5</f>
        <v>Office of Justice Programs</v>
      </c>
      <c r="B4" s="2243"/>
      <c r="C4" s="2243"/>
      <c r="D4" s="2243"/>
      <c r="E4" s="2243"/>
      <c r="F4" s="957" t="s">
        <v>0</v>
      </c>
    </row>
    <row r="5" spans="1:20" ht="16.5">
      <c r="A5" s="2243" t="str">
        <f>+'B. Summ of Reqs - W&amp;S'!A6</f>
        <v>Weed and Seed Program Fund</v>
      </c>
      <c r="B5" s="2243"/>
      <c r="C5" s="2243"/>
      <c r="D5" s="2243"/>
      <c r="E5" s="2243"/>
      <c r="F5" s="957" t="s">
        <v>0</v>
      </c>
    </row>
    <row r="6" spans="1:20">
      <c r="A6" s="2245" t="s">
        <v>257</v>
      </c>
      <c r="B6" s="2245"/>
      <c r="C6" s="2245"/>
      <c r="D6" s="2245"/>
      <c r="E6" s="2245"/>
      <c r="F6" s="957" t="s">
        <v>0</v>
      </c>
    </row>
    <row r="7" spans="1:20">
      <c r="A7" s="2463"/>
      <c r="B7" s="2463"/>
      <c r="C7" s="2463"/>
      <c r="D7" s="2463"/>
      <c r="E7" s="2463"/>
      <c r="F7" s="957" t="s">
        <v>0</v>
      </c>
    </row>
    <row r="8" spans="1:20" ht="15.75" customHeight="1">
      <c r="A8" s="2468"/>
      <c r="B8" s="2469"/>
      <c r="C8" s="2470"/>
      <c r="D8" s="2471" t="s">
        <v>105</v>
      </c>
      <c r="E8" s="2472"/>
      <c r="F8" s="957" t="s">
        <v>0</v>
      </c>
    </row>
    <row r="9" spans="1:20" ht="36" customHeight="1">
      <c r="A9" s="2282"/>
      <c r="B9" s="2475" t="s">
        <v>628</v>
      </c>
      <c r="C9" s="2476"/>
      <c r="D9" s="2473"/>
      <c r="E9" s="2474"/>
      <c r="F9" s="957" t="s">
        <v>0</v>
      </c>
    </row>
    <row r="10" spans="1:20" ht="36" customHeight="1" thickBot="1">
      <c r="A10" s="2283"/>
      <c r="B10" s="1359" t="s">
        <v>277</v>
      </c>
      <c r="C10" s="962" t="s">
        <v>255</v>
      </c>
      <c r="D10" s="961" t="s">
        <v>277</v>
      </c>
      <c r="E10" s="1360" t="s">
        <v>255</v>
      </c>
      <c r="F10" s="957" t="s">
        <v>0</v>
      </c>
    </row>
    <row r="11" spans="1:20" ht="20.25">
      <c r="A11" s="1361" t="s">
        <v>472</v>
      </c>
      <c r="B11" s="1362"/>
      <c r="C11" s="968">
        <v>-20000</v>
      </c>
      <c r="D11" s="965">
        <f>SUM(B11)</f>
        <v>0</v>
      </c>
      <c r="E11" s="1363">
        <f>SUM(C11)</f>
        <v>-20000</v>
      </c>
      <c r="F11" s="957" t="s">
        <v>0</v>
      </c>
    </row>
    <row r="12" spans="1:20" ht="21" thickBot="1">
      <c r="A12" s="984" t="s">
        <v>272</v>
      </c>
      <c r="B12" s="1366">
        <f t="shared" ref="B12:E12" si="0">SUM(B11:B11)</f>
        <v>0</v>
      </c>
      <c r="C12" s="1367">
        <f t="shared" si="0"/>
        <v>-20000</v>
      </c>
      <c r="D12" s="1368">
        <f t="shared" si="0"/>
        <v>0</v>
      </c>
      <c r="E12" s="1369">
        <f t="shared" si="0"/>
        <v>-20000</v>
      </c>
      <c r="F12" s="957" t="s">
        <v>24</v>
      </c>
    </row>
    <row r="13" spans="1:20">
      <c r="A13" s="2465"/>
      <c r="B13" s="2466"/>
      <c r="C13" s="2466"/>
      <c r="D13" s="2466"/>
      <c r="E13" s="2467"/>
      <c r="F13" s="1370"/>
      <c r="G13" s="978"/>
      <c r="H13" s="978"/>
      <c r="I13" s="978"/>
      <c r="J13" s="978"/>
      <c r="K13" s="978"/>
      <c r="L13" s="978"/>
      <c r="M13" s="978"/>
      <c r="N13" s="978"/>
      <c r="O13" s="978"/>
      <c r="P13" s="978"/>
      <c r="Q13" s="978"/>
      <c r="R13" s="978"/>
      <c r="S13" s="978"/>
      <c r="T13" s="978"/>
    </row>
    <row r="14" spans="1:20">
      <c r="A14" s="1371"/>
      <c r="B14" s="1371"/>
      <c r="C14" s="1372"/>
      <c r="D14" s="1371"/>
      <c r="E14" s="1372"/>
      <c r="F14" s="1373"/>
      <c r="G14" s="978"/>
      <c r="H14" s="978"/>
      <c r="I14" s="978"/>
      <c r="J14" s="978"/>
      <c r="K14" s="978"/>
      <c r="L14" s="978"/>
      <c r="M14" s="978"/>
      <c r="N14" s="978"/>
      <c r="O14" s="978"/>
      <c r="P14" s="978"/>
      <c r="Q14" s="978"/>
      <c r="R14" s="978"/>
      <c r="S14" s="978"/>
      <c r="T14" s="978"/>
    </row>
    <row r="16" spans="1:20" ht="18.75">
      <c r="A16" s="2291"/>
      <c r="B16" s="2291"/>
      <c r="C16" s="2291"/>
      <c r="D16" s="991"/>
      <c r="E16" s="990"/>
    </row>
    <row r="17" spans="1:5" ht="18.75">
      <c r="A17" s="993"/>
      <c r="B17" s="993"/>
      <c r="C17" s="993"/>
      <c r="D17" s="991"/>
      <c r="E17" s="990"/>
    </row>
    <row r="18" spans="1:5" ht="141.75" customHeight="1">
      <c r="A18" s="2147"/>
      <c r="B18" s="2301"/>
      <c r="C18" s="2301"/>
      <c r="D18" s="995"/>
      <c r="E18" s="994"/>
    </row>
    <row r="21" spans="1:5">
      <c r="E21" s="996"/>
    </row>
  </sheetData>
  <mergeCells count="13">
    <mergeCell ref="A13:E13"/>
    <mergeCell ref="A16:C16"/>
    <mergeCell ref="A18:C18"/>
    <mergeCell ref="A8:A10"/>
    <mergeCell ref="B8:C8"/>
    <mergeCell ref="D8:E9"/>
    <mergeCell ref="B9:C9"/>
    <mergeCell ref="A7:E7"/>
    <mergeCell ref="A2:E2"/>
    <mergeCell ref="A3:E3"/>
    <mergeCell ref="A4:E4"/>
    <mergeCell ref="A5:E5"/>
    <mergeCell ref="A6:E6"/>
  </mergeCells>
  <printOptions horizontalCentered="1"/>
  <pageMargins left="0.5" right="0.4" top="0.5" bottom="0.25" header="0" footer="0"/>
  <pageSetup firstPageNumber="8" fitToHeight="0" orientation="landscape" useFirstPageNumber="1" r:id="rId1"/>
  <headerFooter alignWithMargins="0">
    <oddFooter>&amp;C&amp;"Times New Roman,Regular"Exhibit J - Financial Analysis of Program Changes&amp;R&amp;"Times New Roman,Regular"Weed and Seed Program Fund</oddFooter>
  </headerFooter>
</worksheet>
</file>

<file path=xl/worksheets/sheet37.xml><?xml version="1.0" encoding="utf-8"?>
<worksheet xmlns="http://schemas.openxmlformats.org/spreadsheetml/2006/main" xmlns:r="http://schemas.openxmlformats.org/officeDocument/2006/relationships">
  <dimension ref="A1:O204"/>
  <sheetViews>
    <sheetView view="pageBreakPreview" zoomScale="75" zoomScaleNormal="75" zoomScaleSheetLayoutView="50" workbookViewId="0">
      <selection activeCell="M6" sqref="M6:M13"/>
    </sheetView>
  </sheetViews>
  <sheetFormatPr defaultRowHeight="15.75"/>
  <cols>
    <col min="1" max="1" width="62.6640625" style="1020" customWidth="1"/>
    <col min="2" max="2" width="8.88671875" style="1020"/>
    <col min="3" max="3" width="10.109375" style="1020" customWidth="1"/>
    <col min="4" max="4" width="8.88671875" style="1020"/>
    <col min="5" max="5" width="10.6640625" style="1020" customWidth="1"/>
    <col min="6" max="6" width="8.88671875" style="1020"/>
    <col min="7" max="7" width="10.5546875" style="1020" bestFit="1" customWidth="1"/>
    <col min="8" max="8" width="8.88671875" style="1020"/>
    <col min="9" max="9" width="10.33203125" style="1020" customWidth="1"/>
    <col min="10" max="12" width="0" style="1020" hidden="1" customWidth="1"/>
    <col min="13" max="13" width="1" style="1069" customWidth="1"/>
    <col min="14" max="14" width="8.88671875" style="949"/>
    <col min="15" max="16384" width="8.88671875" style="1020"/>
  </cols>
  <sheetData>
    <row r="1" spans="1:13" ht="19.149999999999999" customHeight="1">
      <c r="A1" s="2061" t="s">
        <v>236</v>
      </c>
      <c r="B1" s="2295"/>
      <c r="C1" s="2295"/>
      <c r="D1" s="2295"/>
      <c r="E1" s="2295"/>
      <c r="F1" s="2295"/>
      <c r="G1" s="2295"/>
      <c r="H1" s="2295"/>
      <c r="I1" s="2295"/>
      <c r="M1" s="1021" t="s">
        <v>0</v>
      </c>
    </row>
    <row r="2" spans="1:13" ht="19.149999999999999" customHeight="1">
      <c r="A2" s="2296"/>
      <c r="B2" s="2297"/>
      <c r="C2" s="2297"/>
      <c r="D2" s="2297"/>
      <c r="E2" s="2297"/>
      <c r="F2" s="2297"/>
      <c r="G2" s="2297"/>
      <c r="H2" s="2297"/>
      <c r="I2" s="2297"/>
      <c r="M2" s="1021" t="s">
        <v>0</v>
      </c>
    </row>
    <row r="3" spans="1:13" ht="18.75">
      <c r="A3" s="2298" t="s">
        <v>102</v>
      </c>
      <c r="B3" s="2295"/>
      <c r="C3" s="2295"/>
      <c r="D3" s="2295"/>
      <c r="E3" s="2295"/>
      <c r="F3" s="2295"/>
      <c r="G3" s="2295"/>
      <c r="H3" s="2295"/>
      <c r="I3" s="2295"/>
      <c r="M3" s="1021" t="s">
        <v>0</v>
      </c>
    </row>
    <row r="4" spans="1:13" ht="16.5">
      <c r="A4" s="2299" t="str">
        <f>+'B. Summ of Reqs - W&amp;S'!A5</f>
        <v>Office of Justice Programs</v>
      </c>
      <c r="B4" s="2295"/>
      <c r="C4" s="2295"/>
      <c r="D4" s="2295"/>
      <c r="E4" s="2295"/>
      <c r="F4" s="2295"/>
      <c r="G4" s="2295"/>
      <c r="H4" s="2295"/>
      <c r="I4" s="2295"/>
      <c r="M4" s="1021" t="s">
        <v>0</v>
      </c>
    </row>
    <row r="5" spans="1:13" ht="16.5">
      <c r="A5" s="2299" t="str">
        <f>+'B. Summ of Reqs - W&amp;S'!A6</f>
        <v>Weed and Seed Program Fund</v>
      </c>
      <c r="B5" s="2295"/>
      <c r="C5" s="2295"/>
      <c r="D5" s="2295"/>
      <c r="E5" s="2295"/>
      <c r="F5" s="2295"/>
      <c r="G5" s="2295"/>
      <c r="H5" s="2295"/>
      <c r="I5" s="2295"/>
      <c r="M5" s="1021" t="s">
        <v>0</v>
      </c>
    </row>
    <row r="6" spans="1:13">
      <c r="A6" s="2294" t="s">
        <v>257</v>
      </c>
      <c r="B6" s="2295"/>
      <c r="C6" s="2295"/>
      <c r="D6" s="2295"/>
      <c r="E6" s="2295"/>
      <c r="F6" s="2295"/>
      <c r="G6" s="2295"/>
      <c r="H6" s="2295"/>
      <c r="I6" s="2295"/>
      <c r="M6" s="1021" t="s">
        <v>0</v>
      </c>
    </row>
    <row r="7" spans="1:13" ht="11.25" customHeight="1">
      <c r="A7" s="2213"/>
      <c r="B7" s="2213"/>
      <c r="C7" s="2213"/>
      <c r="D7" s="2213"/>
      <c r="E7" s="2213"/>
      <c r="F7" s="2213"/>
      <c r="G7" s="2213"/>
      <c r="H7" s="2213"/>
      <c r="I7" s="2213"/>
      <c r="M7" s="1021" t="s">
        <v>0</v>
      </c>
    </row>
    <row r="8" spans="1:13" ht="44.25" customHeight="1">
      <c r="A8" s="2302" t="s">
        <v>99</v>
      </c>
      <c r="B8" s="2304" t="s">
        <v>808</v>
      </c>
      <c r="C8" s="2305"/>
      <c r="D8" s="2306" t="s">
        <v>330</v>
      </c>
      <c r="E8" s="2307"/>
      <c r="F8" s="2308" t="s">
        <v>42</v>
      </c>
      <c r="G8" s="2309"/>
      <c r="H8" s="2308" t="s">
        <v>361</v>
      </c>
      <c r="I8" s="2310"/>
      <c r="J8" s="684"/>
      <c r="M8" s="1021" t="s">
        <v>0</v>
      </c>
    </row>
    <row r="9" spans="1:13" ht="25.5" customHeight="1" thickBot="1">
      <c r="A9" s="2303"/>
      <c r="B9" s="1022" t="s">
        <v>49</v>
      </c>
      <c r="C9" s="1023" t="s">
        <v>279</v>
      </c>
      <c r="D9" s="1022" t="s">
        <v>49</v>
      </c>
      <c r="E9" s="1023" t="s">
        <v>279</v>
      </c>
      <c r="F9" s="1022" t="s">
        <v>49</v>
      </c>
      <c r="G9" s="1023" t="s">
        <v>279</v>
      </c>
      <c r="H9" s="1022" t="s">
        <v>49</v>
      </c>
      <c r="I9" s="1024" t="s">
        <v>279</v>
      </c>
      <c r="J9" s="684"/>
      <c r="M9" s="1021" t="s">
        <v>0</v>
      </c>
    </row>
    <row r="10" spans="1:13">
      <c r="A10" s="1025" t="s">
        <v>15</v>
      </c>
      <c r="B10" s="1026"/>
      <c r="C10" s="1027"/>
      <c r="D10" s="1026"/>
      <c r="E10" s="1027"/>
      <c r="F10" s="1026"/>
      <c r="G10" s="1027"/>
      <c r="H10" s="1026">
        <f t="shared" ref="H10:I10" si="0">F10-B10</f>
        <v>0</v>
      </c>
      <c r="I10" s="1028">
        <f t="shared" si="0"/>
        <v>0</v>
      </c>
      <c r="J10" s="684"/>
      <c r="M10" s="1021" t="s">
        <v>0</v>
      </c>
    </row>
    <row r="11" spans="1:13">
      <c r="A11" s="1029" t="s">
        <v>71</v>
      </c>
      <c r="B11" s="1026"/>
      <c r="C11" s="1030"/>
      <c r="D11" s="1026"/>
      <c r="E11" s="1030"/>
      <c r="F11" s="1026"/>
      <c r="G11" s="1030"/>
      <c r="H11" s="1026"/>
      <c r="I11" s="1632"/>
      <c r="J11" s="1032" t="s">
        <v>47</v>
      </c>
      <c r="K11" s="1020" t="s">
        <v>48</v>
      </c>
      <c r="M11" s="1021" t="s">
        <v>0</v>
      </c>
    </row>
    <row r="12" spans="1:13">
      <c r="A12" s="1029" t="s">
        <v>56</v>
      </c>
      <c r="B12" s="1033"/>
      <c r="C12" s="1030"/>
      <c r="D12" s="1033"/>
      <c r="E12" s="1030"/>
      <c r="F12" s="1033"/>
      <c r="G12" s="1030"/>
      <c r="H12" s="1026"/>
      <c r="I12" s="1031"/>
      <c r="J12" s="684">
        <v>93</v>
      </c>
      <c r="M12" s="1021" t="s">
        <v>0</v>
      </c>
    </row>
    <row r="13" spans="1:13">
      <c r="A13" s="1034" t="s">
        <v>58</v>
      </c>
      <c r="B13" s="1035"/>
      <c r="C13" s="1036"/>
      <c r="D13" s="1035"/>
      <c r="E13" s="1036"/>
      <c r="F13" s="1035"/>
      <c r="G13" s="1036"/>
      <c r="H13" s="1035"/>
      <c r="I13" s="1037"/>
      <c r="J13" s="684"/>
      <c r="M13" s="1021" t="s">
        <v>0</v>
      </c>
    </row>
    <row r="14" spans="1:13">
      <c r="A14" s="1034" t="s">
        <v>57</v>
      </c>
      <c r="B14" s="1035"/>
      <c r="C14" s="1036"/>
      <c r="D14" s="1035"/>
      <c r="E14" s="1036"/>
      <c r="F14" s="1035"/>
      <c r="G14" s="1036"/>
      <c r="H14" s="1035"/>
      <c r="I14" s="1037"/>
      <c r="J14" s="684"/>
      <c r="M14" s="1021" t="s">
        <v>0</v>
      </c>
    </row>
    <row r="15" spans="1:13">
      <c r="A15" s="1038" t="s">
        <v>59</v>
      </c>
      <c r="B15" s="1039"/>
      <c r="C15" s="1040"/>
      <c r="D15" s="1039"/>
      <c r="E15" s="1040"/>
      <c r="F15" s="1039"/>
      <c r="G15" s="1040"/>
      <c r="H15" s="1039"/>
      <c r="I15" s="1041"/>
      <c r="J15" s="684"/>
      <c r="M15" s="1021" t="s">
        <v>0</v>
      </c>
    </row>
    <row r="16" spans="1:13">
      <c r="A16" s="1042" t="s">
        <v>16</v>
      </c>
      <c r="B16" s="1043"/>
      <c r="C16" s="1044"/>
      <c r="D16" s="1043"/>
      <c r="E16" s="1044"/>
      <c r="F16" s="1043"/>
      <c r="G16" s="1045"/>
      <c r="H16" s="1044"/>
      <c r="I16" s="1045"/>
      <c r="J16" s="1046">
        <f>697+630+957+2333</f>
        <v>4617</v>
      </c>
      <c r="K16" s="1020">
        <f>2451-93</f>
        <v>2358</v>
      </c>
      <c r="L16" s="1020">
        <f>+E16-G16</f>
        <v>0</v>
      </c>
      <c r="M16" s="1021" t="s">
        <v>0</v>
      </c>
    </row>
    <row r="17" spans="1:15">
      <c r="A17" s="1029" t="s">
        <v>100</v>
      </c>
      <c r="B17" s="1026"/>
      <c r="C17" s="1030"/>
      <c r="D17" s="1026"/>
      <c r="E17" s="1030"/>
      <c r="F17" s="1026"/>
      <c r="G17" s="1030"/>
      <c r="H17" s="1026"/>
      <c r="I17" s="1031"/>
      <c r="J17" s="684"/>
      <c r="M17" s="1021" t="s">
        <v>0</v>
      </c>
    </row>
    <row r="18" spans="1:15">
      <c r="A18" s="1047" t="s">
        <v>61</v>
      </c>
      <c r="B18" s="1026"/>
      <c r="C18" s="1030"/>
      <c r="D18" s="1026"/>
      <c r="E18" s="1030"/>
      <c r="F18" s="1026"/>
      <c r="G18" s="1030"/>
      <c r="H18" s="1026"/>
      <c r="I18" s="1031"/>
      <c r="J18" s="684">
        <v>359</v>
      </c>
      <c r="K18" s="1020">
        <f>1171+93</f>
        <v>1264</v>
      </c>
      <c r="L18" s="1020">
        <f t="shared" ref="L18:L34" si="1">+E18-G18</f>
        <v>0</v>
      </c>
      <c r="M18" s="1021" t="s">
        <v>0</v>
      </c>
    </row>
    <row r="19" spans="1:15">
      <c r="A19" s="1047" t="s">
        <v>62</v>
      </c>
      <c r="B19" s="1026"/>
      <c r="C19" s="1030"/>
      <c r="D19" s="1026"/>
      <c r="E19" s="1030"/>
      <c r="F19" s="1026"/>
      <c r="G19" s="1030"/>
      <c r="H19" s="1026"/>
      <c r="I19" s="1031"/>
      <c r="J19" s="684"/>
      <c r="K19" s="1020">
        <v>110</v>
      </c>
      <c r="L19" s="1020">
        <f t="shared" si="1"/>
        <v>0</v>
      </c>
      <c r="M19" s="1021" t="s">
        <v>0</v>
      </c>
    </row>
    <row r="20" spans="1:15">
      <c r="A20" s="1047" t="s">
        <v>63</v>
      </c>
      <c r="B20" s="1026"/>
      <c r="C20" s="1030"/>
      <c r="D20" s="1026"/>
      <c r="E20" s="1030"/>
      <c r="F20" s="1026"/>
      <c r="G20" s="1030"/>
      <c r="H20" s="1026"/>
      <c r="I20" s="1031"/>
      <c r="J20" s="684"/>
      <c r="K20" s="1020">
        <v>0</v>
      </c>
      <c r="L20" s="1020">
        <f t="shared" si="1"/>
        <v>0</v>
      </c>
      <c r="M20" s="1021" t="s">
        <v>0</v>
      </c>
    </row>
    <row r="21" spans="1:15">
      <c r="A21" s="1047" t="s">
        <v>234</v>
      </c>
      <c r="B21" s="1026"/>
      <c r="C21" s="1030"/>
      <c r="D21" s="1026"/>
      <c r="E21" s="1030"/>
      <c r="F21" s="1026"/>
      <c r="G21" s="1030"/>
      <c r="H21" s="1026"/>
      <c r="I21" s="1031"/>
      <c r="J21" s="684">
        <f>4220-576</f>
        <v>3644</v>
      </c>
      <c r="L21" s="1020">
        <f t="shared" si="1"/>
        <v>0</v>
      </c>
      <c r="M21" s="1021" t="s">
        <v>0</v>
      </c>
    </row>
    <row r="22" spans="1:15">
      <c r="A22" s="1047" t="s">
        <v>36</v>
      </c>
      <c r="B22" s="1026"/>
      <c r="C22" s="1030"/>
      <c r="D22" s="1026"/>
      <c r="E22" s="1030"/>
      <c r="F22" s="1026"/>
      <c r="G22" s="1030"/>
      <c r="H22" s="1026"/>
      <c r="I22" s="1031"/>
      <c r="J22" s="684"/>
      <c r="L22" s="1020">
        <f t="shared" si="1"/>
        <v>0</v>
      </c>
      <c r="M22" s="1021" t="s">
        <v>0</v>
      </c>
    </row>
    <row r="23" spans="1:15">
      <c r="A23" s="1047" t="s">
        <v>64</v>
      </c>
      <c r="B23" s="1026"/>
      <c r="C23" s="1030"/>
      <c r="D23" s="1026"/>
      <c r="E23" s="1030"/>
      <c r="F23" s="1026"/>
      <c r="G23" s="1030"/>
      <c r="H23" s="1026"/>
      <c r="I23" s="1031"/>
      <c r="J23" s="684">
        <v>332</v>
      </c>
      <c r="K23" s="1020">
        <v>175</v>
      </c>
      <c r="L23" s="1020">
        <f t="shared" si="1"/>
        <v>0</v>
      </c>
      <c r="M23" s="1021" t="s">
        <v>0</v>
      </c>
    </row>
    <row r="24" spans="1:15">
      <c r="A24" s="1047" t="s">
        <v>65</v>
      </c>
      <c r="B24" s="1026"/>
      <c r="C24" s="1030"/>
      <c r="D24" s="1026"/>
      <c r="E24" s="1030"/>
      <c r="F24" s="1026"/>
      <c r="G24" s="1030"/>
      <c r="H24" s="1026"/>
      <c r="I24" s="1031"/>
      <c r="J24" s="684"/>
      <c r="L24" s="1020">
        <f t="shared" si="1"/>
        <v>0</v>
      </c>
      <c r="M24" s="1021" t="s">
        <v>0</v>
      </c>
    </row>
    <row r="25" spans="1:15">
      <c r="A25" s="1047" t="s">
        <v>66</v>
      </c>
      <c r="B25" s="1026"/>
      <c r="C25" s="1030"/>
      <c r="D25" s="1026"/>
      <c r="E25" s="1030"/>
      <c r="F25" s="1026"/>
      <c r="G25" s="1030"/>
      <c r="H25" s="1026"/>
      <c r="I25" s="1031"/>
      <c r="J25" s="684"/>
      <c r="K25" s="1020">
        <v>14918</v>
      </c>
      <c r="L25" s="1020">
        <f t="shared" si="1"/>
        <v>0</v>
      </c>
      <c r="M25" s="1021" t="s">
        <v>0</v>
      </c>
    </row>
    <row r="26" spans="1:15">
      <c r="A26" s="1047" t="s">
        <v>67</v>
      </c>
      <c r="B26" s="1026"/>
      <c r="C26" s="1030">
        <v>1124</v>
      </c>
      <c r="D26" s="1026"/>
      <c r="E26" s="1030"/>
      <c r="F26" s="1026"/>
      <c r="G26" s="1030"/>
      <c r="H26" s="1026"/>
      <c r="I26" s="1031"/>
      <c r="J26" s="684">
        <v>276</v>
      </c>
      <c r="K26" s="1020">
        <v>14853</v>
      </c>
      <c r="L26" s="1020">
        <f t="shared" si="1"/>
        <v>0</v>
      </c>
      <c r="M26" s="1021" t="s">
        <v>0</v>
      </c>
    </row>
    <row r="27" spans="1:15">
      <c r="A27" s="1047" t="s">
        <v>475</v>
      </c>
      <c r="B27" s="1026"/>
      <c r="C27" s="1030"/>
      <c r="D27" s="1026"/>
      <c r="E27" s="1030"/>
      <c r="F27" s="1026"/>
      <c r="G27" s="1030"/>
      <c r="H27" s="1026"/>
      <c r="I27" s="1031"/>
      <c r="J27" s="684"/>
      <c r="K27" s="1020">
        <v>135</v>
      </c>
      <c r="L27" s="1020">
        <f t="shared" si="1"/>
        <v>0</v>
      </c>
      <c r="M27" s="1021" t="s">
        <v>0</v>
      </c>
    </row>
    <row r="28" spans="1:15">
      <c r="A28" s="1047" t="s">
        <v>235</v>
      </c>
      <c r="B28" s="1026"/>
      <c r="C28" s="1030"/>
      <c r="D28" s="1026"/>
      <c r="E28" s="1030"/>
      <c r="F28" s="1026"/>
      <c r="G28" s="1030"/>
      <c r="H28" s="1026"/>
      <c r="I28" s="1031"/>
      <c r="J28" s="684"/>
      <c r="L28" s="1020">
        <f t="shared" si="1"/>
        <v>0</v>
      </c>
      <c r="M28" s="1021" t="s">
        <v>0</v>
      </c>
      <c r="O28" s="1046"/>
    </row>
    <row r="29" spans="1:15">
      <c r="A29" s="1047" t="s">
        <v>476</v>
      </c>
      <c r="B29" s="1026"/>
      <c r="C29" s="1030"/>
      <c r="D29" s="1026"/>
      <c r="E29" s="1030"/>
      <c r="F29" s="1026"/>
      <c r="G29" s="1030"/>
      <c r="H29" s="1026"/>
      <c r="I29" s="1031"/>
      <c r="J29" s="684"/>
      <c r="L29" s="1020">
        <f t="shared" si="1"/>
        <v>0</v>
      </c>
      <c r="M29" s="1021" t="s">
        <v>0</v>
      </c>
    </row>
    <row r="30" spans="1:15">
      <c r="A30" s="1047" t="s">
        <v>241</v>
      </c>
      <c r="B30" s="1026"/>
      <c r="C30" s="1030"/>
      <c r="D30" s="1026"/>
      <c r="E30" s="1030"/>
      <c r="F30" s="1026"/>
      <c r="G30" s="1030"/>
      <c r="H30" s="1026"/>
      <c r="I30" s="1031"/>
      <c r="J30" s="684"/>
      <c r="K30" s="1020">
        <v>10</v>
      </c>
      <c r="L30" s="1020">
        <f t="shared" si="1"/>
        <v>0</v>
      </c>
      <c r="M30" s="1021" t="s">
        <v>0</v>
      </c>
      <c r="O30" s="1046"/>
    </row>
    <row r="31" spans="1:15">
      <c r="A31" s="1047" t="s">
        <v>68</v>
      </c>
      <c r="B31" s="1026"/>
      <c r="C31" s="1030"/>
      <c r="D31" s="1026"/>
      <c r="E31" s="1030"/>
      <c r="F31" s="1026"/>
      <c r="G31" s="1030"/>
      <c r="H31" s="1026"/>
      <c r="I31" s="1031"/>
      <c r="J31" s="684"/>
      <c r="K31" s="1020">
        <v>85</v>
      </c>
      <c r="L31" s="1020">
        <f t="shared" si="1"/>
        <v>0</v>
      </c>
      <c r="M31" s="1021" t="s">
        <v>0</v>
      </c>
      <c r="O31" s="1046"/>
    </row>
    <row r="32" spans="1:15">
      <c r="A32" s="1047" t="s">
        <v>69</v>
      </c>
      <c r="B32" s="1026"/>
      <c r="C32" s="1030"/>
      <c r="D32" s="1026"/>
      <c r="E32" s="1030"/>
      <c r="F32" s="1026"/>
      <c r="G32" s="1030"/>
      <c r="H32" s="1026"/>
      <c r="I32" s="1031"/>
      <c r="J32" s="684"/>
      <c r="K32" s="1020">
        <v>37758</v>
      </c>
      <c r="L32" s="1020">
        <f>+E32-G32</f>
        <v>0</v>
      </c>
      <c r="M32" s="1021" t="s">
        <v>0</v>
      </c>
    </row>
    <row r="33" spans="1:13">
      <c r="A33" s="1047" t="s">
        <v>632</v>
      </c>
      <c r="B33" s="1026"/>
      <c r="C33" s="1030">
        <f>17624</f>
        <v>17624</v>
      </c>
      <c r="D33" s="1026"/>
      <c r="E33" s="1030">
        <v>22625</v>
      </c>
      <c r="F33" s="1026"/>
      <c r="G33" s="1030"/>
      <c r="H33" s="1026"/>
      <c r="I33" s="1031">
        <f>G33-E33</f>
        <v>-22625</v>
      </c>
      <c r="J33" s="684"/>
      <c r="K33" s="1020">
        <v>37758</v>
      </c>
      <c r="L33" s="1020">
        <f t="shared" si="1"/>
        <v>22625</v>
      </c>
      <c r="M33" s="1021" t="s">
        <v>0</v>
      </c>
    </row>
    <row r="34" spans="1:13">
      <c r="A34" s="1374" t="s">
        <v>70</v>
      </c>
      <c r="B34" s="1052"/>
      <c r="C34" s="1049">
        <f>SUM(C16:C33)</f>
        <v>18748</v>
      </c>
      <c r="D34" s="1052"/>
      <c r="E34" s="1049">
        <f>SUM(E16:E33)</f>
        <v>22625</v>
      </c>
      <c r="F34" s="1052"/>
      <c r="G34" s="1049">
        <f>SUM(G16:G33)</f>
        <v>0</v>
      </c>
      <c r="H34" s="1052"/>
      <c r="I34" s="1375">
        <f>SUM(I16:I33)</f>
        <v>-22625</v>
      </c>
      <c r="J34" s="684">
        <f>SUM(J12:J33)</f>
        <v>9321</v>
      </c>
      <c r="K34" s="1020">
        <f>SUM(K16:K33)</f>
        <v>109424</v>
      </c>
      <c r="L34" s="1020">
        <f t="shared" si="1"/>
        <v>22625</v>
      </c>
      <c r="M34" s="1021" t="s">
        <v>0</v>
      </c>
    </row>
    <row r="35" spans="1:13" ht="16.899999999999999" customHeight="1">
      <c r="A35" s="1051" t="s">
        <v>478</v>
      </c>
      <c r="B35" s="1062"/>
      <c r="C35" s="1322">
        <v>-906</v>
      </c>
      <c r="D35" s="1062"/>
      <c r="E35" s="1322">
        <v>-2625</v>
      </c>
      <c r="F35" s="1062"/>
      <c r="G35" s="1322"/>
      <c r="H35" s="1062"/>
      <c r="I35" s="1323"/>
      <c r="J35" s="684"/>
      <c r="M35" s="1021" t="s">
        <v>0</v>
      </c>
    </row>
    <row r="36" spans="1:13">
      <c r="A36" s="1051" t="s">
        <v>633</v>
      </c>
      <c r="B36" s="1062"/>
      <c r="C36" s="1322">
        <v>2625</v>
      </c>
      <c r="D36" s="1062"/>
      <c r="E36" s="1322"/>
      <c r="F36" s="1062"/>
      <c r="G36" s="1322"/>
      <c r="H36" s="1062"/>
      <c r="I36" s="1323"/>
      <c r="J36" s="684"/>
      <c r="M36" s="1021" t="s">
        <v>0</v>
      </c>
    </row>
    <row r="37" spans="1:13">
      <c r="A37" s="1051" t="s">
        <v>634</v>
      </c>
      <c r="B37" s="1062"/>
      <c r="C37" s="1322">
        <v>453</v>
      </c>
      <c r="D37" s="1062"/>
      <c r="E37" s="1322"/>
      <c r="F37" s="1062"/>
      <c r="G37" s="1322"/>
      <c r="H37" s="1062"/>
      <c r="I37" s="1323"/>
      <c r="J37" s="684"/>
      <c r="M37" s="1021" t="s">
        <v>0</v>
      </c>
    </row>
    <row r="38" spans="1:13">
      <c r="A38" s="1051" t="s">
        <v>481</v>
      </c>
      <c r="B38" s="1062"/>
      <c r="C38" s="1322">
        <v>-1548</v>
      </c>
      <c r="D38" s="1062"/>
      <c r="E38" s="1322"/>
      <c r="F38" s="1062"/>
      <c r="G38" s="1322"/>
      <c r="H38" s="1062"/>
      <c r="I38" s="1323"/>
      <c r="J38" s="684"/>
      <c r="M38" s="1021" t="s">
        <v>0</v>
      </c>
    </row>
    <row r="39" spans="1:13">
      <c r="A39" s="1051" t="s">
        <v>412</v>
      </c>
      <c r="B39" s="1062"/>
      <c r="C39" s="1322">
        <v>628</v>
      </c>
      <c r="D39" s="1062"/>
      <c r="E39" s="1322"/>
      <c r="F39" s="1062"/>
      <c r="G39" s="1322"/>
      <c r="H39" s="1062"/>
      <c r="I39" s="1323"/>
      <c r="J39" s="684"/>
      <c r="M39" s="1021" t="s">
        <v>0</v>
      </c>
    </row>
    <row r="40" spans="1:13" ht="16.5" thickBot="1">
      <c r="A40" s="1054" t="s">
        <v>1</v>
      </c>
      <c r="B40" s="1376"/>
      <c r="C40" s="1377">
        <f>SUM(C34:C39)</f>
        <v>20000</v>
      </c>
      <c r="D40" s="1376"/>
      <c r="E40" s="1377">
        <f>SUM(E34:E39)</f>
        <v>20000</v>
      </c>
      <c r="F40" s="1376"/>
      <c r="G40" s="1377">
        <f>SUM(G34:G39)</f>
        <v>0</v>
      </c>
      <c r="H40" s="1376"/>
      <c r="I40" s="1378"/>
      <c r="J40" s="684"/>
      <c r="M40" s="1021" t="s">
        <v>0</v>
      </c>
    </row>
    <row r="41" spans="1:13">
      <c r="A41" s="1056"/>
      <c r="B41" s="1057"/>
      <c r="C41" s="1058"/>
      <c r="D41" s="1057"/>
      <c r="E41" s="1058"/>
      <c r="F41" s="1057"/>
      <c r="G41" s="1058"/>
      <c r="H41" s="1057"/>
      <c r="I41" s="1059"/>
      <c r="J41" s="684"/>
      <c r="M41" s="1021" t="s">
        <v>0</v>
      </c>
    </row>
    <row r="42" spans="1:13">
      <c r="A42" s="1060" t="s">
        <v>268</v>
      </c>
      <c r="B42" s="1026"/>
      <c r="C42" s="1030"/>
      <c r="D42" s="1026"/>
      <c r="E42" s="1030"/>
      <c r="F42" s="1026"/>
      <c r="G42" s="1030"/>
      <c r="H42" s="1026"/>
      <c r="I42" s="1031"/>
      <c r="J42" s="684"/>
      <c r="M42" s="1021" t="s">
        <v>0</v>
      </c>
    </row>
    <row r="43" spans="1:13">
      <c r="A43" s="1047" t="s">
        <v>60</v>
      </c>
      <c r="B43" s="1061"/>
      <c r="C43" s="1027"/>
      <c r="D43" s="1061"/>
      <c r="E43" s="1027"/>
      <c r="F43" s="1061"/>
      <c r="G43" s="1027"/>
      <c r="H43" s="1062"/>
      <c r="I43" s="1028"/>
      <c r="J43" s="684"/>
      <c r="M43" s="1021" t="s">
        <v>0</v>
      </c>
    </row>
    <row r="44" spans="1:13">
      <c r="A44" s="1029" t="s">
        <v>2</v>
      </c>
      <c r="B44" s="1026"/>
      <c r="C44" s="1027"/>
      <c r="D44" s="1026"/>
      <c r="E44" s="1027"/>
      <c r="F44" s="1026"/>
      <c r="G44" s="1027"/>
      <c r="H44" s="1062"/>
      <c r="I44" s="1028"/>
      <c r="J44" s="684"/>
      <c r="M44" s="1021" t="s">
        <v>0</v>
      </c>
    </row>
    <row r="45" spans="1:13">
      <c r="A45" s="1038" t="s">
        <v>3</v>
      </c>
      <c r="B45" s="1063"/>
      <c r="C45" s="1064"/>
      <c r="D45" s="1063"/>
      <c r="E45" s="1064"/>
      <c r="F45" s="1063"/>
      <c r="G45" s="1064"/>
      <c r="H45" s="1065"/>
      <c r="I45" s="1066"/>
      <c r="J45" s="684"/>
      <c r="M45" s="1021" t="s">
        <v>0</v>
      </c>
    </row>
    <row r="46" spans="1:13">
      <c r="A46" s="928"/>
      <c r="B46" s="1067"/>
      <c r="C46" s="1067"/>
      <c r="D46" s="1067"/>
      <c r="E46" s="1067"/>
      <c r="F46" s="1067"/>
      <c r="G46" s="1067"/>
      <c r="H46" s="1067"/>
      <c r="I46" s="1067"/>
      <c r="J46" s="684"/>
      <c r="M46" s="1021" t="s">
        <v>24</v>
      </c>
    </row>
    <row r="47" spans="1:13">
      <c r="A47" s="2311"/>
      <c r="B47" s="2312"/>
      <c r="C47" s="2312"/>
      <c r="D47" s="2312"/>
      <c r="E47" s="2312"/>
      <c r="F47" s="2312"/>
      <c r="G47" s="2312"/>
      <c r="H47" s="2312"/>
      <c r="I47" s="2312"/>
      <c r="J47" s="2312"/>
      <c r="K47" s="2312"/>
      <c r="L47" s="2312"/>
      <c r="M47" s="2312"/>
    </row>
    <row r="48" spans="1:13">
      <c r="H48" s="1068"/>
      <c r="I48" s="1068"/>
      <c r="J48" s="684"/>
    </row>
    <row r="49" spans="1:14">
      <c r="A49" s="2313"/>
      <c r="B49" s="2313"/>
      <c r="C49" s="2313"/>
      <c r="D49" s="2313"/>
      <c r="E49" s="2313"/>
      <c r="F49" s="2313"/>
      <c r="G49" s="2313"/>
      <c r="H49" s="1067"/>
      <c r="I49" s="1067"/>
      <c r="J49" s="684"/>
    </row>
    <row r="50" spans="1:14">
      <c r="A50" s="1070"/>
      <c r="B50" s="1071"/>
      <c r="C50" s="1071"/>
      <c r="D50" s="1071"/>
      <c r="E50" s="1071"/>
      <c r="F50" s="1071"/>
      <c r="G50" s="1071"/>
      <c r="H50" s="1067"/>
      <c r="I50" s="1067"/>
      <c r="J50" s="684"/>
    </row>
    <row r="51" spans="1:14" ht="41.25" customHeight="1">
      <c r="A51" s="2314"/>
      <c r="B51" s="2315"/>
      <c r="C51" s="2315"/>
      <c r="D51" s="2315"/>
      <c r="E51" s="2315"/>
      <c r="F51" s="2315"/>
      <c r="G51" s="2315"/>
      <c r="H51" s="995"/>
      <c r="I51" s="1072"/>
      <c r="J51" s="684"/>
    </row>
    <row r="52" spans="1:14" ht="14.25" customHeight="1">
      <c r="A52" s="1070"/>
      <c r="B52" s="1073"/>
      <c r="C52" s="1073"/>
      <c r="D52" s="1073"/>
      <c r="E52" s="1073"/>
      <c r="F52" s="1073"/>
      <c r="G52" s="1073"/>
      <c r="H52" s="995"/>
      <c r="I52" s="995"/>
      <c r="J52" s="684"/>
    </row>
    <row r="53" spans="1:14" ht="77.25" customHeight="1">
      <c r="A53" s="2147"/>
      <c r="B53" s="2147"/>
      <c r="C53" s="2147"/>
      <c r="D53" s="2147"/>
      <c r="E53" s="2147"/>
      <c r="F53" s="2147"/>
      <c r="G53" s="2147"/>
      <c r="H53" s="1074"/>
      <c r="I53" s="1072"/>
      <c r="J53" s="684"/>
    </row>
    <row r="54" spans="1:14" ht="12.75" customHeight="1">
      <c r="A54" s="1070"/>
      <c r="B54" s="1073"/>
      <c r="C54" s="1073"/>
      <c r="D54" s="1073"/>
      <c r="E54" s="1073"/>
      <c r="F54" s="1073"/>
      <c r="G54" s="1073"/>
      <c r="H54" s="995"/>
      <c r="I54" s="995"/>
      <c r="J54" s="684"/>
    </row>
    <row r="55" spans="1:14" ht="54" customHeight="1">
      <c r="A55" s="2147"/>
      <c r="B55" s="2301"/>
      <c r="C55" s="2301"/>
      <c r="D55" s="2301"/>
      <c r="E55" s="2301"/>
      <c r="F55" s="2301"/>
      <c r="G55" s="2301"/>
      <c r="H55" s="1074"/>
      <c r="I55" s="1072"/>
      <c r="J55" s="684"/>
    </row>
    <row r="56" spans="1:14" ht="43.5" customHeight="1">
      <c r="A56" s="2300"/>
      <c r="B56" s="2301"/>
      <c r="C56" s="2301"/>
      <c r="D56" s="2301"/>
      <c r="E56" s="2301"/>
      <c r="F56" s="2301"/>
      <c r="G56" s="2301"/>
      <c r="H56" s="995"/>
      <c r="I56" s="995"/>
      <c r="J56" s="684"/>
    </row>
    <row r="57" spans="1:14" ht="62.25" customHeight="1">
      <c r="A57" s="1075"/>
      <c r="B57" s="2147"/>
      <c r="C57" s="2147"/>
      <c r="D57" s="2147"/>
      <c r="E57" s="2147"/>
      <c r="F57" s="2147"/>
      <c r="G57" s="2147"/>
      <c r="H57" s="995"/>
      <c r="I57" s="995"/>
      <c r="J57" s="684"/>
    </row>
    <row r="58" spans="1:14" ht="12" customHeight="1">
      <c r="A58" s="1075"/>
      <c r="B58" s="1073"/>
      <c r="C58" s="1073"/>
      <c r="D58" s="1073"/>
      <c r="E58" s="1073"/>
      <c r="F58" s="1073"/>
      <c r="G58" s="1073"/>
      <c r="H58" s="995"/>
      <c r="I58" s="995"/>
      <c r="J58" s="684"/>
    </row>
    <row r="59" spans="1:14" ht="64.5" customHeight="1">
      <c r="A59" s="2317" t="s">
        <v>622</v>
      </c>
      <c r="B59" s="2318"/>
      <c r="C59" s="2318"/>
      <c r="D59" s="2318"/>
      <c r="E59" s="2318"/>
      <c r="F59" s="2318"/>
      <c r="G59" s="2318"/>
      <c r="H59" s="995"/>
      <c r="I59" s="995"/>
      <c r="J59" s="684"/>
    </row>
    <row r="60" spans="1:14" ht="47.25" customHeight="1">
      <c r="A60" s="2317" t="s">
        <v>623</v>
      </c>
      <c r="B60" s="2301"/>
      <c r="C60" s="2301"/>
      <c r="D60" s="2301"/>
      <c r="E60" s="2301"/>
      <c r="F60" s="2301"/>
      <c r="G60" s="2301"/>
      <c r="H60" s="995"/>
      <c r="I60" s="995"/>
      <c r="J60" s="684"/>
    </row>
    <row r="61" spans="1:14" ht="60" customHeight="1">
      <c r="A61" s="2317" t="s">
        <v>624</v>
      </c>
      <c r="B61" s="2301"/>
      <c r="C61" s="2301"/>
      <c r="D61" s="2301"/>
      <c r="E61" s="2301"/>
      <c r="F61" s="2301"/>
      <c r="G61" s="2301"/>
      <c r="H61" s="995"/>
      <c r="I61" s="995"/>
      <c r="J61" s="684"/>
    </row>
    <row r="62" spans="1:14" ht="15" customHeight="1">
      <c r="A62" s="2256" t="s">
        <v>625</v>
      </c>
      <c r="B62" s="2256"/>
      <c r="C62" s="2256"/>
      <c r="D62" s="2256"/>
      <c r="E62" s="2256"/>
      <c r="F62" s="2256"/>
      <c r="G62" s="2256"/>
      <c r="H62" s="2256"/>
      <c r="I62" s="2256"/>
      <c r="J62" s="2256"/>
      <c r="K62" s="2256"/>
      <c r="L62" s="2256"/>
      <c r="M62" s="2256"/>
      <c r="N62" s="2257"/>
    </row>
    <row r="63" spans="1:14" ht="22.9" customHeight="1">
      <c r="A63" s="1076"/>
      <c r="B63" s="2316"/>
      <c r="C63" s="2316"/>
      <c r="D63" s="2316"/>
      <c r="E63" s="2316"/>
      <c r="F63" s="2316"/>
      <c r="G63" s="2316"/>
      <c r="H63" s="2316"/>
      <c r="I63" s="2316"/>
      <c r="J63" s="684"/>
    </row>
    <row r="64" spans="1:14">
      <c r="A64" s="1076"/>
      <c r="B64" s="1076"/>
      <c r="C64" s="1076"/>
      <c r="D64" s="1076"/>
      <c r="E64" s="1076"/>
      <c r="F64" s="1076"/>
      <c r="G64" s="1076"/>
      <c r="H64" s="1077"/>
      <c r="I64" s="1078"/>
      <c r="J64" s="684"/>
    </row>
    <row r="65" spans="1:10">
      <c r="A65" s="1076"/>
      <c r="B65" s="1076"/>
      <c r="C65" s="1076"/>
      <c r="D65" s="1076"/>
      <c r="E65" s="1076"/>
      <c r="F65" s="1076"/>
      <c r="G65" s="1076"/>
      <c r="H65" s="1078"/>
      <c r="I65" s="1078"/>
      <c r="J65" s="684"/>
    </row>
    <row r="66" spans="1:10">
      <c r="A66" s="1076"/>
      <c r="B66" s="1076"/>
      <c r="C66" s="1076"/>
      <c r="D66" s="1076"/>
      <c r="E66" s="1076"/>
      <c r="F66" s="1076"/>
      <c r="G66" s="1076"/>
      <c r="H66" s="1078"/>
      <c r="I66" s="1078"/>
      <c r="J66" s="684"/>
    </row>
    <row r="67" spans="1:10" ht="65.45" customHeight="1">
      <c r="A67" s="1076"/>
      <c r="B67" s="2316"/>
      <c r="C67" s="2316"/>
      <c r="D67" s="2316"/>
      <c r="E67" s="2316"/>
      <c r="F67" s="2316"/>
      <c r="G67" s="2316"/>
      <c r="H67" s="2316"/>
      <c r="I67" s="2316"/>
      <c r="J67" s="684"/>
    </row>
    <row r="68" spans="1:10">
      <c r="H68" s="1079"/>
      <c r="I68" s="1079"/>
      <c r="J68" s="684"/>
    </row>
    <row r="69" spans="1:10">
      <c r="H69" s="1079"/>
      <c r="I69" s="1080"/>
      <c r="J69" s="684"/>
    </row>
    <row r="70" spans="1:10">
      <c r="H70" s="1079"/>
      <c r="I70" s="1079"/>
      <c r="J70" s="684"/>
    </row>
    <row r="71" spans="1:10">
      <c r="H71" s="1079"/>
      <c r="I71" s="1079"/>
      <c r="J71" s="684"/>
    </row>
    <row r="72" spans="1:10">
      <c r="H72" s="1079"/>
      <c r="I72" s="1079"/>
      <c r="J72" s="684"/>
    </row>
    <row r="73" spans="1:10">
      <c r="H73" s="1079"/>
      <c r="I73" s="1079"/>
      <c r="J73" s="684"/>
    </row>
    <row r="74" spans="1:10">
      <c r="H74" s="1079"/>
      <c r="I74" s="1079"/>
      <c r="J74" s="684"/>
    </row>
    <row r="75" spans="1:10">
      <c r="H75" s="1079"/>
      <c r="I75" s="1079"/>
      <c r="J75" s="684"/>
    </row>
    <row r="76" spans="1:10">
      <c r="H76" s="1079"/>
      <c r="I76" s="1079"/>
      <c r="J76" s="684"/>
    </row>
    <row r="77" spans="1:10">
      <c r="H77" s="1079"/>
      <c r="I77" s="1079"/>
      <c r="J77" s="684"/>
    </row>
    <row r="78" spans="1:10">
      <c r="H78" s="1079"/>
      <c r="I78" s="1079"/>
      <c r="J78" s="684"/>
    </row>
    <row r="79" spans="1:10">
      <c r="H79" s="1079"/>
      <c r="I79" s="1079"/>
      <c r="J79" s="684"/>
    </row>
    <row r="80" spans="1:10">
      <c r="H80" s="1079"/>
      <c r="I80" s="1081"/>
      <c r="J80" s="684"/>
    </row>
    <row r="81" spans="8:10">
      <c r="H81" s="1079"/>
      <c r="I81" s="1081"/>
      <c r="J81" s="684"/>
    </row>
    <row r="82" spans="8:10">
      <c r="H82" s="1079"/>
      <c r="I82" s="1079"/>
      <c r="J82" s="684"/>
    </row>
    <row r="83" spans="8:10">
      <c r="H83" s="1079"/>
      <c r="I83" s="1079"/>
      <c r="J83" s="684"/>
    </row>
    <row r="84" spans="8:10">
      <c r="H84" s="1079"/>
      <c r="I84" s="1079"/>
      <c r="J84" s="684"/>
    </row>
    <row r="85" spans="8:10">
      <c r="H85" s="1079"/>
      <c r="I85" s="1079"/>
      <c r="J85" s="684"/>
    </row>
    <row r="86" spans="8:10">
      <c r="H86" s="1079"/>
      <c r="I86" s="1079"/>
      <c r="J86" s="684"/>
    </row>
    <row r="87" spans="8:10">
      <c r="H87" s="1079"/>
      <c r="I87" s="1079"/>
      <c r="J87" s="684"/>
    </row>
    <row r="88" spans="8:10">
      <c r="H88" s="1079"/>
      <c r="I88" s="1079"/>
      <c r="J88" s="684"/>
    </row>
    <row r="89" spans="8:10">
      <c r="H89" s="1079"/>
      <c r="I89" s="1079"/>
      <c r="J89" s="684"/>
    </row>
    <row r="90" spans="8:10">
      <c r="H90" s="1079"/>
      <c r="I90" s="1079"/>
      <c r="J90" s="684"/>
    </row>
    <row r="91" spans="8:10">
      <c r="H91" s="1079"/>
      <c r="I91" s="1079"/>
      <c r="J91" s="684"/>
    </row>
    <row r="92" spans="8:10">
      <c r="H92" s="1079"/>
      <c r="I92" s="1079"/>
      <c r="J92" s="684"/>
    </row>
    <row r="93" spans="8:10">
      <c r="H93" s="1079"/>
      <c r="I93" s="1079"/>
      <c r="J93" s="684"/>
    </row>
    <row r="94" spans="8:10">
      <c r="H94" s="1079"/>
      <c r="I94" s="1079"/>
      <c r="J94" s="684"/>
    </row>
    <row r="95" spans="8:10">
      <c r="H95" s="1082"/>
      <c r="I95" s="1079"/>
      <c r="J95" s="684"/>
    </row>
    <row r="96" spans="8:10">
      <c r="H96" s="684"/>
      <c r="I96" s="684"/>
      <c r="J96" s="684"/>
    </row>
    <row r="97" spans="8:10">
      <c r="H97" s="1083"/>
      <c r="I97" s="1083"/>
      <c r="J97" s="684"/>
    </row>
    <row r="98" spans="8:10">
      <c r="H98" s="1083"/>
      <c r="I98" s="1083"/>
      <c r="J98" s="684"/>
    </row>
    <row r="99" spans="8:10">
      <c r="H99" s="1083"/>
      <c r="I99" s="1083"/>
      <c r="J99" s="684"/>
    </row>
    <row r="100" spans="8:10">
      <c r="H100" s="1083"/>
      <c r="I100" s="1083"/>
      <c r="J100" s="684"/>
    </row>
    <row r="101" spans="8:10">
      <c r="J101" s="684"/>
    </row>
    <row r="102" spans="8:10">
      <c r="J102" s="684"/>
    </row>
    <row r="204" spans="1:1">
      <c r="A204" s="1020" t="s">
        <v>232</v>
      </c>
    </row>
  </sheetData>
  <mergeCells count="25">
    <mergeCell ref="B67:I67"/>
    <mergeCell ref="B57:G57"/>
    <mergeCell ref="A59:G59"/>
    <mergeCell ref="A60:G60"/>
    <mergeCell ref="A61:G61"/>
    <mergeCell ref="A62:N62"/>
    <mergeCell ref="B63:I63"/>
    <mergeCell ref="A56:G56"/>
    <mergeCell ref="A7:I7"/>
    <mergeCell ref="A8:A9"/>
    <mergeCell ref="B8:C8"/>
    <mergeCell ref="D8:E8"/>
    <mergeCell ref="F8:G8"/>
    <mergeCell ref="H8:I8"/>
    <mergeCell ref="A47:M47"/>
    <mergeCell ref="A49:G49"/>
    <mergeCell ref="A51:G51"/>
    <mergeCell ref="A53:G53"/>
    <mergeCell ref="A55:G55"/>
    <mergeCell ref="A6:I6"/>
    <mergeCell ref="A1:I1"/>
    <mergeCell ref="A2:I2"/>
    <mergeCell ref="A3:I3"/>
    <mergeCell ref="A4:I4"/>
    <mergeCell ref="A5:I5"/>
  </mergeCells>
  <printOptions horizontalCentered="1"/>
  <pageMargins left="0.5" right="0.4" top="0.5" bottom="0.25" header="0" footer="0"/>
  <pageSetup scale="73" firstPageNumber="8" fitToHeight="0" orientation="landscape" useFirstPageNumber="1" r:id="rId1"/>
  <headerFooter alignWithMargins="0">
    <oddFooter>&amp;C&amp;"Times New Roman,Regular"Exhibit L - Summary of Requirements by Object Class&amp;R&amp;"Times New Roman,Regular"Weed and Seed Program Fund</oddFooter>
  </headerFooter>
</worksheet>
</file>

<file path=xl/worksheets/sheet38.xml><?xml version="1.0" encoding="utf-8"?>
<worksheet xmlns="http://schemas.openxmlformats.org/spreadsheetml/2006/main" xmlns:r="http://schemas.openxmlformats.org/officeDocument/2006/relationships">
  <sheetPr>
    <pageSetUpPr fitToPage="1"/>
  </sheetPr>
  <dimension ref="A2:AA102"/>
  <sheetViews>
    <sheetView showGridLines="0" showOutlineSymbols="0" view="pageBreakPreview" zoomScale="50" zoomScaleNormal="100" zoomScaleSheetLayoutView="50" workbookViewId="0">
      <selection activeCell="A2" sqref="A2:Z2"/>
    </sheetView>
  </sheetViews>
  <sheetFormatPr defaultColWidth="9.6640625" defaultRowHeight="15.75"/>
  <cols>
    <col min="1" max="2" width="2.5546875" style="663" customWidth="1"/>
    <col min="3" max="3" width="55" style="663" customWidth="1"/>
    <col min="4" max="4" width="6.88671875" style="684" customWidth="1"/>
    <col min="5" max="5" width="6.21875" style="684" customWidth="1"/>
    <col min="6" max="6" width="13" style="684" bestFit="1" customWidth="1"/>
    <col min="7" max="7" width="8.44140625" style="684" bestFit="1" customWidth="1"/>
    <col min="8" max="8" width="6.21875" style="684" customWidth="1"/>
    <col min="9" max="9" width="13" style="684" bestFit="1" customWidth="1"/>
    <col min="10" max="10" width="6.21875" style="684" bestFit="1" customWidth="1"/>
    <col min="11" max="11" width="5.6640625" style="684" customWidth="1"/>
    <col min="12" max="12" width="9.33203125" style="684" bestFit="1" customWidth="1"/>
    <col min="13" max="13" width="7" style="684" bestFit="1" customWidth="1"/>
    <col min="14" max="14" width="6.109375" style="684" customWidth="1"/>
    <col min="15" max="15" width="13" style="684" bestFit="1" customWidth="1"/>
    <col min="16" max="17" width="5.6640625" style="684" customWidth="1"/>
    <col min="18" max="18" width="13" style="684" bestFit="1" customWidth="1"/>
    <col min="19" max="19" width="6.109375" style="684" hidden="1" customWidth="1"/>
    <col min="20" max="20" width="5.6640625" style="684" hidden="1" customWidth="1"/>
    <col min="21" max="21" width="7.21875" style="684" customWidth="1"/>
    <col min="22" max="22" width="7.5546875" style="684" customWidth="1"/>
    <col min="23" max="23" width="13" style="684" bestFit="1" customWidth="1"/>
    <col min="24" max="24" width="6.88671875" style="684" customWidth="1"/>
    <col min="25" max="25" width="8.44140625" style="684" customWidth="1"/>
    <col min="26" max="26" width="13.88671875" style="684" customWidth="1"/>
    <col min="27" max="27" width="6.5546875" style="745" customWidth="1"/>
    <col min="28" max="28" width="6.5546875" style="663" customWidth="1"/>
    <col min="29" max="29" width="7.6640625" style="663" customWidth="1"/>
    <col min="30" max="16384" width="9.6640625" style="663"/>
  </cols>
  <sheetData>
    <row r="2" spans="1:27" ht="20.25">
      <c r="A2" s="2061" t="s">
        <v>34</v>
      </c>
      <c r="B2" s="2062"/>
      <c r="C2" s="2062"/>
      <c r="D2" s="2062"/>
      <c r="E2" s="2062"/>
      <c r="F2" s="2062"/>
      <c r="G2" s="2062"/>
      <c r="H2" s="2062"/>
      <c r="I2" s="2062"/>
      <c r="J2" s="2062"/>
      <c r="K2" s="2062"/>
      <c r="L2" s="2062"/>
      <c r="M2" s="2062"/>
      <c r="N2" s="2062"/>
      <c r="O2" s="2062"/>
      <c r="P2" s="2062"/>
      <c r="Q2" s="2062"/>
      <c r="R2" s="2062"/>
      <c r="S2" s="2062"/>
      <c r="T2" s="2062"/>
      <c r="U2" s="2062"/>
      <c r="V2" s="2062"/>
      <c r="W2" s="2062"/>
      <c r="X2" s="2062"/>
      <c r="Y2" s="2062"/>
      <c r="Z2" s="2062"/>
      <c r="AA2" s="662" t="s">
        <v>0</v>
      </c>
    </row>
    <row r="3" spans="1:27">
      <c r="A3" s="2063"/>
      <c r="B3" s="2063"/>
      <c r="C3" s="2063"/>
      <c r="D3" s="2063"/>
      <c r="E3" s="2063"/>
      <c r="F3" s="2063"/>
      <c r="G3" s="2063"/>
      <c r="H3" s="2063"/>
      <c r="I3" s="2063"/>
      <c r="J3" s="2063"/>
      <c r="K3" s="2063"/>
      <c r="L3" s="2063"/>
      <c r="M3" s="2063"/>
      <c r="N3" s="2063"/>
      <c r="O3" s="2063"/>
      <c r="P3" s="2063"/>
      <c r="Q3" s="2063"/>
      <c r="R3" s="2063"/>
      <c r="S3" s="2063"/>
      <c r="T3" s="2063"/>
      <c r="U3" s="2063"/>
      <c r="V3" s="2063"/>
      <c r="W3" s="2063"/>
      <c r="X3" s="2063"/>
      <c r="Y3" s="2063"/>
      <c r="Z3" s="2063"/>
      <c r="AA3" s="662" t="s">
        <v>0</v>
      </c>
    </row>
    <row r="4" spans="1:27">
      <c r="A4" s="2064"/>
      <c r="B4" s="2064"/>
      <c r="C4" s="2064"/>
      <c r="D4" s="2064"/>
      <c r="E4" s="2064"/>
      <c r="F4" s="2064"/>
      <c r="G4" s="2064"/>
      <c r="H4" s="2064"/>
      <c r="I4" s="2064"/>
      <c r="J4" s="2064"/>
      <c r="K4" s="2064"/>
      <c r="L4" s="2064"/>
      <c r="M4" s="2064"/>
      <c r="N4" s="2064"/>
      <c r="O4" s="2064"/>
      <c r="P4" s="2064"/>
      <c r="Q4" s="2064"/>
      <c r="R4" s="2064"/>
      <c r="S4" s="2064"/>
      <c r="T4" s="2064"/>
      <c r="U4" s="2064"/>
      <c r="V4" s="2064"/>
      <c r="W4" s="2064"/>
      <c r="X4" s="2064"/>
      <c r="Y4" s="2064"/>
      <c r="Z4" s="2064"/>
      <c r="AA4" s="662" t="s">
        <v>0</v>
      </c>
    </row>
    <row r="5" spans="1:27" ht="22.5">
      <c r="A5" s="2065" t="s">
        <v>267</v>
      </c>
      <c r="B5" s="2060"/>
      <c r="C5" s="2060"/>
      <c r="D5" s="2060"/>
      <c r="E5" s="2060"/>
      <c r="F5" s="2060"/>
      <c r="G5" s="2060"/>
      <c r="H5" s="2060"/>
      <c r="I5" s="2060"/>
      <c r="J5" s="2060"/>
      <c r="K5" s="2060"/>
      <c r="L5" s="2060"/>
      <c r="M5" s="2060"/>
      <c r="N5" s="2060"/>
      <c r="O5" s="2060"/>
      <c r="P5" s="2060"/>
      <c r="Q5" s="2060"/>
      <c r="R5" s="2060"/>
      <c r="S5" s="2060"/>
      <c r="T5" s="2060"/>
      <c r="U5" s="2060"/>
      <c r="V5" s="2060"/>
      <c r="W5" s="2060"/>
      <c r="X5" s="2060"/>
      <c r="Y5" s="2060"/>
      <c r="Z5" s="2060"/>
      <c r="AA5" s="662" t="s">
        <v>0</v>
      </c>
    </row>
    <row r="6" spans="1:27" ht="23.25">
      <c r="A6" s="2059" t="s">
        <v>362</v>
      </c>
      <c r="B6" s="2066"/>
      <c r="C6" s="2066"/>
      <c r="D6" s="2066"/>
      <c r="E6" s="2066"/>
      <c r="F6" s="2066"/>
      <c r="G6" s="2066"/>
      <c r="H6" s="2066"/>
      <c r="I6" s="2066"/>
      <c r="J6" s="2066"/>
      <c r="K6" s="2066"/>
      <c r="L6" s="2066"/>
      <c r="M6" s="2066"/>
      <c r="N6" s="2066"/>
      <c r="O6" s="2066"/>
      <c r="P6" s="2066"/>
      <c r="Q6" s="2066"/>
      <c r="R6" s="2066"/>
      <c r="S6" s="2066"/>
      <c r="T6" s="2066"/>
      <c r="U6" s="2066"/>
      <c r="V6" s="2066"/>
      <c r="W6" s="2066"/>
      <c r="X6" s="2066"/>
      <c r="Y6" s="2066"/>
      <c r="Z6" s="2066"/>
      <c r="AA6" s="662" t="s">
        <v>0</v>
      </c>
    </row>
    <row r="7" spans="1:27" ht="23.25">
      <c r="A7" s="2059" t="s">
        <v>658</v>
      </c>
      <c r="B7" s="2060"/>
      <c r="C7" s="2060"/>
      <c r="D7" s="2060"/>
      <c r="E7" s="2060"/>
      <c r="F7" s="2060"/>
      <c r="G7" s="2060"/>
      <c r="H7" s="2060"/>
      <c r="I7" s="2060"/>
      <c r="J7" s="2060"/>
      <c r="K7" s="2060"/>
      <c r="L7" s="2060"/>
      <c r="M7" s="2060"/>
      <c r="N7" s="2060"/>
      <c r="O7" s="2060"/>
      <c r="P7" s="2060"/>
      <c r="Q7" s="2060"/>
      <c r="R7" s="2060"/>
      <c r="S7" s="2060"/>
      <c r="T7" s="2060"/>
      <c r="U7" s="2060"/>
      <c r="V7" s="2060"/>
      <c r="W7" s="2060"/>
      <c r="X7" s="2060"/>
      <c r="Y7" s="2060"/>
      <c r="Z7" s="2060"/>
      <c r="AA7" s="662" t="s">
        <v>0</v>
      </c>
    </row>
    <row r="8" spans="1:27" ht="23.25">
      <c r="A8" s="2059" t="s">
        <v>257</v>
      </c>
      <c r="B8" s="2066"/>
      <c r="C8" s="2066"/>
      <c r="D8" s="2066"/>
      <c r="E8" s="2066"/>
      <c r="F8" s="2066"/>
      <c r="G8" s="2066"/>
      <c r="H8" s="2066"/>
      <c r="I8" s="2066"/>
      <c r="J8" s="2066"/>
      <c r="K8" s="2066"/>
      <c r="L8" s="2066"/>
      <c r="M8" s="2066"/>
      <c r="N8" s="2066"/>
      <c r="O8" s="2066"/>
      <c r="P8" s="2066"/>
      <c r="Q8" s="2066"/>
      <c r="R8" s="2066"/>
      <c r="S8" s="2066"/>
      <c r="T8" s="2066"/>
      <c r="U8" s="2066"/>
      <c r="V8" s="2066"/>
      <c r="W8" s="2066"/>
      <c r="X8" s="2066"/>
      <c r="Y8" s="2066"/>
      <c r="Z8" s="2066"/>
      <c r="AA8" s="662" t="s">
        <v>0</v>
      </c>
    </row>
    <row r="9" spans="1:27" ht="23.25">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2067"/>
      <c r="Z9" s="2067"/>
      <c r="AA9" s="662" t="s">
        <v>0</v>
      </c>
    </row>
    <row r="10" spans="1:27" ht="23.25">
      <c r="A10" s="2067"/>
      <c r="B10" s="2067"/>
      <c r="C10" s="2067"/>
      <c r="D10" s="2067"/>
      <c r="E10" s="2067"/>
      <c r="F10" s="2067"/>
      <c r="G10" s="2067"/>
      <c r="H10" s="2067"/>
      <c r="I10" s="2067"/>
      <c r="J10" s="2067"/>
      <c r="K10" s="2067"/>
      <c r="L10" s="2067"/>
      <c r="M10" s="2067"/>
      <c r="N10" s="2067"/>
      <c r="O10" s="2067"/>
      <c r="P10" s="2067"/>
      <c r="Q10" s="2067"/>
      <c r="R10" s="2067"/>
      <c r="S10" s="2067"/>
      <c r="T10" s="2067"/>
      <c r="U10" s="2067"/>
      <c r="V10" s="2067"/>
      <c r="W10" s="2067"/>
      <c r="X10" s="2067"/>
      <c r="Y10" s="2067"/>
      <c r="Z10" s="2067"/>
      <c r="AA10" s="662" t="s">
        <v>0</v>
      </c>
    </row>
    <row r="11" spans="1:27" ht="23.25">
      <c r="A11" s="2067"/>
      <c r="B11" s="2067"/>
      <c r="C11" s="2067"/>
      <c r="D11" s="2067"/>
      <c r="E11" s="2067"/>
      <c r="F11" s="2067"/>
      <c r="G11" s="2067"/>
      <c r="H11" s="2067"/>
      <c r="I11" s="2067"/>
      <c r="J11" s="2067"/>
      <c r="K11" s="2067"/>
      <c r="L11" s="2067"/>
      <c r="M11" s="2067"/>
      <c r="N11" s="2067"/>
      <c r="O11" s="2067"/>
      <c r="P11" s="2067"/>
      <c r="Q11" s="2067"/>
      <c r="R11" s="2067"/>
      <c r="S11" s="2067"/>
      <c r="T11" s="2067"/>
      <c r="U11" s="2067"/>
      <c r="V11" s="2067"/>
      <c r="W11" s="2067"/>
      <c r="X11" s="2067"/>
      <c r="Y11" s="2067"/>
      <c r="Z11" s="2067"/>
      <c r="AA11" s="662" t="s">
        <v>0</v>
      </c>
    </row>
    <row r="12" spans="1:27">
      <c r="A12" s="2064"/>
      <c r="B12" s="2064"/>
      <c r="C12" s="2064"/>
      <c r="D12" s="2064"/>
      <c r="E12" s="2064"/>
      <c r="F12" s="2064"/>
      <c r="G12" s="2064"/>
      <c r="H12" s="2064"/>
      <c r="I12" s="2064"/>
      <c r="J12" s="2064"/>
      <c r="K12" s="2064"/>
      <c r="L12" s="2064"/>
      <c r="M12" s="2064"/>
      <c r="N12" s="2064"/>
      <c r="O12" s="2064"/>
      <c r="P12" s="2064"/>
      <c r="Q12" s="2064"/>
      <c r="R12" s="2064"/>
      <c r="S12" s="2064"/>
      <c r="T12" s="2064"/>
      <c r="U12" s="2064"/>
      <c r="V12" s="2064"/>
      <c r="W12" s="2068"/>
      <c r="X12" s="2071" t="s">
        <v>40</v>
      </c>
      <c r="Y12" s="2072"/>
      <c r="Z12" s="2073"/>
      <c r="AA12" s="662" t="s">
        <v>0</v>
      </c>
    </row>
    <row r="13" spans="1:27">
      <c r="A13" s="2064"/>
      <c r="B13" s="2064"/>
      <c r="C13" s="2064"/>
      <c r="D13" s="2064"/>
      <c r="E13" s="2064"/>
      <c r="F13" s="2064"/>
      <c r="G13" s="2064"/>
      <c r="H13" s="2064"/>
      <c r="I13" s="2064"/>
      <c r="J13" s="2064"/>
      <c r="K13" s="2064"/>
      <c r="L13" s="2064"/>
      <c r="M13" s="2064"/>
      <c r="N13" s="2064"/>
      <c r="O13" s="2064"/>
      <c r="P13" s="2064"/>
      <c r="Q13" s="2064"/>
      <c r="R13" s="2064"/>
      <c r="S13" s="2064"/>
      <c r="T13" s="2064"/>
      <c r="U13" s="2064"/>
      <c r="V13" s="2064"/>
      <c r="W13" s="2068"/>
      <c r="X13" s="2074" t="s">
        <v>21</v>
      </c>
      <c r="Y13" s="2076" t="s">
        <v>49</v>
      </c>
      <c r="Z13" s="2078" t="s">
        <v>279</v>
      </c>
      <c r="AA13" s="662" t="s">
        <v>0</v>
      </c>
    </row>
    <row r="14" spans="1:27" ht="16.5" thickBot="1">
      <c r="A14" s="2069"/>
      <c r="B14" s="2069"/>
      <c r="C14" s="2069"/>
      <c r="D14" s="2069"/>
      <c r="E14" s="2069"/>
      <c r="F14" s="2069"/>
      <c r="G14" s="2069"/>
      <c r="H14" s="2069"/>
      <c r="I14" s="2069"/>
      <c r="J14" s="2069"/>
      <c r="K14" s="2069"/>
      <c r="L14" s="2069"/>
      <c r="M14" s="2069"/>
      <c r="N14" s="2069"/>
      <c r="O14" s="2069"/>
      <c r="P14" s="2069"/>
      <c r="Q14" s="2069"/>
      <c r="R14" s="2069"/>
      <c r="S14" s="2069"/>
      <c r="T14" s="2069"/>
      <c r="U14" s="2069"/>
      <c r="V14" s="2069"/>
      <c r="W14" s="2070"/>
      <c r="X14" s="2075"/>
      <c r="Y14" s="2077"/>
      <c r="Z14" s="2077"/>
      <c r="AA14" s="662" t="s">
        <v>0</v>
      </c>
    </row>
    <row r="15" spans="1:27">
      <c r="A15" s="2081" t="s">
        <v>116</v>
      </c>
      <c r="B15" s="2082"/>
      <c r="C15" s="2082"/>
      <c r="D15" s="2082"/>
      <c r="E15" s="2082"/>
      <c r="F15" s="2082"/>
      <c r="G15" s="2082"/>
      <c r="H15" s="2082"/>
      <c r="I15" s="2082"/>
      <c r="J15" s="2082"/>
      <c r="K15" s="2082"/>
      <c r="L15" s="2082"/>
      <c r="M15" s="2082"/>
      <c r="N15" s="2082"/>
      <c r="O15" s="2082"/>
      <c r="P15" s="2082"/>
      <c r="Q15" s="2082"/>
      <c r="R15" s="2082"/>
      <c r="S15" s="2082"/>
      <c r="T15" s="2082"/>
      <c r="U15" s="2082"/>
      <c r="V15" s="2082"/>
      <c r="W15" s="2082"/>
      <c r="X15" s="664">
        <v>0</v>
      </c>
      <c r="Y15" s="664">
        <v>0</v>
      </c>
      <c r="Z15" s="665">
        <v>415587</v>
      </c>
      <c r="AA15" s="662" t="s">
        <v>0</v>
      </c>
    </row>
    <row r="16" spans="1:27">
      <c r="A16" s="716" t="s">
        <v>412</v>
      </c>
      <c r="B16" s="1118"/>
      <c r="C16" s="1118"/>
      <c r="D16" s="1118"/>
      <c r="E16" s="1118"/>
      <c r="F16" s="1118"/>
      <c r="G16" s="1118"/>
      <c r="H16" s="1118"/>
      <c r="I16" s="1118"/>
      <c r="J16" s="1118"/>
      <c r="K16" s="1118"/>
      <c r="L16" s="1118"/>
      <c r="M16" s="1118"/>
      <c r="N16" s="1118"/>
      <c r="O16" s="1118"/>
      <c r="P16" s="1118"/>
      <c r="Q16" s="1118"/>
      <c r="R16" s="1118"/>
      <c r="S16" s="1118"/>
      <c r="T16" s="1118"/>
      <c r="U16" s="1118"/>
      <c r="V16" s="1118"/>
      <c r="W16" s="1118"/>
      <c r="X16" s="1379"/>
      <c r="Y16" s="1379"/>
      <c r="Z16" s="1380">
        <v>-5122</v>
      </c>
      <c r="AA16" s="662" t="s">
        <v>0</v>
      </c>
    </row>
    <row r="17" spans="1:27" ht="20.25" customHeight="1">
      <c r="A17" s="2083" t="s">
        <v>242</v>
      </c>
      <c r="B17" s="2084"/>
      <c r="C17" s="2084"/>
      <c r="D17" s="2084"/>
      <c r="E17" s="2084"/>
      <c r="F17" s="2084"/>
      <c r="G17" s="2084"/>
      <c r="H17" s="2084"/>
      <c r="I17" s="2084"/>
      <c r="J17" s="2084"/>
      <c r="K17" s="2084"/>
      <c r="L17" s="2084"/>
      <c r="M17" s="2084"/>
      <c r="N17" s="2084"/>
      <c r="O17" s="2084"/>
      <c r="P17" s="2084"/>
      <c r="Q17" s="2084"/>
      <c r="R17" s="2084"/>
      <c r="S17" s="2084"/>
      <c r="T17" s="2084"/>
      <c r="U17" s="2084"/>
      <c r="V17" s="2084"/>
      <c r="W17" s="2084"/>
      <c r="X17" s="666"/>
      <c r="Y17" s="666"/>
      <c r="Z17" s="667">
        <v>0</v>
      </c>
      <c r="AA17" s="662" t="s">
        <v>0</v>
      </c>
    </row>
    <row r="18" spans="1:27">
      <c r="A18" s="2087" t="s">
        <v>117</v>
      </c>
      <c r="B18" s="2088"/>
      <c r="C18" s="2088"/>
      <c r="D18" s="2088"/>
      <c r="E18" s="2088"/>
      <c r="F18" s="2088"/>
      <c r="G18" s="2088"/>
      <c r="H18" s="2088"/>
      <c r="I18" s="2088"/>
      <c r="J18" s="2088"/>
      <c r="K18" s="2088"/>
      <c r="L18" s="2088"/>
      <c r="M18" s="2088"/>
      <c r="N18" s="2088"/>
      <c r="O18" s="2088"/>
      <c r="P18" s="2088"/>
      <c r="Q18" s="2088"/>
      <c r="R18" s="2088"/>
      <c r="S18" s="2088"/>
      <c r="T18" s="2088"/>
      <c r="U18" s="2088"/>
      <c r="V18" s="2088"/>
      <c r="W18" s="2088"/>
      <c r="X18" s="668">
        <f>+X17+X15</f>
        <v>0</v>
      </c>
      <c r="Y18" s="668">
        <f>+Y17+Y15</f>
        <v>0</v>
      </c>
      <c r="Z18" s="669">
        <f>+Z17+Z15--Z16</f>
        <v>410465</v>
      </c>
      <c r="AA18" s="662" t="s">
        <v>0</v>
      </c>
    </row>
    <row r="19" spans="1:27">
      <c r="A19" s="2081" t="s">
        <v>353</v>
      </c>
      <c r="B19" s="2082"/>
      <c r="C19" s="2082"/>
      <c r="D19" s="2082"/>
      <c r="E19" s="2082"/>
      <c r="F19" s="2082"/>
      <c r="G19" s="2082"/>
      <c r="H19" s="2082"/>
      <c r="I19" s="2082"/>
      <c r="J19" s="2082"/>
      <c r="K19" s="2082"/>
      <c r="L19" s="2082"/>
      <c r="M19" s="2082"/>
      <c r="N19" s="2082"/>
      <c r="O19" s="2082"/>
      <c r="P19" s="2082"/>
      <c r="Q19" s="2082"/>
      <c r="R19" s="2082"/>
      <c r="S19" s="2082"/>
      <c r="T19" s="2082"/>
      <c r="U19" s="2082"/>
      <c r="V19" s="2082"/>
      <c r="W19" s="2082"/>
      <c r="X19" s="670"/>
      <c r="Y19" s="670"/>
      <c r="Z19" s="671">
        <v>417595</v>
      </c>
      <c r="AA19" s="662" t="s">
        <v>0</v>
      </c>
    </row>
    <row r="20" spans="1:27" ht="18.75" customHeight="1">
      <c r="A20" s="2089" t="s">
        <v>41</v>
      </c>
      <c r="B20" s="2090"/>
      <c r="C20" s="2090"/>
      <c r="D20" s="2090"/>
      <c r="E20" s="2090"/>
      <c r="F20" s="2090"/>
      <c r="G20" s="2090"/>
      <c r="H20" s="2090"/>
      <c r="I20" s="2090"/>
      <c r="J20" s="2090"/>
      <c r="K20" s="2090"/>
      <c r="L20" s="2090"/>
      <c r="M20" s="2090"/>
      <c r="N20" s="2090"/>
      <c r="O20" s="2090"/>
      <c r="P20" s="2090"/>
      <c r="Q20" s="2090"/>
      <c r="R20" s="2090"/>
      <c r="S20" s="2090"/>
      <c r="T20" s="2090"/>
      <c r="U20" s="2090"/>
      <c r="V20" s="2090"/>
      <c r="W20" s="2090"/>
      <c r="X20" s="672"/>
      <c r="Y20" s="672"/>
      <c r="Z20" s="673">
        <v>0</v>
      </c>
      <c r="AA20" s="662" t="s">
        <v>0</v>
      </c>
    </row>
    <row r="21" spans="1:27">
      <c r="A21" s="2091" t="s">
        <v>354</v>
      </c>
      <c r="B21" s="2092"/>
      <c r="C21" s="2092"/>
      <c r="D21" s="2092"/>
      <c r="E21" s="2092"/>
      <c r="F21" s="2092"/>
      <c r="G21" s="2092"/>
      <c r="H21" s="2092"/>
      <c r="I21" s="2092"/>
      <c r="J21" s="2092"/>
      <c r="K21" s="2092"/>
      <c r="L21" s="2092"/>
      <c r="M21" s="2092"/>
      <c r="N21" s="2092"/>
      <c r="O21" s="2092"/>
      <c r="P21" s="2092"/>
      <c r="Q21" s="2092"/>
      <c r="R21" s="2092"/>
      <c r="S21" s="2092"/>
      <c r="T21" s="2092"/>
      <c r="U21" s="2092"/>
      <c r="V21" s="2092"/>
      <c r="W21" s="2092"/>
      <c r="X21" s="674">
        <f>+X20+X19</f>
        <v>0</v>
      </c>
      <c r="Y21" s="674">
        <f>+Y20+Y19</f>
        <v>0</v>
      </c>
      <c r="Z21" s="675">
        <f>SUM(Z19:Z20)</f>
        <v>417595</v>
      </c>
      <c r="AA21" s="662" t="s">
        <v>0</v>
      </c>
    </row>
    <row r="22" spans="1:27">
      <c r="A22" s="2137" t="s">
        <v>635</v>
      </c>
      <c r="B22" s="2138"/>
      <c r="C22" s="2138"/>
      <c r="D22" s="2138"/>
      <c r="E22" s="2138"/>
      <c r="F22" s="2138"/>
      <c r="G22" s="2138"/>
      <c r="H22" s="2138"/>
      <c r="I22" s="2138"/>
      <c r="J22" s="2138"/>
      <c r="K22" s="2138"/>
      <c r="L22" s="2138"/>
      <c r="M22" s="2138"/>
      <c r="N22" s="2138"/>
      <c r="O22" s="2138"/>
      <c r="P22" s="2138"/>
      <c r="Q22" s="2138"/>
      <c r="R22" s="2138"/>
      <c r="S22" s="2138"/>
      <c r="T22" s="2138"/>
      <c r="U22" s="2138"/>
      <c r="V22" s="2138"/>
      <c r="W22" s="2139"/>
      <c r="X22" s="676"/>
      <c r="Y22" s="676"/>
      <c r="Z22" s="667"/>
      <c r="AA22" s="662" t="s">
        <v>0</v>
      </c>
    </row>
    <row r="23" spans="1:27">
      <c r="A23" s="2096" t="s">
        <v>636</v>
      </c>
      <c r="B23" s="2097"/>
      <c r="C23" s="2097"/>
      <c r="D23" s="2097"/>
      <c r="E23" s="2097"/>
      <c r="F23" s="2097"/>
      <c r="G23" s="2097"/>
      <c r="H23" s="2097"/>
      <c r="I23" s="2097"/>
      <c r="J23" s="2097"/>
      <c r="K23" s="2097"/>
      <c r="L23" s="2097"/>
      <c r="M23" s="2097"/>
      <c r="N23" s="2097"/>
      <c r="O23" s="2097"/>
      <c r="P23" s="2097"/>
      <c r="Q23" s="2097"/>
      <c r="R23" s="2097"/>
      <c r="S23" s="2097"/>
      <c r="T23" s="2097"/>
      <c r="U23" s="2097"/>
      <c r="V23" s="2097"/>
      <c r="W23" s="2097"/>
      <c r="X23" s="676"/>
      <c r="Y23" s="676"/>
      <c r="Z23" s="667">
        <v>6000</v>
      </c>
      <c r="AA23" s="662" t="s">
        <v>0</v>
      </c>
    </row>
    <row r="24" spans="1:27">
      <c r="A24" s="2477" t="s">
        <v>38</v>
      </c>
      <c r="B24" s="2478"/>
      <c r="C24" s="2478"/>
      <c r="D24" s="2478"/>
      <c r="E24" s="2478"/>
      <c r="F24" s="2478"/>
      <c r="G24" s="2478"/>
      <c r="H24" s="2478"/>
      <c r="I24" s="2478"/>
      <c r="J24" s="2478"/>
      <c r="K24" s="2478"/>
      <c r="L24" s="2478"/>
      <c r="M24" s="2478"/>
      <c r="N24" s="2478"/>
      <c r="O24" s="2478"/>
      <c r="P24" s="2478"/>
      <c r="Q24" s="2478"/>
      <c r="R24" s="2478"/>
      <c r="S24" s="2478"/>
      <c r="T24" s="2478"/>
      <c r="U24" s="2478"/>
      <c r="V24" s="2478"/>
      <c r="W24" s="2479"/>
      <c r="X24" s="676"/>
      <c r="Y24" s="676"/>
      <c r="Z24" s="667"/>
      <c r="AA24" s="662" t="s">
        <v>0</v>
      </c>
    </row>
    <row r="25" spans="1:27">
      <c r="A25" s="2100" t="s">
        <v>244</v>
      </c>
      <c r="B25" s="2101"/>
      <c r="C25" s="2101"/>
      <c r="D25" s="2101"/>
      <c r="E25" s="2101"/>
      <c r="F25" s="2101"/>
      <c r="G25" s="2101"/>
      <c r="H25" s="2101"/>
      <c r="I25" s="2101"/>
      <c r="J25" s="2101"/>
      <c r="K25" s="2101"/>
      <c r="L25" s="2101"/>
      <c r="M25" s="2101"/>
      <c r="N25" s="2101"/>
      <c r="O25" s="2101"/>
      <c r="P25" s="2101"/>
      <c r="Q25" s="2101"/>
      <c r="R25" s="2101"/>
      <c r="S25" s="2101"/>
      <c r="T25" s="2101"/>
      <c r="U25" s="2101"/>
      <c r="V25" s="2101"/>
      <c r="W25" s="2102"/>
      <c r="X25" s="677">
        <v>0</v>
      </c>
      <c r="Y25" s="677">
        <v>0</v>
      </c>
      <c r="Z25" s="677">
        <f>SUM(Z21+Z23)</f>
        <v>423595</v>
      </c>
      <c r="AA25" s="662" t="s">
        <v>0</v>
      </c>
    </row>
    <row r="26" spans="1:27">
      <c r="A26" s="2079" t="s">
        <v>105</v>
      </c>
      <c r="B26" s="2080"/>
      <c r="C26" s="2080"/>
      <c r="D26" s="2080"/>
      <c r="E26" s="2080"/>
      <c r="F26" s="2080"/>
      <c r="G26" s="2080"/>
      <c r="H26" s="2080"/>
      <c r="I26" s="2080"/>
      <c r="J26" s="2080"/>
      <c r="K26" s="2080"/>
      <c r="L26" s="2080"/>
      <c r="M26" s="2080"/>
      <c r="N26" s="2080"/>
      <c r="O26" s="2080"/>
      <c r="P26" s="2080"/>
      <c r="Q26" s="2080"/>
      <c r="R26" s="2080"/>
      <c r="S26" s="2080"/>
      <c r="T26" s="2080"/>
      <c r="U26" s="2080"/>
      <c r="V26" s="2080"/>
      <c r="W26" s="2080"/>
      <c r="X26" s="676"/>
      <c r="Y26" s="676"/>
      <c r="Z26" s="667"/>
      <c r="AA26" s="662" t="s">
        <v>0</v>
      </c>
    </row>
    <row r="27" spans="1:27">
      <c r="A27" s="2096" t="s">
        <v>280</v>
      </c>
      <c r="B27" s="2097"/>
      <c r="C27" s="2097"/>
      <c r="D27" s="2097"/>
      <c r="E27" s="2097"/>
      <c r="F27" s="2097"/>
      <c r="G27" s="2097"/>
      <c r="H27" s="2097"/>
      <c r="I27" s="2097"/>
      <c r="J27" s="2097"/>
      <c r="K27" s="2097"/>
      <c r="L27" s="2097"/>
      <c r="M27" s="2097"/>
      <c r="N27" s="2097"/>
      <c r="O27" s="2097"/>
      <c r="P27" s="2097"/>
      <c r="Q27" s="2097"/>
      <c r="R27" s="2097"/>
      <c r="S27" s="2097"/>
      <c r="T27" s="2097"/>
      <c r="U27" s="2097"/>
      <c r="V27" s="2097"/>
      <c r="W27" s="2097"/>
      <c r="X27" s="676" t="s">
        <v>278</v>
      </c>
      <c r="Y27" s="676"/>
      <c r="Z27" s="667"/>
      <c r="AA27" s="662" t="s">
        <v>0</v>
      </c>
    </row>
    <row r="28" spans="1:27">
      <c r="A28" s="2105" t="s">
        <v>637</v>
      </c>
      <c r="B28" s="2106"/>
      <c r="C28" s="2106"/>
      <c r="D28" s="2106"/>
      <c r="E28" s="2106"/>
      <c r="F28" s="2106"/>
      <c r="G28" s="2106"/>
      <c r="H28" s="2106"/>
      <c r="I28" s="2106"/>
      <c r="J28" s="2106"/>
      <c r="K28" s="2106"/>
      <c r="L28" s="2106"/>
      <c r="M28" s="2106"/>
      <c r="N28" s="2106"/>
      <c r="O28" s="2106"/>
      <c r="P28" s="2106"/>
      <c r="Q28" s="2106"/>
      <c r="R28" s="2106"/>
      <c r="S28" s="2106"/>
      <c r="T28" s="2106"/>
      <c r="U28" s="2106"/>
      <c r="V28" s="2106"/>
      <c r="W28" s="2107"/>
      <c r="X28" s="676"/>
      <c r="Y28" s="676"/>
      <c r="Z28" s="667">
        <v>120000</v>
      </c>
      <c r="AA28" s="662" t="s">
        <v>0</v>
      </c>
    </row>
    <row r="29" spans="1:27">
      <c r="A29" s="1109" t="s">
        <v>638</v>
      </c>
      <c r="B29" s="1381"/>
      <c r="C29" s="1381"/>
      <c r="D29" s="1381"/>
      <c r="E29" s="1381"/>
      <c r="F29" s="1381"/>
      <c r="G29" s="1381"/>
      <c r="H29" s="1381"/>
      <c r="I29" s="1381"/>
      <c r="J29" s="1381"/>
      <c r="K29" s="1381"/>
      <c r="L29" s="1381"/>
      <c r="M29" s="1381"/>
      <c r="N29" s="1381"/>
      <c r="O29" s="1381"/>
      <c r="P29" s="1381"/>
      <c r="Q29" s="1381"/>
      <c r="R29" s="1381"/>
      <c r="S29" s="1381"/>
      <c r="T29" s="1381"/>
      <c r="U29" s="1381"/>
      <c r="V29" s="1381"/>
      <c r="W29" s="1382"/>
      <c r="X29" s="676"/>
      <c r="Y29" s="676"/>
      <c r="Z29" s="667">
        <v>5000</v>
      </c>
      <c r="AA29" s="662" t="s">
        <v>0</v>
      </c>
    </row>
    <row r="30" spans="1:27">
      <c r="A30" s="1109" t="s">
        <v>639</v>
      </c>
      <c r="B30" s="1381"/>
      <c r="C30" s="1381"/>
      <c r="D30" s="1381"/>
      <c r="E30" s="1381"/>
      <c r="F30" s="1381"/>
      <c r="G30" s="1381"/>
      <c r="H30" s="1381"/>
      <c r="I30" s="1381"/>
      <c r="J30" s="1381"/>
      <c r="K30" s="1381"/>
      <c r="L30" s="1381"/>
      <c r="M30" s="1381"/>
      <c r="N30" s="1381"/>
      <c r="O30" s="1381"/>
      <c r="P30" s="1381"/>
      <c r="Q30" s="1381"/>
      <c r="R30" s="1381"/>
      <c r="S30" s="1381"/>
      <c r="T30" s="1381"/>
      <c r="U30" s="1381"/>
      <c r="V30" s="1381"/>
      <c r="W30" s="1382"/>
      <c r="X30" s="676"/>
      <c r="Y30" s="676"/>
      <c r="Z30" s="667">
        <v>12000</v>
      </c>
      <c r="AA30" s="662" t="s">
        <v>0</v>
      </c>
    </row>
    <row r="31" spans="1:27">
      <c r="A31" s="1109" t="s">
        <v>640</v>
      </c>
      <c r="B31" s="1381"/>
      <c r="C31" s="1381"/>
      <c r="D31" s="1381"/>
      <c r="E31" s="1381"/>
      <c r="F31" s="1381"/>
      <c r="G31" s="1381"/>
      <c r="H31" s="1381"/>
      <c r="I31" s="1381"/>
      <c r="J31" s="1381"/>
      <c r="K31" s="1381"/>
      <c r="L31" s="1381"/>
      <c r="M31" s="1381"/>
      <c r="N31" s="1381"/>
      <c r="O31" s="1381"/>
      <c r="P31" s="1381"/>
      <c r="Q31" s="1381"/>
      <c r="R31" s="1381"/>
      <c r="S31" s="1381"/>
      <c r="T31" s="1381"/>
      <c r="U31" s="1381"/>
      <c r="V31" s="1381"/>
      <c r="W31" s="1382"/>
      <c r="X31" s="676"/>
      <c r="Y31" s="676"/>
      <c r="Z31" s="667">
        <v>6000</v>
      </c>
      <c r="AA31" s="662" t="s">
        <v>0</v>
      </c>
    </row>
    <row r="32" spans="1:27">
      <c r="A32" s="2103" t="s">
        <v>107</v>
      </c>
      <c r="B32" s="2104"/>
      <c r="C32" s="2104"/>
      <c r="D32" s="2104"/>
      <c r="E32" s="2104"/>
      <c r="F32" s="2104"/>
      <c r="G32" s="2104"/>
      <c r="H32" s="2104"/>
      <c r="I32" s="2104"/>
      <c r="J32" s="2104"/>
      <c r="K32" s="2104"/>
      <c r="L32" s="2104"/>
      <c r="M32" s="2104"/>
      <c r="N32" s="2104"/>
      <c r="O32" s="2104"/>
      <c r="P32" s="2104"/>
      <c r="Q32" s="2104"/>
      <c r="R32" s="2104"/>
      <c r="S32" s="2104"/>
      <c r="T32" s="2104"/>
      <c r="U32" s="2104"/>
      <c r="V32" s="2104"/>
      <c r="W32" s="2104"/>
      <c r="X32" s="679">
        <f>SUM(X28:X31)</f>
        <v>0</v>
      </c>
      <c r="Y32" s="667">
        <f>SUM(Y28:Y31)</f>
        <v>0</v>
      </c>
      <c r="Z32" s="667">
        <f>SUM(Z28:Z31)</f>
        <v>143000</v>
      </c>
      <c r="AA32" s="662" t="s">
        <v>0</v>
      </c>
    </row>
    <row r="33" spans="1:27">
      <c r="A33" s="2096" t="s">
        <v>369</v>
      </c>
      <c r="B33" s="2097"/>
      <c r="C33" s="2097"/>
      <c r="D33" s="2097"/>
      <c r="E33" s="2097"/>
      <c r="F33" s="2097"/>
      <c r="G33" s="2097"/>
      <c r="H33" s="2097"/>
      <c r="I33" s="2097"/>
      <c r="J33" s="2097"/>
      <c r="K33" s="2097"/>
      <c r="L33" s="2097"/>
      <c r="M33" s="2097"/>
      <c r="N33" s="2097"/>
      <c r="O33" s="2097"/>
      <c r="P33" s="2097"/>
      <c r="Q33" s="2097"/>
      <c r="R33" s="2097"/>
      <c r="S33" s="2097"/>
      <c r="T33" s="2097"/>
      <c r="U33" s="2097"/>
      <c r="V33" s="2097"/>
      <c r="W33" s="2097"/>
      <c r="X33" s="676"/>
      <c r="Y33" s="676"/>
      <c r="Z33" s="667"/>
      <c r="AA33" s="662" t="s">
        <v>0</v>
      </c>
    </row>
    <row r="34" spans="1:27">
      <c r="A34" s="2105" t="s">
        <v>641</v>
      </c>
      <c r="B34" s="2106"/>
      <c r="C34" s="2106"/>
      <c r="D34" s="2106"/>
      <c r="E34" s="2106"/>
      <c r="F34" s="2106"/>
      <c r="G34" s="2106"/>
      <c r="H34" s="2106"/>
      <c r="I34" s="2106"/>
      <c r="J34" s="2106"/>
      <c r="K34" s="2106"/>
      <c r="L34" s="2106"/>
      <c r="M34" s="2106"/>
      <c r="N34" s="2106"/>
      <c r="O34" s="2106"/>
      <c r="P34" s="2106"/>
      <c r="Q34" s="2106"/>
      <c r="R34" s="2106"/>
      <c r="S34" s="2106"/>
      <c r="T34" s="2106"/>
      <c r="U34" s="2106"/>
      <c r="V34" s="2106"/>
      <c r="W34" s="2107"/>
      <c r="X34" s="676"/>
      <c r="Y34" s="676"/>
      <c r="Z34" s="667">
        <v>-55000</v>
      </c>
      <c r="AA34" s="662" t="s">
        <v>0</v>
      </c>
    </row>
    <row r="35" spans="1:27">
      <c r="A35" s="2105" t="s">
        <v>642</v>
      </c>
      <c r="B35" s="2106"/>
      <c r="C35" s="2106"/>
      <c r="D35" s="2106"/>
      <c r="E35" s="2106"/>
      <c r="F35" s="2106"/>
      <c r="G35" s="2106"/>
      <c r="H35" s="2106"/>
      <c r="I35" s="2106"/>
      <c r="J35" s="2106"/>
      <c r="K35" s="2106"/>
      <c r="L35" s="2106"/>
      <c r="M35" s="2106"/>
      <c r="N35" s="2106"/>
      <c r="O35" s="2106"/>
      <c r="P35" s="2106"/>
      <c r="Q35" s="2106"/>
      <c r="R35" s="2106"/>
      <c r="S35" s="2106"/>
      <c r="T35" s="2106"/>
      <c r="U35" s="2106"/>
      <c r="V35" s="2106"/>
      <c r="W35" s="2107"/>
      <c r="X35" s="676"/>
      <c r="Y35" s="676"/>
      <c r="Z35" s="667">
        <v>-75000</v>
      </c>
      <c r="AA35" s="662" t="s">
        <v>0</v>
      </c>
    </row>
    <row r="36" spans="1:27">
      <c r="A36" s="2105" t="s">
        <v>643</v>
      </c>
      <c r="B36" s="2106"/>
      <c r="C36" s="2106"/>
      <c r="D36" s="2106"/>
      <c r="E36" s="2106"/>
      <c r="F36" s="2106"/>
      <c r="G36" s="2106"/>
      <c r="H36" s="2106"/>
      <c r="I36" s="2106"/>
      <c r="J36" s="2106"/>
      <c r="K36" s="2106"/>
      <c r="L36" s="2106"/>
      <c r="M36" s="2106"/>
      <c r="N36" s="2106"/>
      <c r="O36" s="2106"/>
      <c r="P36" s="2106"/>
      <c r="Q36" s="2106"/>
      <c r="R36" s="2106"/>
      <c r="S36" s="2106"/>
      <c r="T36" s="2106"/>
      <c r="U36" s="2106"/>
      <c r="V36" s="2106"/>
      <c r="W36" s="2107"/>
      <c r="X36" s="676"/>
      <c r="Y36" s="676"/>
      <c r="Z36" s="667">
        <v>-5000</v>
      </c>
      <c r="AA36" s="662" t="s">
        <v>0</v>
      </c>
    </row>
    <row r="37" spans="1:27">
      <c r="A37" s="2105" t="s">
        <v>644</v>
      </c>
      <c r="B37" s="2106"/>
      <c r="C37" s="2106"/>
      <c r="D37" s="2106"/>
      <c r="E37" s="2106"/>
      <c r="F37" s="2106"/>
      <c r="G37" s="2106"/>
      <c r="H37" s="2106"/>
      <c r="I37" s="2106"/>
      <c r="J37" s="2106"/>
      <c r="K37" s="2106"/>
      <c r="L37" s="2106"/>
      <c r="M37" s="2106"/>
      <c r="N37" s="2106"/>
      <c r="O37" s="2106"/>
      <c r="P37" s="2106"/>
      <c r="Q37" s="2106"/>
      <c r="R37" s="2106"/>
      <c r="S37" s="2106"/>
      <c r="T37" s="2106"/>
      <c r="U37" s="2106"/>
      <c r="V37" s="2106"/>
      <c r="W37" s="2106"/>
      <c r="X37" s="676"/>
      <c r="Y37" s="676"/>
      <c r="Z37" s="667">
        <v>-3000</v>
      </c>
      <c r="AA37" s="662" t="s">
        <v>0</v>
      </c>
    </row>
    <row r="38" spans="1:27">
      <c r="A38" s="1109" t="s">
        <v>645</v>
      </c>
      <c r="B38" s="1381"/>
      <c r="C38" s="1381"/>
      <c r="D38" s="1381"/>
      <c r="E38" s="1381"/>
      <c r="F38" s="1381"/>
      <c r="G38" s="1381"/>
      <c r="H38" s="1381"/>
      <c r="I38" s="1381"/>
      <c r="J38" s="1381"/>
      <c r="K38" s="1381"/>
      <c r="L38" s="1381"/>
      <c r="M38" s="1381"/>
      <c r="N38" s="1381"/>
      <c r="O38" s="1381"/>
      <c r="P38" s="1381"/>
      <c r="Q38" s="1381"/>
      <c r="R38" s="1381"/>
      <c r="S38" s="1381"/>
      <c r="T38" s="1381"/>
      <c r="U38" s="1381"/>
      <c r="V38" s="1381"/>
      <c r="W38" s="1381"/>
      <c r="X38" s="676"/>
      <c r="Y38" s="676"/>
      <c r="Z38" s="667">
        <v>-2500</v>
      </c>
      <c r="AA38" s="662" t="s">
        <v>0</v>
      </c>
    </row>
    <row r="39" spans="1:27">
      <c r="A39" s="2105" t="s">
        <v>646</v>
      </c>
      <c r="B39" s="2106"/>
      <c r="C39" s="2106"/>
      <c r="D39" s="2106"/>
      <c r="E39" s="2106"/>
      <c r="F39" s="2106"/>
      <c r="G39" s="2106"/>
      <c r="H39" s="2106"/>
      <c r="I39" s="2106"/>
      <c r="J39" s="2106"/>
      <c r="K39" s="2106"/>
      <c r="L39" s="2106"/>
      <c r="M39" s="2106"/>
      <c r="N39" s="2106"/>
      <c r="O39" s="2106"/>
      <c r="P39" s="2106"/>
      <c r="Q39" s="2106"/>
      <c r="R39" s="2106"/>
      <c r="S39" s="2106"/>
      <c r="T39" s="2106"/>
      <c r="U39" s="2106"/>
      <c r="V39" s="2106"/>
      <c r="W39" s="2106"/>
      <c r="X39" s="676"/>
      <c r="Y39" s="676"/>
      <c r="Z39" s="676">
        <v>-55000</v>
      </c>
      <c r="AA39" s="662" t="s">
        <v>0</v>
      </c>
    </row>
    <row r="40" spans="1:27">
      <c r="A40" s="2105" t="s">
        <v>647</v>
      </c>
      <c r="B40" s="2106"/>
      <c r="C40" s="2106"/>
      <c r="D40" s="2106"/>
      <c r="E40" s="2106"/>
      <c r="F40" s="2106"/>
      <c r="G40" s="2106"/>
      <c r="H40" s="2106"/>
      <c r="I40" s="2106"/>
      <c r="J40" s="2106"/>
      <c r="K40" s="2106"/>
      <c r="L40" s="2106"/>
      <c r="M40" s="2106"/>
      <c r="N40" s="2106"/>
      <c r="O40" s="2106"/>
      <c r="P40" s="2106"/>
      <c r="Q40" s="2106"/>
      <c r="R40" s="2106"/>
      <c r="S40" s="2106"/>
      <c r="T40" s="2106"/>
      <c r="U40" s="2106"/>
      <c r="V40" s="2106"/>
      <c r="W40" s="2106"/>
      <c r="X40" s="676"/>
      <c r="Y40" s="676"/>
      <c r="Z40" s="676">
        <v>-91095</v>
      </c>
      <c r="AA40" s="662" t="s">
        <v>0</v>
      </c>
    </row>
    <row r="41" spans="1:27" ht="18" customHeight="1">
      <c r="A41" s="2096" t="s">
        <v>106</v>
      </c>
      <c r="B41" s="2097"/>
      <c r="C41" s="2097"/>
      <c r="D41" s="2097"/>
      <c r="E41" s="2097"/>
      <c r="F41" s="2097"/>
      <c r="G41" s="2097"/>
      <c r="H41" s="2097"/>
      <c r="I41" s="2097"/>
      <c r="J41" s="2097"/>
      <c r="K41" s="2097"/>
      <c r="L41" s="2097"/>
      <c r="M41" s="2097"/>
      <c r="N41" s="2097"/>
      <c r="O41" s="2097"/>
      <c r="P41" s="2097"/>
      <c r="Q41" s="2097"/>
      <c r="R41" s="2097"/>
      <c r="S41" s="2097"/>
      <c r="T41" s="2097"/>
      <c r="U41" s="2097"/>
      <c r="V41" s="2097"/>
      <c r="W41" s="2097"/>
      <c r="X41" s="681">
        <f>SUM(X32+X39)</f>
        <v>0</v>
      </c>
      <c r="Y41" s="681">
        <f>SUM(Y32+Y39)</f>
        <v>0</v>
      </c>
      <c r="Z41" s="681">
        <f>SUM(Z34:Z40)</f>
        <v>-286595</v>
      </c>
      <c r="AA41" s="662" t="s">
        <v>0</v>
      </c>
    </row>
    <row r="42" spans="1:27" ht="16.5" customHeight="1">
      <c r="A42" s="2108" t="s">
        <v>434</v>
      </c>
      <c r="B42" s="2109"/>
      <c r="C42" s="2109"/>
      <c r="D42" s="2109"/>
      <c r="E42" s="2109"/>
      <c r="F42" s="2109"/>
      <c r="G42" s="2109"/>
      <c r="H42" s="2109"/>
      <c r="I42" s="2109"/>
      <c r="J42" s="2109"/>
      <c r="K42" s="2109"/>
      <c r="L42" s="2109"/>
      <c r="M42" s="2109"/>
      <c r="N42" s="2109"/>
      <c r="O42" s="2109"/>
      <c r="P42" s="2109"/>
      <c r="Q42" s="2109"/>
      <c r="R42" s="2109"/>
      <c r="S42" s="2109"/>
      <c r="T42" s="2109"/>
      <c r="U42" s="2109"/>
      <c r="V42" s="2109"/>
      <c r="W42" s="2109"/>
      <c r="X42" s="683">
        <f>X21+X39</f>
        <v>0</v>
      </c>
      <c r="Y42" s="683">
        <f>Y21+Y39</f>
        <v>0</v>
      </c>
      <c r="Z42" s="683">
        <f>Z25+Z32+Z41</f>
        <v>280000</v>
      </c>
      <c r="AA42" s="662" t="s">
        <v>0</v>
      </c>
    </row>
    <row r="43" spans="1:27" ht="16.5" customHeight="1">
      <c r="A43" s="2108" t="s">
        <v>435</v>
      </c>
      <c r="B43" s="2109"/>
      <c r="C43" s="2109"/>
      <c r="D43" s="2109"/>
      <c r="E43" s="2109"/>
      <c r="F43" s="2109"/>
      <c r="G43" s="2109"/>
      <c r="H43" s="2109"/>
      <c r="I43" s="2109"/>
      <c r="J43" s="2109"/>
      <c r="K43" s="2109"/>
      <c r="L43" s="2109"/>
      <c r="M43" s="2109"/>
      <c r="N43" s="2109"/>
      <c r="O43" s="2109"/>
      <c r="P43" s="2109"/>
      <c r="Q43" s="2109"/>
      <c r="R43" s="2109"/>
      <c r="S43" s="2109"/>
      <c r="T43" s="2109"/>
      <c r="U43" s="2109"/>
      <c r="V43" s="2109"/>
      <c r="W43" s="2109"/>
      <c r="X43" s="683">
        <f>X25+X41</f>
        <v>0</v>
      </c>
      <c r="Y43" s="683">
        <f>Y25+Y41</f>
        <v>0</v>
      </c>
      <c r="Z43" s="683">
        <v>-4000</v>
      </c>
      <c r="AA43" s="662" t="s">
        <v>0</v>
      </c>
    </row>
    <row r="44" spans="1:27" ht="16.5" customHeight="1">
      <c r="A44" s="2108" t="s">
        <v>245</v>
      </c>
      <c r="B44" s="2109"/>
      <c r="C44" s="2109"/>
      <c r="D44" s="2109"/>
      <c r="E44" s="2109"/>
      <c r="F44" s="2109"/>
      <c r="G44" s="2109"/>
      <c r="H44" s="2109"/>
      <c r="I44" s="2109"/>
      <c r="J44" s="2109"/>
      <c r="K44" s="2109"/>
      <c r="L44" s="2109"/>
      <c r="M44" s="2109"/>
      <c r="N44" s="2109"/>
      <c r="O44" s="2109"/>
      <c r="P44" s="2109"/>
      <c r="Q44" s="2109"/>
      <c r="R44" s="2109"/>
      <c r="S44" s="2109"/>
      <c r="T44" s="2109"/>
      <c r="U44" s="2109"/>
      <c r="V44" s="2109"/>
      <c r="W44" s="2109"/>
      <c r="X44" s="683">
        <f>X25+X41</f>
        <v>0</v>
      </c>
      <c r="Y44" s="683">
        <f>Y25+Y41</f>
        <v>0</v>
      </c>
      <c r="Z44" s="683">
        <f>SUM(Z42:Z43)</f>
        <v>276000</v>
      </c>
      <c r="AA44" s="662" t="s">
        <v>0</v>
      </c>
    </row>
    <row r="45" spans="1:27" ht="18" customHeight="1">
      <c r="A45" s="2110" t="s">
        <v>360</v>
      </c>
      <c r="B45" s="2109"/>
      <c r="C45" s="2109"/>
      <c r="D45" s="2109"/>
      <c r="E45" s="2109"/>
      <c r="F45" s="2109"/>
      <c r="G45" s="2109"/>
      <c r="H45" s="2109"/>
      <c r="I45" s="2109"/>
      <c r="J45" s="2109"/>
      <c r="K45" s="2109"/>
      <c r="L45" s="2109"/>
      <c r="M45" s="2109"/>
      <c r="N45" s="2109"/>
      <c r="O45" s="2109"/>
      <c r="P45" s="2109"/>
      <c r="Q45" s="2109"/>
      <c r="R45" s="2109"/>
      <c r="S45" s="2109"/>
      <c r="T45" s="2109"/>
      <c r="U45" s="2109"/>
      <c r="V45" s="2109"/>
      <c r="W45" s="2109"/>
      <c r="X45" s="682">
        <f>+X44-X18</f>
        <v>0</v>
      </c>
      <c r="Y45" s="682">
        <f>+Y44-Y18</f>
        <v>0</v>
      </c>
      <c r="Z45" s="682">
        <f>+Z44-Z18</f>
        <v>-134465</v>
      </c>
      <c r="AA45" s="662" t="s">
        <v>0</v>
      </c>
    </row>
    <row r="46" spans="1:27">
      <c r="AA46" s="662" t="s">
        <v>0</v>
      </c>
    </row>
    <row r="47" spans="1:27" ht="18" customHeight="1">
      <c r="AA47" s="662" t="s">
        <v>0</v>
      </c>
    </row>
    <row r="48" spans="1:27" ht="18" customHeight="1">
      <c r="AA48" s="662" t="s">
        <v>0</v>
      </c>
    </row>
    <row r="49" spans="1:27" ht="18" customHeight="1">
      <c r="AA49" s="662" t="s">
        <v>0</v>
      </c>
    </row>
    <row r="50" spans="1:27" ht="18" customHeight="1">
      <c r="AA50" s="662" t="s">
        <v>0</v>
      </c>
    </row>
    <row r="51" spans="1:27" ht="18" customHeight="1">
      <c r="AA51" s="662" t="s">
        <v>0</v>
      </c>
    </row>
    <row r="52" spans="1:27" ht="18" customHeight="1">
      <c r="AA52" s="662" t="s">
        <v>0</v>
      </c>
    </row>
    <row r="53" spans="1:27" ht="22.5">
      <c r="A53" s="2065" t="s">
        <v>267</v>
      </c>
      <c r="B53" s="2060"/>
      <c r="C53" s="2060"/>
      <c r="D53" s="2060"/>
      <c r="E53" s="2060"/>
      <c r="F53" s="2060"/>
      <c r="G53" s="2060"/>
      <c r="H53" s="2060"/>
      <c r="I53" s="2060"/>
      <c r="J53" s="2060"/>
      <c r="K53" s="2060"/>
      <c r="L53" s="2060"/>
      <c r="M53" s="2060"/>
      <c r="N53" s="2060"/>
      <c r="O53" s="2060"/>
      <c r="P53" s="2060"/>
      <c r="Q53" s="2060"/>
      <c r="R53" s="2060"/>
      <c r="S53" s="2060"/>
      <c r="T53" s="2060"/>
      <c r="U53" s="2060"/>
      <c r="V53" s="2060"/>
      <c r="W53" s="2060"/>
      <c r="X53" s="2060"/>
      <c r="Y53" s="2060"/>
      <c r="Z53" s="2060"/>
      <c r="AA53" s="662" t="s">
        <v>0</v>
      </c>
    </row>
    <row r="54" spans="1:27" ht="23.25">
      <c r="A54" s="2059" t="str">
        <f>A6</f>
        <v>Office of Justice Programs</v>
      </c>
      <c r="B54" s="2111"/>
      <c r="C54" s="2111"/>
      <c r="D54" s="2111"/>
      <c r="E54" s="2111"/>
      <c r="F54" s="2111"/>
      <c r="G54" s="2111"/>
      <c r="H54" s="2111"/>
      <c r="I54" s="2111"/>
      <c r="J54" s="2111"/>
      <c r="K54" s="2111"/>
      <c r="L54" s="2111"/>
      <c r="M54" s="2111"/>
      <c r="N54" s="2111"/>
      <c r="O54" s="2111"/>
      <c r="P54" s="2111"/>
      <c r="Q54" s="2111"/>
      <c r="R54" s="2111"/>
      <c r="S54" s="2111"/>
      <c r="T54" s="2111"/>
      <c r="U54" s="2111"/>
      <c r="V54" s="2111"/>
      <c r="W54" s="2111"/>
      <c r="X54" s="2111"/>
      <c r="Y54" s="2111"/>
      <c r="Z54" s="2111"/>
      <c r="AA54" s="662" t="s">
        <v>0</v>
      </c>
    </row>
    <row r="55" spans="1:27" ht="23.25">
      <c r="A55" s="2059" t="str">
        <f>A7</f>
        <v>Juvenile Justice Programs</v>
      </c>
      <c r="B55" s="2060"/>
      <c r="C55" s="2060"/>
      <c r="D55" s="2060"/>
      <c r="E55" s="2060"/>
      <c r="F55" s="2060"/>
      <c r="G55" s="2060"/>
      <c r="H55" s="2060"/>
      <c r="I55" s="2060"/>
      <c r="J55" s="2060"/>
      <c r="K55" s="2060"/>
      <c r="L55" s="2060"/>
      <c r="M55" s="2060"/>
      <c r="N55" s="2060"/>
      <c r="O55" s="2060"/>
      <c r="P55" s="2060"/>
      <c r="Q55" s="2060"/>
      <c r="R55" s="2060"/>
      <c r="S55" s="2060"/>
      <c r="T55" s="2060"/>
      <c r="U55" s="2060"/>
      <c r="V55" s="2060"/>
      <c r="W55" s="2060"/>
      <c r="X55" s="2060"/>
      <c r="Y55" s="2060"/>
      <c r="Z55" s="2060"/>
      <c r="AA55" s="662" t="s">
        <v>0</v>
      </c>
    </row>
    <row r="56" spans="1:27" ht="23.25">
      <c r="A56" s="2059" t="s">
        <v>257</v>
      </c>
      <c r="B56" s="2066"/>
      <c r="C56" s="2066"/>
      <c r="D56" s="2066"/>
      <c r="E56" s="2066"/>
      <c r="F56" s="2066"/>
      <c r="G56" s="2066"/>
      <c r="H56" s="2066"/>
      <c r="I56" s="2066"/>
      <c r="J56" s="2066"/>
      <c r="K56" s="2066"/>
      <c r="L56" s="2066"/>
      <c r="M56" s="2066"/>
      <c r="N56" s="2066"/>
      <c r="O56" s="2066"/>
      <c r="P56" s="2066"/>
      <c r="Q56" s="2066"/>
      <c r="R56" s="2066"/>
      <c r="S56" s="2066"/>
      <c r="T56" s="2066"/>
      <c r="U56" s="2066"/>
      <c r="V56" s="2066"/>
      <c r="W56" s="2066"/>
      <c r="X56" s="2066"/>
      <c r="Y56" s="2066"/>
      <c r="Z56" s="2066"/>
      <c r="AA56" s="662" t="s">
        <v>0</v>
      </c>
    </row>
    <row r="57" spans="1:27" ht="18" customHeight="1">
      <c r="AA57" s="662" t="s">
        <v>0</v>
      </c>
    </row>
    <row r="58" spans="1:27" ht="18" customHeight="1">
      <c r="AA58" s="662" t="s">
        <v>0</v>
      </c>
    </row>
    <row r="59" spans="1:27" ht="18" customHeight="1">
      <c r="AA59" s="662" t="s">
        <v>0</v>
      </c>
    </row>
    <row r="60" spans="1:27" ht="18" customHeight="1">
      <c r="AA60" s="662" t="s">
        <v>0</v>
      </c>
    </row>
    <row r="61" spans="1:27" ht="18" customHeight="1">
      <c r="A61" s="685"/>
      <c r="B61" s="685"/>
      <c r="C61" s="685"/>
      <c r="D61" s="686"/>
      <c r="E61" s="686"/>
      <c r="F61" s="686"/>
      <c r="G61" s="686"/>
      <c r="H61" s="686"/>
      <c r="I61" s="686"/>
      <c r="J61" s="686"/>
      <c r="K61" s="686"/>
      <c r="L61" s="686"/>
      <c r="M61" s="686"/>
      <c r="N61" s="686"/>
      <c r="O61" s="686"/>
      <c r="P61" s="686"/>
      <c r="Q61" s="686"/>
      <c r="R61" s="686"/>
      <c r="S61" s="686"/>
      <c r="T61" s="686"/>
      <c r="U61" s="686"/>
      <c r="V61" s="686"/>
      <c r="W61" s="686"/>
      <c r="X61" s="686"/>
      <c r="Y61" s="686"/>
      <c r="Z61" s="686"/>
      <c r="AA61" s="662" t="s">
        <v>0</v>
      </c>
    </row>
    <row r="62" spans="1:27" ht="22.5" customHeight="1">
      <c r="A62" s="2112" t="s">
        <v>276</v>
      </c>
      <c r="B62" s="2113"/>
      <c r="C62" s="2113"/>
      <c r="D62" s="2118" t="s">
        <v>18</v>
      </c>
      <c r="E62" s="2119"/>
      <c r="F62" s="2120"/>
      <c r="G62" s="2124" t="s">
        <v>355</v>
      </c>
      <c r="H62" s="2125"/>
      <c r="I62" s="2126"/>
      <c r="J62" s="2118" t="s">
        <v>246</v>
      </c>
      <c r="K62" s="2119"/>
      <c r="L62" s="2120"/>
      <c r="M62" s="2118" t="s">
        <v>244</v>
      </c>
      <c r="N62" s="2119"/>
      <c r="O62" s="2119"/>
      <c r="P62" s="2118" t="s">
        <v>247</v>
      </c>
      <c r="Q62" s="2130"/>
      <c r="R62" s="2485"/>
      <c r="S62" s="2218" t="s">
        <v>248</v>
      </c>
      <c r="T62" s="2119"/>
      <c r="U62" s="2119"/>
      <c r="V62" s="2119"/>
      <c r="W62" s="2119"/>
      <c r="X62" s="2118" t="s">
        <v>42</v>
      </c>
      <c r="Y62" s="2119"/>
      <c r="Z62" s="2120"/>
      <c r="AA62" s="662" t="s">
        <v>0</v>
      </c>
    </row>
    <row r="63" spans="1:27" ht="27.75" customHeight="1">
      <c r="A63" s="2114"/>
      <c r="B63" s="2115"/>
      <c r="C63" s="2115"/>
      <c r="D63" s="2121"/>
      <c r="E63" s="2122"/>
      <c r="F63" s="2123"/>
      <c r="G63" s="2127"/>
      <c r="H63" s="2128"/>
      <c r="I63" s="2129"/>
      <c r="J63" s="2121"/>
      <c r="K63" s="2122"/>
      <c r="L63" s="2123"/>
      <c r="M63" s="2121"/>
      <c r="N63" s="2122"/>
      <c r="O63" s="2122"/>
      <c r="P63" s="2131"/>
      <c r="Q63" s="2132"/>
      <c r="R63" s="2486"/>
      <c r="S63" s="2122"/>
      <c r="T63" s="2122"/>
      <c r="U63" s="2122"/>
      <c r="V63" s="2122"/>
      <c r="W63" s="2122"/>
      <c r="X63" s="2121"/>
      <c r="Y63" s="2122"/>
      <c r="Z63" s="2123"/>
      <c r="AA63" s="662" t="s">
        <v>0</v>
      </c>
    </row>
    <row r="64" spans="1:27" ht="16.5" thickBot="1">
      <c r="A64" s="2481"/>
      <c r="B64" s="2482"/>
      <c r="C64" s="2482"/>
      <c r="D64" s="1383" t="s">
        <v>277</v>
      </c>
      <c r="E64" s="1384" t="s">
        <v>49</v>
      </c>
      <c r="F64" s="1385" t="s">
        <v>279</v>
      </c>
      <c r="G64" s="1383" t="s">
        <v>277</v>
      </c>
      <c r="H64" s="1384" t="s">
        <v>49</v>
      </c>
      <c r="I64" s="1385" t="s">
        <v>279</v>
      </c>
      <c r="J64" s="1383" t="s">
        <v>277</v>
      </c>
      <c r="K64" s="1384" t="s">
        <v>49</v>
      </c>
      <c r="L64" s="1385" t="s">
        <v>279</v>
      </c>
      <c r="M64" s="1383" t="s">
        <v>277</v>
      </c>
      <c r="N64" s="1384" t="s">
        <v>49</v>
      </c>
      <c r="O64" s="1385" t="s">
        <v>279</v>
      </c>
      <c r="P64" s="1383" t="s">
        <v>277</v>
      </c>
      <c r="Q64" s="1384" t="s">
        <v>49</v>
      </c>
      <c r="R64" s="1386" t="s">
        <v>279</v>
      </c>
      <c r="S64" s="1385" t="s">
        <v>277</v>
      </c>
      <c r="T64" s="1384" t="s">
        <v>49</v>
      </c>
      <c r="U64" s="1384" t="s">
        <v>277</v>
      </c>
      <c r="V64" s="1384" t="s">
        <v>49</v>
      </c>
      <c r="W64" s="1385" t="s">
        <v>279</v>
      </c>
      <c r="X64" s="1387" t="s">
        <v>277</v>
      </c>
      <c r="Y64" s="1384" t="s">
        <v>49</v>
      </c>
      <c r="Z64" s="1386" t="s">
        <v>279</v>
      </c>
      <c r="AA64" s="662" t="s">
        <v>0</v>
      </c>
    </row>
    <row r="65" spans="1:27" ht="16.5" thickTop="1">
      <c r="A65" s="692"/>
      <c r="B65" s="2483" t="s">
        <v>637</v>
      </c>
      <c r="C65" s="2484"/>
      <c r="D65" s="695"/>
      <c r="E65" s="696"/>
      <c r="F65" s="697">
        <v>0</v>
      </c>
      <c r="G65" s="695"/>
      <c r="H65" s="696"/>
      <c r="I65" s="697">
        <v>0</v>
      </c>
      <c r="J65" s="695"/>
      <c r="K65" s="696"/>
      <c r="L65" s="697"/>
      <c r="M65" s="695"/>
      <c r="N65" s="696"/>
      <c r="O65" s="697">
        <f>I65+L65</f>
        <v>0</v>
      </c>
      <c r="P65" s="695"/>
      <c r="Q65" s="696"/>
      <c r="R65" s="667">
        <v>120000</v>
      </c>
      <c r="S65" s="696"/>
      <c r="T65" s="696"/>
      <c r="U65" s="696"/>
      <c r="V65" s="696"/>
      <c r="W65" s="697"/>
      <c r="X65" s="695"/>
      <c r="Y65" s="696"/>
      <c r="Z65" s="708">
        <f>R65+O65+W65</f>
        <v>120000</v>
      </c>
      <c r="AA65" s="662" t="s">
        <v>0</v>
      </c>
    </row>
    <row r="66" spans="1:27">
      <c r="A66" s="692"/>
      <c r="B66" s="2136" t="s">
        <v>638</v>
      </c>
      <c r="C66" s="2480"/>
      <c r="D66" s="695"/>
      <c r="E66" s="1388"/>
      <c r="F66" s="701">
        <v>10000</v>
      </c>
      <c r="G66" s="695"/>
      <c r="H66" s="696"/>
      <c r="I66" s="701">
        <v>10000</v>
      </c>
      <c r="J66" s="695"/>
      <c r="K66" s="696"/>
      <c r="L66" s="701"/>
      <c r="M66" s="695"/>
      <c r="N66" s="696"/>
      <c r="O66" s="697">
        <f t="shared" ref="O66:O73" si="0">I66+L66</f>
        <v>10000</v>
      </c>
      <c r="P66" s="695"/>
      <c r="Q66" s="696"/>
      <c r="R66" s="708">
        <v>5000</v>
      </c>
      <c r="S66" s="696"/>
      <c r="T66" s="696"/>
      <c r="U66" s="696"/>
      <c r="V66" s="696"/>
      <c r="W66" s="701"/>
      <c r="X66" s="695"/>
      <c r="Y66" s="696"/>
      <c r="Z66" s="708">
        <f>R66+O66+W66</f>
        <v>15000</v>
      </c>
      <c r="AA66" s="662" t="s">
        <v>0</v>
      </c>
    </row>
    <row r="67" spans="1:27">
      <c r="A67" s="692"/>
      <c r="B67" s="2136" t="s">
        <v>639</v>
      </c>
      <c r="C67" s="2480"/>
      <c r="D67" s="695"/>
      <c r="E67" s="1388"/>
      <c r="F67" s="701">
        <v>0</v>
      </c>
      <c r="G67" s="695"/>
      <c r="H67" s="696"/>
      <c r="I67" s="701">
        <v>0</v>
      </c>
      <c r="J67" s="695"/>
      <c r="K67" s="696"/>
      <c r="L67" s="701"/>
      <c r="M67" s="695"/>
      <c r="N67" s="696"/>
      <c r="O67" s="697">
        <f t="shared" si="0"/>
        <v>0</v>
      </c>
      <c r="P67" s="695"/>
      <c r="Q67" s="696"/>
      <c r="R67" s="708">
        <v>12000</v>
      </c>
      <c r="S67" s="696"/>
      <c r="T67" s="696"/>
      <c r="U67" s="696"/>
      <c r="V67" s="696"/>
      <c r="W67" s="701"/>
      <c r="X67" s="695"/>
      <c r="Y67" s="696"/>
      <c r="Z67" s="708">
        <f t="shared" ref="Z67:Z71" si="1">R67+O67+W67</f>
        <v>12000</v>
      </c>
      <c r="AA67" s="662" t="s">
        <v>0</v>
      </c>
    </row>
    <row r="68" spans="1:27">
      <c r="A68" s="692"/>
      <c r="B68" s="2136" t="s">
        <v>648</v>
      </c>
      <c r="C68" s="2480"/>
      <c r="D68" s="695"/>
      <c r="E68" s="1388"/>
      <c r="F68" s="1389">
        <v>55000</v>
      </c>
      <c r="G68" s="695"/>
      <c r="H68" s="696"/>
      <c r="I68" s="701">
        <v>55000</v>
      </c>
      <c r="J68" s="695"/>
      <c r="K68" s="696"/>
      <c r="L68" s="701"/>
      <c r="M68" s="695"/>
      <c r="N68" s="696"/>
      <c r="O68" s="697">
        <f t="shared" si="0"/>
        <v>55000</v>
      </c>
      <c r="P68" s="695"/>
      <c r="Q68" s="696"/>
      <c r="R68" s="708"/>
      <c r="S68" s="696"/>
      <c r="T68" s="696"/>
      <c r="U68" s="696"/>
      <c r="V68" s="696"/>
      <c r="W68" s="697">
        <v>-55000</v>
      </c>
      <c r="X68" s="695"/>
      <c r="Y68" s="696"/>
      <c r="Z68" s="708">
        <f t="shared" si="1"/>
        <v>0</v>
      </c>
      <c r="AA68" s="662" t="s">
        <v>0</v>
      </c>
    </row>
    <row r="69" spans="1:27" ht="17.25" customHeight="1">
      <c r="A69" s="692"/>
      <c r="B69" s="2136" t="s">
        <v>640</v>
      </c>
      <c r="C69" s="2480"/>
      <c r="D69" s="695"/>
      <c r="E69" s="1388"/>
      <c r="F69" s="701">
        <v>0</v>
      </c>
      <c r="G69" s="695"/>
      <c r="H69" s="696"/>
      <c r="I69" s="701">
        <v>0</v>
      </c>
      <c r="J69" s="695"/>
      <c r="K69" s="696"/>
      <c r="L69" s="701"/>
      <c r="M69" s="695"/>
      <c r="N69" s="696"/>
      <c r="O69" s="697">
        <f t="shared" si="0"/>
        <v>0</v>
      </c>
      <c r="P69" s="695"/>
      <c r="Q69" s="696"/>
      <c r="R69" s="708">
        <v>6000</v>
      </c>
      <c r="S69" s="696"/>
      <c r="T69" s="696"/>
      <c r="U69" s="696"/>
      <c r="V69" s="696"/>
      <c r="W69" s="701"/>
      <c r="X69" s="695"/>
      <c r="Y69" s="696"/>
      <c r="Z69" s="708">
        <f t="shared" si="1"/>
        <v>6000</v>
      </c>
      <c r="AA69" s="662" t="s">
        <v>0</v>
      </c>
    </row>
    <row r="70" spans="1:27">
      <c r="A70" s="692"/>
      <c r="B70" s="2136" t="s">
        <v>649</v>
      </c>
      <c r="C70" s="2480"/>
      <c r="D70" s="695"/>
      <c r="E70" s="1388"/>
      <c r="F70" s="701">
        <v>75000</v>
      </c>
      <c r="G70" s="695"/>
      <c r="H70" s="696"/>
      <c r="I70" s="701">
        <v>75000</v>
      </c>
      <c r="J70" s="695"/>
      <c r="K70" s="696"/>
      <c r="L70" s="701"/>
      <c r="M70" s="695"/>
      <c r="N70" s="696"/>
      <c r="O70" s="697">
        <f t="shared" si="0"/>
        <v>75000</v>
      </c>
      <c r="P70" s="695"/>
      <c r="Q70" s="696"/>
      <c r="R70" s="708"/>
      <c r="S70" s="696"/>
      <c r="T70" s="696"/>
      <c r="U70" s="696"/>
      <c r="V70" s="696"/>
      <c r="W70" s="697">
        <v>-75000</v>
      </c>
      <c r="X70" s="695"/>
      <c r="Y70" s="696"/>
      <c r="Z70" s="708">
        <f t="shared" si="1"/>
        <v>0</v>
      </c>
      <c r="AA70" s="662" t="s">
        <v>0</v>
      </c>
    </row>
    <row r="71" spans="1:27" ht="31.5" customHeight="1">
      <c r="A71" s="692"/>
      <c r="B71" s="2351" t="s">
        <v>650</v>
      </c>
      <c r="C71" s="2352"/>
      <c r="D71" s="695"/>
      <c r="E71" s="1388"/>
      <c r="F71" s="701">
        <v>91095</v>
      </c>
      <c r="G71" s="695"/>
      <c r="H71" s="696"/>
      <c r="I71" s="701">
        <v>91095</v>
      </c>
      <c r="J71" s="695"/>
      <c r="K71" s="696"/>
      <c r="L71" s="701"/>
      <c r="M71" s="695"/>
      <c r="N71" s="696"/>
      <c r="O71" s="697">
        <f t="shared" si="0"/>
        <v>91095</v>
      </c>
      <c r="P71" s="695"/>
      <c r="Q71" s="696"/>
      <c r="R71" s="708"/>
      <c r="S71" s="696"/>
      <c r="T71" s="696"/>
      <c r="U71" s="696"/>
      <c r="V71" s="696"/>
      <c r="W71" s="697">
        <v>-91095</v>
      </c>
      <c r="X71" s="695"/>
      <c r="Y71" s="696"/>
      <c r="Z71" s="667">
        <f t="shared" si="1"/>
        <v>0</v>
      </c>
      <c r="AA71" s="662" t="s">
        <v>0</v>
      </c>
    </row>
    <row r="72" spans="1:27">
      <c r="A72" s="692"/>
      <c r="B72" s="2136" t="s">
        <v>643</v>
      </c>
      <c r="C72" s="2480"/>
      <c r="D72" s="695"/>
      <c r="E72" s="1388"/>
      <c r="F72" s="701">
        <v>5000</v>
      </c>
      <c r="G72" s="695"/>
      <c r="H72" s="696"/>
      <c r="I72" s="701">
        <v>5000</v>
      </c>
      <c r="J72" s="695"/>
      <c r="K72" s="696"/>
      <c r="L72" s="701"/>
      <c r="M72" s="695"/>
      <c r="N72" s="696"/>
      <c r="O72" s="697">
        <f t="shared" si="0"/>
        <v>5000</v>
      </c>
      <c r="P72" s="695"/>
      <c r="Q72" s="696"/>
      <c r="R72" s="708"/>
      <c r="S72" s="696"/>
      <c r="T72" s="696"/>
      <c r="U72" s="696"/>
      <c r="V72" s="696"/>
      <c r="W72" s="697">
        <v>-5000</v>
      </c>
      <c r="X72" s="695"/>
      <c r="Y72" s="696"/>
      <c r="Z72" s="708">
        <f>R72+O72+W72</f>
        <v>0</v>
      </c>
      <c r="AA72" s="662" t="s">
        <v>0</v>
      </c>
    </row>
    <row r="73" spans="1:27">
      <c r="A73" s="692"/>
      <c r="B73" s="705" t="s">
        <v>651</v>
      </c>
      <c r="C73" s="706"/>
      <c r="D73" s="695"/>
      <c r="E73" s="1388"/>
      <c r="F73" s="701">
        <v>65000</v>
      </c>
      <c r="G73" s="695"/>
      <c r="H73" s="696"/>
      <c r="I73" s="701">
        <v>65000</v>
      </c>
      <c r="J73" s="695"/>
      <c r="K73" s="696"/>
      <c r="L73" s="701"/>
      <c r="M73" s="695"/>
      <c r="N73" s="696"/>
      <c r="O73" s="697">
        <f t="shared" si="0"/>
        <v>65000</v>
      </c>
      <c r="P73" s="695"/>
      <c r="Q73" s="696"/>
      <c r="R73" s="708"/>
      <c r="S73" s="696"/>
      <c r="T73" s="696"/>
      <c r="U73" s="696"/>
      <c r="V73" s="696"/>
      <c r="W73" s="697">
        <v>-3000</v>
      </c>
      <c r="X73" s="695"/>
      <c r="Y73" s="696"/>
      <c r="Z73" s="708">
        <f>R73+O73+W73</f>
        <v>62000</v>
      </c>
      <c r="AA73" s="662" t="s">
        <v>0</v>
      </c>
    </row>
    <row r="74" spans="1:27">
      <c r="A74" s="692"/>
      <c r="B74" s="705"/>
      <c r="C74" s="706" t="s">
        <v>652</v>
      </c>
      <c r="D74" s="695"/>
      <c r="E74" s="696"/>
      <c r="F74" s="700" t="s">
        <v>549</v>
      </c>
      <c r="G74" s="695"/>
      <c r="H74" s="696"/>
      <c r="I74" s="700" t="s">
        <v>549</v>
      </c>
      <c r="J74" s="695"/>
      <c r="K74" s="696"/>
      <c r="L74" s="701"/>
      <c r="M74" s="695"/>
      <c r="N74" s="696"/>
      <c r="O74" s="700" t="s">
        <v>549</v>
      </c>
      <c r="P74" s="695"/>
      <c r="Q74" s="696"/>
      <c r="R74" s="708"/>
      <c r="S74" s="696"/>
      <c r="T74" s="696"/>
      <c r="U74" s="696"/>
      <c r="V74" s="696"/>
      <c r="W74" s="701"/>
      <c r="X74" s="695"/>
      <c r="Y74" s="696"/>
      <c r="Z74" s="702" t="s">
        <v>549</v>
      </c>
      <c r="AA74" s="662" t="s">
        <v>0</v>
      </c>
    </row>
    <row r="75" spans="1:27">
      <c r="A75" s="692"/>
      <c r="B75" s="705"/>
      <c r="C75" s="706" t="s">
        <v>653</v>
      </c>
      <c r="D75" s="695"/>
      <c r="E75" s="696"/>
      <c r="F75" s="700" t="s">
        <v>420</v>
      </c>
      <c r="G75" s="695"/>
      <c r="H75" s="696"/>
      <c r="I75" s="700" t="s">
        <v>420</v>
      </c>
      <c r="J75" s="695"/>
      <c r="K75" s="696"/>
      <c r="L75" s="701"/>
      <c r="M75" s="695"/>
      <c r="N75" s="696"/>
      <c r="O75" s="700" t="s">
        <v>420</v>
      </c>
      <c r="P75" s="695"/>
      <c r="Q75" s="696"/>
      <c r="R75" s="708"/>
      <c r="S75" s="696"/>
      <c r="T75" s="696"/>
      <c r="U75" s="696"/>
      <c r="V75" s="696"/>
      <c r="W75" s="701"/>
      <c r="X75" s="695"/>
      <c r="Y75" s="696"/>
      <c r="Z75" s="702" t="s">
        <v>420</v>
      </c>
      <c r="AA75" s="662" t="s">
        <v>0</v>
      </c>
    </row>
    <row r="76" spans="1:27">
      <c r="A76" s="692"/>
      <c r="B76" s="705"/>
      <c r="C76" s="706" t="s">
        <v>654</v>
      </c>
      <c r="D76" s="695"/>
      <c r="E76" s="696"/>
      <c r="F76" s="700" t="s">
        <v>554</v>
      </c>
      <c r="G76" s="695"/>
      <c r="H76" s="696"/>
      <c r="I76" s="700" t="s">
        <v>554</v>
      </c>
      <c r="J76" s="695"/>
      <c r="K76" s="696"/>
      <c r="L76" s="701"/>
      <c r="M76" s="695"/>
      <c r="N76" s="696"/>
      <c r="O76" s="700" t="s">
        <v>554</v>
      </c>
      <c r="P76" s="695"/>
      <c r="Q76" s="696"/>
      <c r="R76" s="708"/>
      <c r="S76" s="696"/>
      <c r="T76" s="696"/>
      <c r="U76" s="696"/>
      <c r="V76" s="696"/>
      <c r="W76" s="701"/>
      <c r="X76" s="695"/>
      <c r="Y76" s="696"/>
      <c r="Z76" s="702" t="s">
        <v>554</v>
      </c>
      <c r="AA76" s="662" t="s">
        <v>0</v>
      </c>
    </row>
    <row r="77" spans="1:27">
      <c r="A77" s="692"/>
      <c r="B77" s="705"/>
      <c r="C77" s="706" t="s">
        <v>655</v>
      </c>
      <c r="D77" s="695"/>
      <c r="E77" s="696"/>
      <c r="F77" s="700" t="s">
        <v>549</v>
      </c>
      <c r="G77" s="695"/>
      <c r="H77" s="696"/>
      <c r="I77" s="700" t="s">
        <v>549</v>
      </c>
      <c r="J77" s="695"/>
      <c r="K77" s="696"/>
      <c r="L77" s="701"/>
      <c r="M77" s="695"/>
      <c r="N77" s="696"/>
      <c r="O77" s="700" t="s">
        <v>549</v>
      </c>
      <c r="P77" s="695"/>
      <c r="Q77" s="696"/>
      <c r="R77" s="708"/>
      <c r="S77" s="696"/>
      <c r="T77" s="696"/>
      <c r="U77" s="696"/>
      <c r="V77" s="696"/>
      <c r="W77" s="701"/>
      <c r="X77" s="695"/>
      <c r="Y77" s="696"/>
      <c r="Z77" s="702" t="s">
        <v>549</v>
      </c>
      <c r="AA77" s="662" t="s">
        <v>0</v>
      </c>
    </row>
    <row r="78" spans="1:27">
      <c r="A78" s="1218"/>
      <c r="B78" s="1620" t="s">
        <v>645</v>
      </c>
      <c r="C78" s="706"/>
      <c r="D78" s="695"/>
      <c r="E78" s="696"/>
      <c r="F78" s="701">
        <v>22500</v>
      </c>
      <c r="G78" s="695"/>
      <c r="H78" s="696"/>
      <c r="I78" s="701">
        <v>22500</v>
      </c>
      <c r="J78" s="695"/>
      <c r="K78" s="696"/>
      <c r="L78" s="701"/>
      <c r="M78" s="695"/>
      <c r="N78" s="696"/>
      <c r="O78" s="700">
        <f t="shared" ref="O78" si="2">I78+L78</f>
        <v>22500</v>
      </c>
      <c r="P78" s="695"/>
      <c r="Q78" s="696"/>
      <c r="R78" s="708"/>
      <c r="S78" s="696"/>
      <c r="T78" s="696"/>
      <c r="U78" s="696"/>
      <c r="V78" s="696"/>
      <c r="W78" s="697">
        <v>-2500</v>
      </c>
      <c r="X78" s="695"/>
      <c r="Y78" s="696"/>
      <c r="Z78" s="708">
        <f>+O78+W78</f>
        <v>20000</v>
      </c>
      <c r="AA78" s="662" t="s">
        <v>0</v>
      </c>
    </row>
    <row r="79" spans="1:27">
      <c r="A79" s="692"/>
      <c r="B79" s="705"/>
      <c r="C79" s="706" t="s">
        <v>656</v>
      </c>
      <c r="D79" s="695"/>
      <c r="E79" s="696"/>
      <c r="F79" s="700" t="s">
        <v>554</v>
      </c>
      <c r="G79" s="695"/>
      <c r="H79" s="696"/>
      <c r="I79" s="700" t="s">
        <v>554</v>
      </c>
      <c r="J79" s="695"/>
      <c r="K79" s="696"/>
      <c r="L79" s="701"/>
      <c r="M79" s="695"/>
      <c r="N79" s="696"/>
      <c r="O79" s="700" t="s">
        <v>554</v>
      </c>
      <c r="P79" s="695"/>
      <c r="Q79" s="696"/>
      <c r="R79" s="708"/>
      <c r="S79" s="696"/>
      <c r="T79" s="696"/>
      <c r="U79" s="696"/>
      <c r="V79" s="696"/>
      <c r="W79" s="701"/>
      <c r="X79" s="695"/>
      <c r="Y79" s="696"/>
      <c r="Z79" s="702" t="s">
        <v>554</v>
      </c>
      <c r="AA79" s="662" t="s">
        <v>0</v>
      </c>
    </row>
    <row r="80" spans="1:27">
      <c r="A80" s="692"/>
      <c r="B80" s="705" t="s">
        <v>646</v>
      </c>
      <c r="C80" s="706"/>
      <c r="D80" s="695"/>
      <c r="E80" s="696"/>
      <c r="F80" s="701">
        <v>100000</v>
      </c>
      <c r="G80" s="695"/>
      <c r="H80" s="696"/>
      <c r="I80" s="701">
        <v>100000</v>
      </c>
      <c r="J80" s="695"/>
      <c r="K80" s="696"/>
      <c r="L80" s="701"/>
      <c r="M80" s="695"/>
      <c r="N80" s="696"/>
      <c r="O80" s="701">
        <f t="shared" ref="O80:O81" si="3">I80+L80</f>
        <v>100000</v>
      </c>
      <c r="P80" s="695"/>
      <c r="Q80" s="696"/>
      <c r="R80" s="708"/>
      <c r="S80" s="696"/>
      <c r="T80" s="696"/>
      <c r="U80" s="696"/>
      <c r="V80" s="696"/>
      <c r="W80" s="697">
        <v>-55000</v>
      </c>
      <c r="X80" s="695"/>
      <c r="Y80" s="696"/>
      <c r="Z80" s="708">
        <f>R80+O80+W80</f>
        <v>45000</v>
      </c>
      <c r="AA80" s="662" t="s">
        <v>0</v>
      </c>
    </row>
    <row r="81" spans="1:27">
      <c r="A81" s="692"/>
      <c r="B81" s="705"/>
      <c r="C81" s="706" t="s">
        <v>657</v>
      </c>
      <c r="D81" s="695"/>
      <c r="E81" s="696"/>
      <c r="F81" s="701">
        <v>0</v>
      </c>
      <c r="G81" s="695"/>
      <c r="H81" s="696"/>
      <c r="I81" s="701">
        <v>0</v>
      </c>
      <c r="J81" s="695"/>
      <c r="K81" s="696"/>
      <c r="L81" s="701"/>
      <c r="M81" s="695"/>
      <c r="N81" s="696"/>
      <c r="O81" s="701">
        <f t="shared" si="3"/>
        <v>0</v>
      </c>
      <c r="P81" s="695"/>
      <c r="Q81" s="696"/>
      <c r="R81" s="702" t="s">
        <v>554</v>
      </c>
      <c r="S81" s="696"/>
      <c r="T81" s="696"/>
      <c r="U81" s="696"/>
      <c r="V81" s="696"/>
      <c r="W81" s="701"/>
      <c r="X81" s="695"/>
      <c r="Y81" s="696"/>
      <c r="Z81" s="702" t="s">
        <v>554</v>
      </c>
      <c r="AA81" s="662" t="s">
        <v>0</v>
      </c>
    </row>
    <row r="82" spans="1:27">
      <c r="A82" s="709"/>
      <c r="B82" s="705"/>
      <c r="C82" s="1149" t="s">
        <v>597</v>
      </c>
      <c r="D82" s="1154"/>
      <c r="E82" s="1390"/>
      <c r="F82" s="1391">
        <f>SUM(F66:F80)</f>
        <v>423595</v>
      </c>
      <c r="G82" s="1392"/>
      <c r="H82" s="1393"/>
      <c r="I82" s="1391">
        <f>SUM(I65:I80)</f>
        <v>423595</v>
      </c>
      <c r="J82" s="1392"/>
      <c r="K82" s="1393"/>
      <c r="L82" s="1394">
        <v>0</v>
      </c>
      <c r="M82" s="1392"/>
      <c r="N82" s="1393"/>
      <c r="O82" s="1391">
        <f>SUM(O65:O81)</f>
        <v>423595</v>
      </c>
      <c r="P82" s="1392"/>
      <c r="Q82" s="1393"/>
      <c r="R82" s="1395">
        <f>SUM(R65:R81)</f>
        <v>143000</v>
      </c>
      <c r="S82" s="1390"/>
      <c r="T82" s="1390"/>
      <c r="U82" s="1390"/>
      <c r="V82" s="1390"/>
      <c r="W82" s="1396">
        <f>SUM(W66:W80)</f>
        <v>-286595</v>
      </c>
      <c r="X82" s="1150"/>
      <c r="Y82" s="1151"/>
      <c r="Z82" s="1397">
        <f>SUM(Z65:Z81)</f>
        <v>280000</v>
      </c>
      <c r="AA82" s="662" t="s">
        <v>0</v>
      </c>
    </row>
    <row r="83" spans="1:27" ht="17.25" customHeight="1">
      <c r="A83" s="709"/>
      <c r="B83" s="705" t="s">
        <v>448</v>
      </c>
      <c r="C83" s="1149"/>
      <c r="D83" s="1154"/>
      <c r="E83" s="741"/>
      <c r="F83" s="1155">
        <v>-8008</v>
      </c>
      <c r="G83" s="1154"/>
      <c r="H83" s="741"/>
      <c r="I83" s="1155">
        <v>-6000</v>
      </c>
      <c r="J83" s="1154"/>
      <c r="K83" s="741"/>
      <c r="L83" s="1126"/>
      <c r="M83" s="1154"/>
      <c r="N83" s="741"/>
      <c r="O83" s="1126"/>
      <c r="P83" s="1154"/>
      <c r="Q83" s="741"/>
      <c r="R83" s="1398"/>
      <c r="S83" s="741"/>
      <c r="T83" s="741"/>
      <c r="U83" s="741"/>
      <c r="V83" s="741"/>
      <c r="W83" s="1126"/>
      <c r="X83" s="1154"/>
      <c r="Y83" s="741"/>
      <c r="Z83" s="1125">
        <v>-4000</v>
      </c>
      <c r="AA83" s="662" t="s">
        <v>0</v>
      </c>
    </row>
    <row r="84" spans="1:27" ht="17.25" customHeight="1">
      <c r="A84" s="709"/>
      <c r="B84" s="705" t="s">
        <v>412</v>
      </c>
      <c r="C84" s="1149"/>
      <c r="D84" s="1154"/>
      <c r="E84" s="741"/>
      <c r="F84" s="1155">
        <v>-5122</v>
      </c>
      <c r="G84" s="1154"/>
      <c r="H84" s="741"/>
      <c r="I84" s="1126">
        <v>0</v>
      </c>
      <c r="J84" s="1154"/>
      <c r="K84" s="741"/>
      <c r="L84" s="1126"/>
      <c r="M84" s="1154"/>
      <c r="N84" s="741"/>
      <c r="O84" s="1126"/>
      <c r="P84" s="1154"/>
      <c r="Q84" s="741"/>
      <c r="R84" s="1398"/>
      <c r="S84" s="741"/>
      <c r="T84" s="741"/>
      <c r="U84" s="741"/>
      <c r="V84" s="741"/>
      <c r="W84" s="1126"/>
      <c r="X84" s="1154"/>
      <c r="Y84" s="741"/>
      <c r="Z84" s="1398"/>
      <c r="AA84" s="662" t="s">
        <v>0</v>
      </c>
    </row>
    <row r="85" spans="1:27">
      <c r="A85" s="710"/>
      <c r="B85" s="711"/>
      <c r="C85" s="1399" t="s">
        <v>50</v>
      </c>
      <c r="D85" s="712">
        <f t="shared" ref="D85:Y85" si="4">SUM(D65:D81)</f>
        <v>0</v>
      </c>
      <c r="E85" s="722">
        <f t="shared" si="4"/>
        <v>0</v>
      </c>
      <c r="F85" s="1400">
        <f>SUM(F82:F84)</f>
        <v>410465</v>
      </c>
      <c r="G85" s="712">
        <f t="shared" si="4"/>
        <v>0</v>
      </c>
      <c r="H85" s="722">
        <f t="shared" si="4"/>
        <v>0</v>
      </c>
      <c r="I85" s="1400">
        <f>SUM(I82:I84)</f>
        <v>417595</v>
      </c>
      <c r="J85" s="712">
        <f t="shared" si="4"/>
        <v>0</v>
      </c>
      <c r="K85" s="722">
        <f t="shared" si="4"/>
        <v>0</v>
      </c>
      <c r="L85" s="1400">
        <f>SUM(L82:L84)</f>
        <v>0</v>
      </c>
      <c r="M85" s="712">
        <f t="shared" si="4"/>
        <v>0</v>
      </c>
      <c r="N85" s="722">
        <f t="shared" si="4"/>
        <v>0</v>
      </c>
      <c r="O85" s="1400">
        <f>SUM(O82:O84)</f>
        <v>423595</v>
      </c>
      <c r="P85" s="712">
        <f t="shared" si="4"/>
        <v>0</v>
      </c>
      <c r="Q85" s="722">
        <f t="shared" si="4"/>
        <v>0</v>
      </c>
      <c r="R85" s="1401">
        <f>SUM(R82:R84)</f>
        <v>143000</v>
      </c>
      <c r="S85" s="722">
        <f t="shared" si="4"/>
        <v>0</v>
      </c>
      <c r="T85" s="722">
        <f t="shared" si="4"/>
        <v>0</v>
      </c>
      <c r="U85" s="722">
        <v>0</v>
      </c>
      <c r="V85" s="722">
        <v>0</v>
      </c>
      <c r="W85" s="1402">
        <f>SUM(W82:W84)</f>
        <v>-286595</v>
      </c>
      <c r="X85" s="712">
        <f t="shared" si="4"/>
        <v>0</v>
      </c>
      <c r="Y85" s="722">
        <f t="shared" si="4"/>
        <v>0</v>
      </c>
      <c r="Z85" s="1401">
        <f>SUM(Z82:Z84)</f>
        <v>276000</v>
      </c>
      <c r="AA85" s="662" t="s">
        <v>0</v>
      </c>
    </row>
    <row r="86" spans="1:27">
      <c r="A86" s="710"/>
      <c r="B86" s="2148" t="s">
        <v>263</v>
      </c>
      <c r="C86" s="2149"/>
      <c r="D86" s="732"/>
      <c r="E86" s="733"/>
      <c r="F86" s="734"/>
      <c r="G86" s="735"/>
      <c r="H86" s="736"/>
      <c r="I86" s="736"/>
      <c r="J86" s="735"/>
      <c r="K86" s="736"/>
      <c r="L86" s="736"/>
      <c r="M86" s="735"/>
      <c r="N86" s="736"/>
      <c r="O86" s="736"/>
      <c r="P86" s="735"/>
      <c r="Q86" s="736"/>
      <c r="R86" s="737"/>
      <c r="S86" s="736"/>
      <c r="T86" s="736"/>
      <c r="U86" s="736"/>
      <c r="V86" s="736"/>
      <c r="W86" s="736"/>
      <c r="X86" s="735"/>
      <c r="Y86" s="733"/>
      <c r="Z86" s="737"/>
      <c r="AA86" s="662" t="s">
        <v>0</v>
      </c>
    </row>
    <row r="87" spans="1:27">
      <c r="A87" s="692"/>
      <c r="B87" s="2144" t="s">
        <v>262</v>
      </c>
      <c r="C87" s="2145"/>
      <c r="D87" s="695"/>
      <c r="E87" s="696">
        <f>+E85+E86</f>
        <v>0</v>
      </c>
      <c r="F87" s="701"/>
      <c r="G87" s="738"/>
      <c r="H87" s="696">
        <f>+H85+H86</f>
        <v>0</v>
      </c>
      <c r="I87" s="697"/>
      <c r="J87" s="738"/>
      <c r="K87" s="696">
        <f>+K85+K86</f>
        <v>0</v>
      </c>
      <c r="L87" s="697"/>
      <c r="M87" s="738"/>
      <c r="N87" s="696">
        <f>+N85+N86</f>
        <v>0</v>
      </c>
      <c r="O87" s="697"/>
      <c r="P87" s="738"/>
      <c r="Q87" s="696">
        <f>+Q85+Q86</f>
        <v>0</v>
      </c>
      <c r="R87" s="667"/>
      <c r="S87" s="697"/>
      <c r="T87" s="696">
        <f>+T85+T86</f>
        <v>0</v>
      </c>
      <c r="U87" s="696"/>
      <c r="V87" s="696"/>
      <c r="W87" s="697"/>
      <c r="X87" s="738"/>
      <c r="Y87" s="696">
        <f>+Y85+Y86</f>
        <v>0</v>
      </c>
      <c r="Z87" s="667"/>
      <c r="AA87" s="662" t="s">
        <v>0</v>
      </c>
    </row>
    <row r="88" spans="1:27">
      <c r="A88" s="739"/>
      <c r="B88" s="2133"/>
      <c r="C88" s="2134"/>
      <c r="D88" s="726"/>
      <c r="E88" s="727"/>
      <c r="F88" s="663"/>
      <c r="G88" s="728"/>
      <c r="H88" s="729"/>
      <c r="I88" s="729"/>
      <c r="J88" s="728"/>
      <c r="K88" s="729"/>
      <c r="L88" s="729"/>
      <c r="M88" s="728"/>
      <c r="N88" s="729"/>
      <c r="O88" s="729"/>
      <c r="P88" s="728"/>
      <c r="Q88" s="730"/>
      <c r="R88" s="731"/>
      <c r="S88" s="730"/>
      <c r="T88" s="729"/>
      <c r="U88" s="729"/>
      <c r="V88" s="729"/>
      <c r="W88" s="729"/>
      <c r="X88" s="728"/>
      <c r="Y88" s="730"/>
      <c r="Z88" s="731"/>
      <c r="AA88" s="662" t="s">
        <v>0</v>
      </c>
    </row>
    <row r="89" spans="1:27">
      <c r="A89" s="692"/>
      <c r="B89" s="2144" t="s">
        <v>260</v>
      </c>
      <c r="C89" s="2145"/>
      <c r="D89" s="695"/>
      <c r="E89" s="696"/>
      <c r="F89" s="701"/>
      <c r="G89" s="738"/>
      <c r="H89" s="697"/>
      <c r="I89" s="697"/>
      <c r="J89" s="738"/>
      <c r="K89" s="697"/>
      <c r="L89" s="697"/>
      <c r="M89" s="738"/>
      <c r="N89" s="697"/>
      <c r="O89" s="697"/>
      <c r="P89" s="738"/>
      <c r="Q89" s="697"/>
      <c r="R89" s="667"/>
      <c r="S89" s="697"/>
      <c r="T89" s="697"/>
      <c r="U89" s="697"/>
      <c r="V89" s="697"/>
      <c r="W89" s="697"/>
      <c r="X89" s="738"/>
      <c r="Y89" s="697"/>
      <c r="Z89" s="667"/>
      <c r="AA89" s="662" t="s">
        <v>0</v>
      </c>
    </row>
    <row r="90" spans="1:27">
      <c r="A90" s="692"/>
      <c r="B90" s="740"/>
      <c r="C90" s="704" t="s">
        <v>55</v>
      </c>
      <c r="D90" s="695"/>
      <c r="E90" s="696"/>
      <c r="F90" s="701"/>
      <c r="G90" s="738"/>
      <c r="H90" s="697"/>
      <c r="I90" s="697"/>
      <c r="J90" s="738"/>
      <c r="K90" s="696"/>
      <c r="L90" s="697"/>
      <c r="M90" s="738"/>
      <c r="N90" s="696"/>
      <c r="O90" s="697"/>
      <c r="P90" s="738"/>
      <c r="Q90" s="696"/>
      <c r="R90" s="667"/>
      <c r="S90" s="697"/>
      <c r="T90" s="696"/>
      <c r="U90" s="696"/>
      <c r="V90" s="696"/>
      <c r="W90" s="697"/>
      <c r="X90" s="738"/>
      <c r="Y90" s="741"/>
      <c r="Z90" s="667"/>
      <c r="AA90" s="662" t="s">
        <v>0</v>
      </c>
    </row>
    <row r="91" spans="1:27">
      <c r="A91" s="710"/>
      <c r="B91" s="742"/>
      <c r="C91" s="743" t="s">
        <v>103</v>
      </c>
      <c r="D91" s="732"/>
      <c r="E91" s="733"/>
      <c r="F91" s="734"/>
      <c r="G91" s="735"/>
      <c r="H91" s="736"/>
      <c r="I91" s="736"/>
      <c r="J91" s="735"/>
      <c r="K91" s="733"/>
      <c r="L91" s="736"/>
      <c r="M91" s="735"/>
      <c r="N91" s="733"/>
      <c r="O91" s="736"/>
      <c r="P91" s="735"/>
      <c r="Q91" s="733"/>
      <c r="R91" s="737"/>
      <c r="S91" s="736"/>
      <c r="T91" s="733"/>
      <c r="U91" s="733"/>
      <c r="V91" s="733"/>
      <c r="W91" s="736"/>
      <c r="X91" s="735"/>
      <c r="Y91" s="733"/>
      <c r="Z91" s="737"/>
      <c r="AA91" s="662" t="s">
        <v>0</v>
      </c>
    </row>
    <row r="92" spans="1:27">
      <c r="A92" s="710"/>
      <c r="B92" s="2148" t="s">
        <v>261</v>
      </c>
      <c r="C92" s="2149"/>
      <c r="D92" s="732"/>
      <c r="E92" s="733">
        <f>E91+E90+E87</f>
        <v>0</v>
      </c>
      <c r="F92" s="734"/>
      <c r="G92" s="735"/>
      <c r="H92" s="733">
        <f>H91+H90+H87</f>
        <v>0</v>
      </c>
      <c r="I92" s="736"/>
      <c r="J92" s="735"/>
      <c r="K92" s="733">
        <f>K91+K90+K87</f>
        <v>0</v>
      </c>
      <c r="L92" s="736"/>
      <c r="M92" s="735"/>
      <c r="N92" s="733">
        <f>N91+N90+N87</f>
        <v>0</v>
      </c>
      <c r="O92" s="736"/>
      <c r="P92" s="735"/>
      <c r="Q92" s="733">
        <f>Q91+Q90+Q87</f>
        <v>0</v>
      </c>
      <c r="R92" s="737"/>
      <c r="S92" s="736"/>
      <c r="T92" s="733">
        <f>T91+T90+T87</f>
        <v>0</v>
      </c>
      <c r="U92" s="733"/>
      <c r="V92" s="733"/>
      <c r="W92" s="736"/>
      <c r="X92" s="735"/>
      <c r="Y92" s="733">
        <f>Y91+Y90+Y87</f>
        <v>0</v>
      </c>
      <c r="Z92" s="737"/>
      <c r="AA92" s="662" t="s">
        <v>24</v>
      </c>
    </row>
    <row r="93" spans="1:27">
      <c r="C93" s="744"/>
    </row>
    <row r="94" spans="1:27" s="746" customFormat="1" ht="15">
      <c r="D94" s="747"/>
      <c r="E94" s="747"/>
      <c r="F94" s="747"/>
      <c r="G94" s="747"/>
      <c r="H94" s="747"/>
      <c r="I94" s="747"/>
      <c r="J94" s="747"/>
      <c r="K94" s="747"/>
      <c r="L94" s="747"/>
      <c r="M94" s="747"/>
      <c r="N94" s="747"/>
      <c r="O94" s="747"/>
      <c r="P94" s="747"/>
      <c r="Q94" s="747"/>
      <c r="R94" s="747"/>
      <c r="S94" s="747"/>
      <c r="T94" s="747"/>
      <c r="U94" s="747"/>
      <c r="V94" s="747"/>
      <c r="W94" s="747"/>
      <c r="X94" s="747"/>
      <c r="Y94" s="747"/>
      <c r="Z94" s="747"/>
      <c r="AA94" s="748"/>
    </row>
    <row r="95" spans="1:27" s="746" customFormat="1" ht="25.5">
      <c r="A95" s="2151"/>
      <c r="B95" s="2032"/>
      <c r="C95" s="2032"/>
      <c r="D95" s="2032"/>
      <c r="E95" s="2032"/>
      <c r="F95" s="2032"/>
      <c r="G95" s="2032"/>
      <c r="H95" s="2032"/>
      <c r="I95" s="2032"/>
      <c r="J95" s="2032"/>
      <c r="K95" s="2032"/>
      <c r="L95" s="2032"/>
      <c r="M95" s="2032"/>
      <c r="N95" s="2032"/>
      <c r="O95" s="2032"/>
      <c r="P95" s="2032"/>
      <c r="Q95" s="2032"/>
      <c r="R95" s="2032"/>
      <c r="S95" s="2032"/>
      <c r="T95" s="2032"/>
      <c r="U95" s="2032"/>
      <c r="V95" s="2032"/>
      <c r="W95" s="2032"/>
      <c r="X95" s="2032"/>
      <c r="Y95" s="755"/>
      <c r="Z95" s="755"/>
      <c r="AA95" s="748"/>
    </row>
    <row r="96" spans="1:27" s="746" customFormat="1" ht="25.5">
      <c r="A96" s="2152"/>
      <c r="B96" s="2153"/>
      <c r="C96" s="2153"/>
      <c r="D96" s="2153"/>
      <c r="E96" s="2153"/>
      <c r="F96" s="2153"/>
      <c r="G96" s="2153"/>
      <c r="H96" s="2153"/>
      <c r="I96" s="2153"/>
      <c r="J96" s="2153"/>
      <c r="K96" s="2153"/>
      <c r="L96" s="2153"/>
      <c r="M96" s="2153"/>
      <c r="N96" s="2153"/>
      <c r="O96" s="2153"/>
      <c r="P96" s="2153"/>
      <c r="Q96" s="2153"/>
      <c r="R96" s="2153"/>
      <c r="S96" s="2153"/>
      <c r="T96" s="2153"/>
      <c r="U96" s="2153"/>
      <c r="V96" s="2153"/>
      <c r="W96" s="2153"/>
      <c r="X96" s="2153"/>
      <c r="Y96" s="755"/>
      <c r="Z96" s="755"/>
      <c r="AA96" s="748"/>
    </row>
    <row r="97" spans="1:27" s="746" customFormat="1" ht="30" customHeight="1">
      <c r="A97" s="2153"/>
      <c r="B97" s="2153"/>
      <c r="C97" s="2153"/>
      <c r="D97" s="2153"/>
      <c r="E97" s="2153"/>
      <c r="F97" s="2153"/>
      <c r="G97" s="2153"/>
      <c r="H97" s="2153"/>
      <c r="I97" s="2153"/>
      <c r="J97" s="2153"/>
      <c r="K97" s="2153"/>
      <c r="L97" s="2153"/>
      <c r="M97" s="2153"/>
      <c r="N97" s="2153"/>
      <c r="O97" s="2153"/>
      <c r="P97" s="2153"/>
      <c r="Q97" s="2153"/>
      <c r="R97" s="2153"/>
      <c r="S97" s="2153"/>
      <c r="T97" s="2153"/>
      <c r="U97" s="2153"/>
      <c r="V97" s="2153"/>
      <c r="W97" s="2153"/>
      <c r="X97" s="2153"/>
      <c r="Y97" s="755"/>
      <c r="Z97" s="755"/>
      <c r="AA97" s="748"/>
    </row>
    <row r="98" spans="1:27" s="746" customFormat="1" ht="62.25" customHeight="1">
      <c r="A98" s="2146"/>
      <c r="B98" s="2146"/>
      <c r="C98" s="2146"/>
      <c r="D98" s="2146"/>
      <c r="E98" s="2146"/>
      <c r="F98" s="2146"/>
      <c r="G98" s="2146"/>
      <c r="H98" s="2146"/>
      <c r="I98" s="2146"/>
      <c r="J98" s="2146"/>
      <c r="K98" s="2146"/>
      <c r="L98" s="2146"/>
      <c r="M98" s="2146"/>
      <c r="N98" s="2146"/>
      <c r="O98" s="2146"/>
      <c r="P98" s="2146"/>
      <c r="Q98" s="2146"/>
      <c r="R98" s="2146"/>
      <c r="S98" s="2146"/>
      <c r="T98" s="2146"/>
      <c r="U98" s="2146"/>
      <c r="V98" s="2146"/>
      <c r="W98" s="2146"/>
      <c r="X98" s="2146"/>
      <c r="Y98" s="756"/>
      <c r="Z98" s="756"/>
      <c r="AA98" s="748"/>
    </row>
    <row r="99" spans="1:27" s="746" customFormat="1" ht="90.75" customHeight="1">
      <c r="A99" s="2146"/>
      <c r="B99" s="2147"/>
      <c r="C99" s="2147"/>
      <c r="D99" s="2147"/>
      <c r="E99" s="2147"/>
      <c r="F99" s="2147"/>
      <c r="G99" s="2147"/>
      <c r="H99" s="2147"/>
      <c r="I99" s="2147"/>
      <c r="J99" s="2147"/>
      <c r="K99" s="2147"/>
      <c r="L99" s="2147"/>
      <c r="M99" s="2147"/>
      <c r="N99" s="2147"/>
      <c r="O99" s="2147"/>
      <c r="P99" s="2147"/>
      <c r="Q99" s="2147"/>
      <c r="R99" s="2147"/>
      <c r="S99" s="2147"/>
      <c r="T99" s="2147"/>
      <c r="U99" s="2147"/>
      <c r="V99" s="2147"/>
      <c r="W99" s="2147"/>
      <c r="X99" s="2147"/>
      <c r="Y99" s="756"/>
      <c r="Z99" s="756"/>
      <c r="AA99" s="748"/>
    </row>
    <row r="100" spans="1:27" s="757" customFormat="1" ht="25.5">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759"/>
      <c r="Z100" s="760"/>
    </row>
    <row r="101" spans="1:27">
      <c r="Y101" s="761"/>
      <c r="Z101" s="761"/>
    </row>
    <row r="102" spans="1:27">
      <c r="K102" s="762"/>
    </row>
  </sheetData>
  <mergeCells count="70">
    <mergeCell ref="B92:C92"/>
    <mergeCell ref="A95:X95"/>
    <mergeCell ref="A96:X97"/>
    <mergeCell ref="A98:X98"/>
    <mergeCell ref="A99:X99"/>
    <mergeCell ref="B89:C89"/>
    <mergeCell ref="B68:C68"/>
    <mergeCell ref="B69:C69"/>
    <mergeCell ref="B70:C70"/>
    <mergeCell ref="B71:C71"/>
    <mergeCell ref="B72:C72"/>
    <mergeCell ref="B86:C86"/>
    <mergeCell ref="B87:C87"/>
    <mergeCell ref="B88:C88"/>
    <mergeCell ref="S62:W63"/>
    <mergeCell ref="X62:Z63"/>
    <mergeCell ref="B65:C65"/>
    <mergeCell ref="B66:C66"/>
    <mergeCell ref="M62:O63"/>
    <mergeCell ref="P62:R63"/>
    <mergeCell ref="B67:C67"/>
    <mergeCell ref="A62:C64"/>
    <mergeCell ref="D62:F63"/>
    <mergeCell ref="G62:I63"/>
    <mergeCell ref="J62:L63"/>
    <mergeCell ref="A56:Z56"/>
    <mergeCell ref="A37:W37"/>
    <mergeCell ref="A39:W39"/>
    <mergeCell ref="A40:W40"/>
    <mergeCell ref="A41:W41"/>
    <mergeCell ref="A42:W42"/>
    <mergeCell ref="A43:W43"/>
    <mergeCell ref="A44:W44"/>
    <mergeCell ref="A45:W45"/>
    <mergeCell ref="A53:Z53"/>
    <mergeCell ref="A54:Z54"/>
    <mergeCell ref="A55:Z55"/>
    <mergeCell ref="A36:W36"/>
    <mergeCell ref="A22:W22"/>
    <mergeCell ref="A23:W23"/>
    <mergeCell ref="A24:W24"/>
    <mergeCell ref="A25:W25"/>
    <mergeCell ref="A26:W26"/>
    <mergeCell ref="A27:W27"/>
    <mergeCell ref="A28:W28"/>
    <mergeCell ref="A32:W32"/>
    <mergeCell ref="A33:W33"/>
    <mergeCell ref="A34:W34"/>
    <mergeCell ref="A35:W35"/>
    <mergeCell ref="A21:W21"/>
    <mergeCell ref="A8:Z8"/>
    <mergeCell ref="A9:Z9"/>
    <mergeCell ref="A10:Z10"/>
    <mergeCell ref="A11:Z11"/>
    <mergeCell ref="A12:W14"/>
    <mergeCell ref="X12:Z12"/>
    <mergeCell ref="X13:X14"/>
    <mergeCell ref="Y13:Y14"/>
    <mergeCell ref="Z13:Z14"/>
    <mergeCell ref="A15:W15"/>
    <mergeCell ref="A17:W17"/>
    <mergeCell ref="A18:W18"/>
    <mergeCell ref="A19:W19"/>
    <mergeCell ref="A20:W20"/>
    <mergeCell ref="A7:Z7"/>
    <mergeCell ref="A2:Z2"/>
    <mergeCell ref="A3:Z3"/>
    <mergeCell ref="A4:Z4"/>
    <mergeCell ref="A5:Z5"/>
    <mergeCell ref="A6:Z6"/>
  </mergeCells>
  <printOptions horizontalCentered="1"/>
  <pageMargins left="0.5" right="0.5" top="0.5" bottom="0.5" header="0" footer="0"/>
  <pageSetup scale="44" firstPageNumber="8" fitToHeight="0" orientation="landscape" useFirstPageNumber="1" r:id="rId1"/>
  <headerFooter alignWithMargins="0">
    <oddFooter>&amp;C&amp;"Times New Roman,Regular"Exhibit B - Summary of Requirements&amp;R&amp;"Times New Roman,Regular"Juvenile Justice Programs</oddFooter>
  </headerFooter>
  <rowBreaks count="1" manualBreakCount="1">
    <brk id="45" max="23" man="1"/>
  </rowBreaks>
</worksheet>
</file>

<file path=xl/worksheets/sheet39.xml><?xml version="1.0" encoding="utf-8"?>
<worksheet xmlns="http://schemas.openxmlformats.org/spreadsheetml/2006/main" xmlns:r="http://schemas.openxmlformats.org/officeDocument/2006/relationships">
  <dimension ref="A1:R39"/>
  <sheetViews>
    <sheetView view="pageBreakPreview" topLeftCell="B1" zoomScale="75" zoomScaleNormal="100" zoomScaleSheetLayoutView="75" workbookViewId="0">
      <selection activeCell="B1" sqref="B1"/>
    </sheetView>
  </sheetViews>
  <sheetFormatPr defaultColWidth="7.21875" defaultRowHeight="12.75"/>
  <cols>
    <col min="1" max="1" width="0" style="764" hidden="1" customWidth="1"/>
    <col min="2" max="2" width="43.44140625" style="764" customWidth="1"/>
    <col min="3" max="3" width="25.6640625" style="764" customWidth="1"/>
    <col min="4" max="4" width="4.6640625" style="764" customWidth="1"/>
    <col min="5" max="5" width="7.5546875" style="764" customWidth="1"/>
    <col min="6" max="6" width="4.6640625" style="764" customWidth="1"/>
    <col min="7" max="7" width="10" style="764" customWidth="1"/>
    <col min="8" max="8" width="18.33203125" style="764" customWidth="1"/>
    <col min="9" max="9" width="24.5546875" style="764" customWidth="1"/>
    <col min="10" max="10" width="7.21875" style="764" customWidth="1"/>
    <col min="11" max="11" width="4.6640625" style="764" customWidth="1"/>
    <col min="12" max="12" width="7.88671875" style="764" customWidth="1"/>
    <col min="13" max="13" width="19.88671875" style="764" customWidth="1"/>
    <col min="14" max="14" width="7.21875" style="764" customWidth="1"/>
    <col min="15" max="15" width="4.6640625" style="764" customWidth="1"/>
    <col min="16" max="16" width="7.88671875" style="764" customWidth="1"/>
    <col min="17" max="17" width="11.33203125" style="764" customWidth="1"/>
    <col min="18" max="18" width="8.88671875" style="811" customWidth="1"/>
    <col min="19" max="16384" width="7.21875" style="764"/>
  </cols>
  <sheetData>
    <row r="1" spans="2:18" ht="20.25">
      <c r="B1" s="504" t="s">
        <v>33</v>
      </c>
      <c r="C1" s="1403"/>
      <c r="D1" s="1403"/>
      <c r="E1" s="1403"/>
      <c r="F1" s="1403"/>
      <c r="G1" s="1403"/>
      <c r="H1" s="1403"/>
      <c r="I1" s="763" t="s">
        <v>0</v>
      </c>
      <c r="J1" s="1403"/>
      <c r="K1" s="1403"/>
      <c r="L1" s="1403"/>
      <c r="M1" s="1403"/>
      <c r="N1" s="1403"/>
      <c r="O1" s="1403"/>
      <c r="P1" s="1403"/>
      <c r="Q1" s="1403"/>
      <c r="R1" s="763"/>
    </row>
    <row r="2" spans="2:18" ht="20.25">
      <c r="B2" s="637"/>
      <c r="C2" s="637"/>
      <c r="D2" s="637"/>
      <c r="E2" s="637"/>
      <c r="F2" s="637"/>
      <c r="G2" s="637"/>
      <c r="H2" s="637"/>
      <c r="I2" s="763" t="s">
        <v>0</v>
      </c>
      <c r="J2" s="637"/>
      <c r="K2" s="637"/>
      <c r="L2" s="637"/>
      <c r="M2" s="637"/>
      <c r="N2" s="637"/>
      <c r="O2" s="637"/>
      <c r="P2" s="637"/>
      <c r="Q2" s="637"/>
      <c r="R2" s="763"/>
    </row>
    <row r="3" spans="2:18">
      <c r="B3" s="1404"/>
      <c r="C3" s="1404"/>
      <c r="D3" s="1404"/>
      <c r="E3" s="1404"/>
      <c r="F3" s="1404"/>
      <c r="G3" s="1404"/>
      <c r="H3" s="1404"/>
      <c r="I3" s="763" t="s">
        <v>0</v>
      </c>
      <c r="J3" s="1404"/>
      <c r="K3" s="1404"/>
      <c r="L3" s="1404"/>
      <c r="M3" s="1404"/>
      <c r="N3" s="1404"/>
      <c r="O3" s="1404"/>
      <c r="P3" s="1404"/>
      <c r="Q3" s="1404"/>
      <c r="R3" s="763"/>
    </row>
    <row r="4" spans="2:18" s="1408" customFormat="1" ht="23.25">
      <c r="B4" s="2487" t="s">
        <v>239</v>
      </c>
      <c r="C4" s="2488"/>
      <c r="D4" s="2488"/>
      <c r="E4" s="2488"/>
      <c r="F4" s="2488"/>
      <c r="G4" s="2488"/>
      <c r="H4" s="2488"/>
      <c r="I4" s="1405" t="s">
        <v>0</v>
      </c>
      <c r="J4" s="1406"/>
      <c r="K4" s="1406"/>
      <c r="L4" s="1406"/>
      <c r="M4" s="1406"/>
      <c r="N4" s="1406"/>
      <c r="O4" s="1406"/>
      <c r="P4" s="1406"/>
      <c r="Q4" s="1406"/>
      <c r="R4" s="1407"/>
    </row>
    <row r="5" spans="2:18" s="1408" customFormat="1" ht="23.25">
      <c r="B5" s="2489" t="str">
        <f>'B. Summ of Reqs - JJ'!A54</f>
        <v>Office of Justice Programs</v>
      </c>
      <c r="C5" s="2488"/>
      <c r="D5" s="2488"/>
      <c r="E5" s="2488"/>
      <c r="F5" s="2488"/>
      <c r="G5" s="2488"/>
      <c r="H5" s="2488"/>
      <c r="I5" s="1405" t="s">
        <v>0</v>
      </c>
      <c r="J5" s="1409"/>
      <c r="K5" s="1409"/>
      <c r="L5" s="1409"/>
      <c r="M5" s="1409"/>
      <c r="N5" s="1409"/>
      <c r="O5" s="1409"/>
      <c r="P5" s="1409"/>
      <c r="Q5" s="1409"/>
      <c r="R5" s="1407"/>
    </row>
    <row r="6" spans="2:18" s="1408" customFormat="1" ht="23.25">
      <c r="B6" s="2489" t="str">
        <f>'B. Summ of Reqs - JJ'!A55</f>
        <v>Juvenile Justice Programs</v>
      </c>
      <c r="C6" s="2488"/>
      <c r="D6" s="2488"/>
      <c r="E6" s="2488"/>
      <c r="F6" s="2488"/>
      <c r="G6" s="2488"/>
      <c r="H6" s="2488"/>
      <c r="I6" s="1405" t="s">
        <v>0</v>
      </c>
      <c r="J6" s="1409"/>
      <c r="K6" s="1409"/>
      <c r="L6" s="1409"/>
      <c r="M6" s="1409"/>
      <c r="N6" s="1409"/>
      <c r="O6" s="1409"/>
      <c r="P6" s="1409"/>
      <c r="Q6" s="1409"/>
      <c r="R6" s="1407"/>
    </row>
    <row r="7" spans="2:18" s="1408" customFormat="1" ht="23.25">
      <c r="B7" s="2490" t="s">
        <v>257</v>
      </c>
      <c r="C7" s="2488"/>
      <c r="D7" s="2488"/>
      <c r="E7" s="2488"/>
      <c r="F7" s="2488"/>
      <c r="G7" s="2488"/>
      <c r="H7" s="2488"/>
      <c r="I7" s="1405" t="s">
        <v>0</v>
      </c>
      <c r="J7" s="1406"/>
      <c r="K7" s="1406"/>
      <c r="L7" s="1406"/>
      <c r="M7" s="1406"/>
      <c r="N7" s="1406"/>
      <c r="O7" s="1406"/>
      <c r="P7" s="1406"/>
      <c r="Q7" s="1406"/>
      <c r="R7" s="1407"/>
    </row>
    <row r="8" spans="2:18" s="1412" customFormat="1">
      <c r="B8" s="1410"/>
      <c r="C8" s="1410"/>
      <c r="D8" s="1410"/>
      <c r="E8" s="1410"/>
      <c r="F8" s="1410"/>
      <c r="G8" s="1410"/>
      <c r="H8" s="1410"/>
      <c r="I8" s="1411" t="s">
        <v>0</v>
      </c>
      <c r="J8" s="1410"/>
      <c r="K8" s="1410"/>
      <c r="L8" s="1410"/>
      <c r="M8" s="1410"/>
      <c r="N8" s="1410"/>
      <c r="O8" s="1410"/>
      <c r="P8" s="1410"/>
      <c r="Q8" s="1410"/>
      <c r="R8" s="1411"/>
    </row>
    <row r="9" spans="2:18" s="1412" customFormat="1">
      <c r="B9" s="1413"/>
      <c r="C9" s="1413"/>
      <c r="D9" s="1413"/>
      <c r="E9" s="1413"/>
      <c r="F9" s="1413"/>
      <c r="G9" s="1413"/>
      <c r="H9" s="1413"/>
      <c r="I9" s="1411" t="s">
        <v>0</v>
      </c>
      <c r="J9" s="1414"/>
      <c r="K9" s="1414"/>
      <c r="L9" s="1414"/>
      <c r="M9" s="1414"/>
      <c r="N9" s="1414"/>
      <c r="O9" s="1414"/>
      <c r="P9" s="1414"/>
      <c r="Q9" s="1414"/>
      <c r="R9" s="1411"/>
    </row>
    <row r="10" spans="2:18" ht="15">
      <c r="B10" s="2491" t="s">
        <v>238</v>
      </c>
      <c r="C10" s="2166" t="s">
        <v>22</v>
      </c>
      <c r="D10" s="2168" t="s">
        <v>658</v>
      </c>
      <c r="E10" s="2169"/>
      <c r="F10" s="2169"/>
      <c r="G10" s="2170"/>
      <c r="H10" s="2491" t="s">
        <v>449</v>
      </c>
      <c r="I10" s="2582" t="s">
        <v>0</v>
      </c>
      <c r="J10" s="1415"/>
      <c r="K10" s="800"/>
      <c r="L10" s="800"/>
      <c r="M10" s="800"/>
      <c r="N10" s="800"/>
      <c r="O10" s="800"/>
      <c r="P10" s="800"/>
      <c r="Q10" s="800"/>
      <c r="R10" s="1164"/>
    </row>
    <row r="11" spans="2:18">
      <c r="B11" s="2492"/>
      <c r="C11" s="2167"/>
      <c r="D11" s="1416" t="s">
        <v>277</v>
      </c>
      <c r="E11" s="1416" t="s">
        <v>10</v>
      </c>
      <c r="F11" s="1416" t="s">
        <v>49</v>
      </c>
      <c r="G11" s="1417" t="s">
        <v>279</v>
      </c>
      <c r="H11" s="2492"/>
      <c r="I11" s="2582" t="s">
        <v>0</v>
      </c>
      <c r="J11" s="1418"/>
      <c r="R11" s="1164"/>
    </row>
    <row r="12" spans="2:18" ht="18" customHeight="1">
      <c r="B12" s="1419" t="s">
        <v>637</v>
      </c>
      <c r="C12" s="1687" t="s">
        <v>658</v>
      </c>
      <c r="D12" s="1688"/>
      <c r="E12" s="1689"/>
      <c r="F12" s="1689"/>
      <c r="G12" s="1690">
        <v>120000</v>
      </c>
      <c r="H12" s="1690">
        <f>G12</f>
        <v>120000</v>
      </c>
      <c r="I12" s="2582" t="s">
        <v>0</v>
      </c>
      <c r="J12" s="1418"/>
      <c r="R12" s="1164"/>
    </row>
    <row r="13" spans="2:18" ht="18" customHeight="1">
      <c r="B13" s="1420" t="s">
        <v>638</v>
      </c>
      <c r="C13" s="1170" t="s">
        <v>658</v>
      </c>
      <c r="D13" s="1691"/>
      <c r="E13" s="1692"/>
      <c r="F13" s="1692"/>
      <c r="G13" s="1127">
        <v>5000</v>
      </c>
      <c r="H13" s="1127">
        <f t="shared" ref="H13:H15" si="0">G13</f>
        <v>5000</v>
      </c>
      <c r="I13" s="2582" t="s">
        <v>0</v>
      </c>
      <c r="J13" s="1418"/>
      <c r="R13" s="1164"/>
    </row>
    <row r="14" spans="2:18" ht="18" customHeight="1">
      <c r="B14" s="1420" t="s">
        <v>639</v>
      </c>
      <c r="C14" s="1170" t="s">
        <v>658</v>
      </c>
      <c r="D14" s="1691"/>
      <c r="E14" s="1692"/>
      <c r="F14" s="1692"/>
      <c r="G14" s="1127">
        <v>12000</v>
      </c>
      <c r="H14" s="1127">
        <f t="shared" si="0"/>
        <v>12000</v>
      </c>
      <c r="I14" s="2582" t="s">
        <v>0</v>
      </c>
      <c r="J14" s="1418"/>
      <c r="R14" s="1164"/>
    </row>
    <row r="15" spans="2:18" ht="18" customHeight="1">
      <c r="B15" s="1695" t="s">
        <v>640</v>
      </c>
      <c r="C15" s="1173" t="s">
        <v>658</v>
      </c>
      <c r="D15" s="1696"/>
      <c r="E15" s="1697"/>
      <c r="F15" s="1697"/>
      <c r="G15" s="1698">
        <v>6000</v>
      </c>
      <c r="H15" s="1698">
        <f t="shared" si="0"/>
        <v>6000</v>
      </c>
      <c r="I15" s="2582" t="s">
        <v>0</v>
      </c>
      <c r="J15" s="1418"/>
      <c r="R15" s="1164"/>
    </row>
    <row r="16" spans="2:18" ht="18.75" customHeight="1">
      <c r="B16" s="1178" t="s">
        <v>455</v>
      </c>
      <c r="C16" s="780"/>
      <c r="D16" s="1699">
        <f>SUM(D12:D15)</f>
        <v>0</v>
      </c>
      <c r="E16" s="1700">
        <f>SUM(E12:E15)</f>
        <v>0</v>
      </c>
      <c r="F16" s="1700">
        <f>SUM(F12:F15)</f>
        <v>0</v>
      </c>
      <c r="G16" s="1701">
        <f>SUM(G12:G15)</f>
        <v>143000</v>
      </c>
      <c r="H16" s="1702">
        <f>SUM(H12:H15)</f>
        <v>143000</v>
      </c>
      <c r="I16" s="2582" t="s">
        <v>0</v>
      </c>
      <c r="J16" s="1418"/>
      <c r="R16" s="1164"/>
    </row>
    <row r="17" spans="1:18" ht="18.75" customHeight="1">
      <c r="B17" s="1421"/>
      <c r="C17" s="774"/>
      <c r="D17" s="1421"/>
      <c r="E17" s="1422"/>
      <c r="F17" s="1422"/>
      <c r="G17" s="1423"/>
      <c r="H17" s="1423"/>
      <c r="I17" s="2582" t="s">
        <v>0</v>
      </c>
      <c r="J17" s="1418"/>
      <c r="R17" s="1164"/>
    </row>
    <row r="18" spans="1:18" ht="18.75" customHeight="1">
      <c r="B18" s="2493" t="s">
        <v>11</v>
      </c>
      <c r="C18" s="2166" t="s">
        <v>22</v>
      </c>
      <c r="D18" s="2168" t="s">
        <v>658</v>
      </c>
      <c r="E18" s="2169"/>
      <c r="F18" s="2169"/>
      <c r="G18" s="2170"/>
      <c r="H18" s="2491" t="s">
        <v>259</v>
      </c>
      <c r="I18" s="2582" t="s">
        <v>0</v>
      </c>
      <c r="J18" s="1418"/>
      <c r="R18" s="1164"/>
    </row>
    <row r="19" spans="1:18" ht="18.75" customHeight="1">
      <c r="B19" s="2494"/>
      <c r="C19" s="2495"/>
      <c r="D19" s="1693" t="s">
        <v>277</v>
      </c>
      <c r="E19" s="1693" t="s">
        <v>10</v>
      </c>
      <c r="F19" s="1693" t="s">
        <v>49</v>
      </c>
      <c r="G19" s="1694" t="s">
        <v>279</v>
      </c>
      <c r="H19" s="2496"/>
      <c r="I19" s="2582" t="s">
        <v>0</v>
      </c>
      <c r="J19" s="1418"/>
      <c r="R19" s="1164"/>
    </row>
    <row r="20" spans="1:18" ht="19.5" customHeight="1">
      <c r="B20" s="1424" t="s">
        <v>641</v>
      </c>
      <c r="C20" s="1170" t="s">
        <v>658</v>
      </c>
      <c r="D20" s="1691"/>
      <c r="E20" s="1692"/>
      <c r="F20" s="1692"/>
      <c r="G20" s="1127">
        <v>-55000</v>
      </c>
      <c r="H20" s="1127">
        <f>G20</f>
        <v>-55000</v>
      </c>
      <c r="I20" s="2582" t="s">
        <v>0</v>
      </c>
      <c r="J20" s="1418"/>
      <c r="R20" s="1164"/>
    </row>
    <row r="21" spans="1:18" ht="19.5" customHeight="1">
      <c r="B21" s="1424" t="s">
        <v>642</v>
      </c>
      <c r="C21" s="1170" t="s">
        <v>658</v>
      </c>
      <c r="D21" s="1691"/>
      <c r="E21" s="1692"/>
      <c r="F21" s="1692"/>
      <c r="G21" s="1127">
        <v>-75000</v>
      </c>
      <c r="H21" s="1127">
        <f t="shared" ref="H21:H26" si="1">G21</f>
        <v>-75000</v>
      </c>
      <c r="I21" s="2582" t="s">
        <v>0</v>
      </c>
      <c r="J21" s="1418"/>
      <c r="R21" s="1164"/>
    </row>
    <row r="22" spans="1:18" ht="19.5" customHeight="1">
      <c r="B22" s="1424" t="s">
        <v>643</v>
      </c>
      <c r="C22" s="1170" t="s">
        <v>658</v>
      </c>
      <c r="D22" s="1691"/>
      <c r="E22" s="1692"/>
      <c r="F22" s="1692"/>
      <c r="G22" s="1127">
        <v>-5000</v>
      </c>
      <c r="H22" s="1127">
        <f t="shared" si="1"/>
        <v>-5000</v>
      </c>
      <c r="I22" s="2582" t="s">
        <v>0</v>
      </c>
      <c r="J22" s="1418"/>
      <c r="R22" s="1164"/>
    </row>
    <row r="23" spans="1:18" ht="19.5" customHeight="1">
      <c r="B23" s="1424" t="s">
        <v>651</v>
      </c>
      <c r="C23" s="1170" t="s">
        <v>658</v>
      </c>
      <c r="D23" s="1691"/>
      <c r="E23" s="1692"/>
      <c r="F23" s="1692"/>
      <c r="G23" s="1127">
        <v>-3000</v>
      </c>
      <c r="H23" s="1127">
        <f t="shared" si="1"/>
        <v>-3000</v>
      </c>
      <c r="I23" s="2582" t="s">
        <v>0</v>
      </c>
      <c r="J23" s="1418"/>
      <c r="R23" s="1164"/>
    </row>
    <row r="24" spans="1:18" ht="26.25" customHeight="1">
      <c r="B24" s="1425" t="s">
        <v>659</v>
      </c>
      <c r="C24" s="1170" t="s">
        <v>658</v>
      </c>
      <c r="D24" s="1691"/>
      <c r="E24" s="1692"/>
      <c r="F24" s="1692"/>
      <c r="G24" s="1127">
        <v>-2500</v>
      </c>
      <c r="H24" s="1127">
        <f t="shared" si="1"/>
        <v>-2500</v>
      </c>
      <c r="I24" s="2582" t="s">
        <v>0</v>
      </c>
      <c r="J24" s="1418"/>
      <c r="R24" s="1164"/>
    </row>
    <row r="25" spans="1:18" ht="19.5" customHeight="1">
      <c r="B25" s="1426" t="s">
        <v>646</v>
      </c>
      <c r="C25" s="1170" t="s">
        <v>658</v>
      </c>
      <c r="D25" s="1691"/>
      <c r="E25" s="1692"/>
      <c r="F25" s="1692"/>
      <c r="G25" s="1127">
        <v>-55000</v>
      </c>
      <c r="H25" s="1127">
        <f t="shared" si="1"/>
        <v>-55000</v>
      </c>
      <c r="I25" s="2582" t="s">
        <v>0</v>
      </c>
      <c r="J25" s="1418"/>
      <c r="R25" s="1164"/>
    </row>
    <row r="26" spans="1:18" ht="19.5" customHeight="1">
      <c r="B26" s="1426" t="s">
        <v>660</v>
      </c>
      <c r="C26" s="774" t="s">
        <v>658</v>
      </c>
      <c r="D26" s="1684"/>
      <c r="E26" s="1685"/>
      <c r="F26" s="1685"/>
      <c r="G26" s="1686">
        <v>-91095</v>
      </c>
      <c r="H26" s="1686">
        <f t="shared" si="1"/>
        <v>-91095</v>
      </c>
      <c r="I26" s="2582" t="s">
        <v>0</v>
      </c>
      <c r="J26" s="1418"/>
      <c r="R26" s="1164"/>
    </row>
    <row r="27" spans="1:18" ht="21.75" customHeight="1">
      <c r="A27" s="811"/>
      <c r="B27" s="1427" t="s">
        <v>259</v>
      </c>
      <c r="C27" s="1428"/>
      <c r="D27" s="1429">
        <f>SUM(D20:D26)</f>
        <v>0</v>
      </c>
      <c r="E27" s="1430">
        <f>SUM(E20:E26)</f>
        <v>0</v>
      </c>
      <c r="F27" s="1430">
        <f>SUM(F20:F26)</f>
        <v>0</v>
      </c>
      <c r="G27" s="1633">
        <f>SUM(G20:G26)</f>
        <v>-286595</v>
      </c>
      <c r="H27" s="1431">
        <f>SUM(H20:H26)</f>
        <v>-286595</v>
      </c>
      <c r="I27" s="2582" t="s">
        <v>24</v>
      </c>
      <c r="J27" s="1418"/>
      <c r="M27" s="763"/>
      <c r="R27" s="1164"/>
    </row>
    <row r="28" spans="1:18" ht="18.75" customHeight="1">
      <c r="B28" s="799"/>
      <c r="C28" s="800"/>
      <c r="D28" s="800"/>
      <c r="E28" s="800"/>
      <c r="F28" s="800"/>
      <c r="G28" s="800"/>
      <c r="H28" s="800"/>
      <c r="I28" s="800"/>
      <c r="J28" s="800"/>
      <c r="K28" s="800"/>
      <c r="L28" s="800"/>
      <c r="M28" s="800"/>
      <c r="N28" s="800"/>
      <c r="O28" s="800"/>
      <c r="P28" s="800"/>
      <c r="Q28" s="800"/>
      <c r="R28" s="763"/>
    </row>
    <row r="29" spans="1:18" ht="18.75" customHeight="1">
      <c r="R29" s="763"/>
    </row>
    <row r="30" spans="1:18" ht="18.75" customHeight="1">
      <c r="B30" s="801"/>
      <c r="C30" s="802"/>
      <c r="D30" s="803"/>
      <c r="E30" s="803"/>
      <c r="F30" s="803"/>
      <c r="G30" s="803"/>
      <c r="H30" s="803"/>
      <c r="I30" s="803"/>
      <c r="J30" s="803"/>
      <c r="K30" s="803"/>
      <c r="L30" s="803"/>
      <c r="M30" s="803"/>
      <c r="N30" s="803"/>
      <c r="O30" s="803"/>
      <c r="P30" s="803"/>
      <c r="Q30" s="803"/>
      <c r="R30" s="763"/>
    </row>
    <row r="31" spans="1:18" ht="18.75" customHeight="1">
      <c r="B31" s="801"/>
      <c r="C31" s="804"/>
      <c r="D31" s="805"/>
      <c r="E31" s="805"/>
      <c r="F31" s="805"/>
      <c r="G31" s="803"/>
      <c r="H31" s="805"/>
      <c r="I31" s="805"/>
      <c r="J31" s="805"/>
      <c r="K31" s="805"/>
      <c r="L31" s="805"/>
      <c r="M31" s="805"/>
      <c r="N31" s="805"/>
      <c r="O31" s="805"/>
      <c r="P31" s="805"/>
      <c r="Q31" s="805"/>
      <c r="R31" s="763"/>
    </row>
    <row r="32" spans="1:18" ht="18.75" customHeight="1">
      <c r="B32" s="801"/>
      <c r="C32" s="804"/>
      <c r="D32" s="806"/>
      <c r="E32" s="806"/>
      <c r="F32" s="806"/>
      <c r="G32" s="807"/>
      <c r="H32" s="806"/>
      <c r="I32" s="806"/>
      <c r="J32" s="806"/>
      <c r="K32" s="806"/>
      <c r="L32" s="808"/>
      <c r="M32" s="806"/>
      <c r="N32" s="806"/>
      <c r="O32" s="806"/>
      <c r="P32" s="808"/>
      <c r="Q32" s="808"/>
      <c r="R32" s="763"/>
    </row>
    <row r="33" spans="2:17" ht="12.75" customHeight="1">
      <c r="B33" s="809"/>
      <c r="C33" s="810"/>
      <c r="D33" s="810"/>
      <c r="E33" s="810"/>
      <c r="F33" s="810"/>
      <c r="G33" s="810"/>
      <c r="H33" s="810"/>
      <c r="I33" s="810"/>
      <c r="J33" s="810"/>
      <c r="K33" s="1432"/>
      <c r="M33" s="810"/>
      <c r="N33" s="810"/>
      <c r="O33" s="1432"/>
    </row>
    <row r="34" spans="2:17" ht="33.75" customHeight="1">
      <c r="B34" s="2174"/>
      <c r="C34" s="2175"/>
      <c r="D34" s="2175"/>
      <c r="E34" s="2175"/>
      <c r="F34" s="2175"/>
      <c r="G34" s="2175"/>
      <c r="H34" s="2175"/>
      <c r="I34" s="2175"/>
      <c r="J34" s="2175"/>
      <c r="K34" s="902"/>
      <c r="O34" s="902"/>
    </row>
    <row r="35" spans="2:17" ht="12.75" customHeight="1">
      <c r="B35" s="812"/>
      <c r="C35" s="812"/>
      <c r="D35" s="812"/>
      <c r="E35" s="812"/>
      <c r="F35" s="812"/>
      <c r="G35" s="812"/>
      <c r="H35" s="812"/>
      <c r="I35" s="812"/>
      <c r="J35" s="812"/>
      <c r="K35" s="1432"/>
      <c r="M35" s="812"/>
      <c r="N35" s="812"/>
      <c r="O35" s="1432"/>
    </row>
    <row r="36" spans="2:17" ht="57" customHeight="1">
      <c r="B36" s="2147"/>
      <c r="C36" s="2176"/>
      <c r="D36" s="2176"/>
      <c r="E36" s="2176"/>
      <c r="F36" s="2176"/>
      <c r="G36" s="2176"/>
      <c r="H36" s="2176"/>
      <c r="I36" s="2176"/>
      <c r="J36" s="2176"/>
      <c r="K36" s="902"/>
      <c r="O36" s="902"/>
    </row>
    <row r="37" spans="2:17" ht="15">
      <c r="B37" s="2171"/>
      <c r="C37" s="2171"/>
      <c r="D37" s="2171"/>
      <c r="E37" s="2171"/>
      <c r="F37" s="2171"/>
      <c r="G37" s="2171"/>
      <c r="H37" s="2171"/>
      <c r="I37" s="2171"/>
      <c r="J37" s="2171"/>
      <c r="K37" s="1433"/>
      <c r="O37" s="1433"/>
    </row>
    <row r="38" spans="2:17" ht="15" customHeight="1">
      <c r="B38" s="813"/>
      <c r="C38" s="814"/>
      <c r="D38" s="814"/>
      <c r="E38" s="814"/>
      <c r="F38" s="814"/>
      <c r="G38" s="814"/>
      <c r="H38" s="814"/>
      <c r="I38" s="814"/>
      <c r="J38" s="814"/>
      <c r="K38" s="814"/>
      <c r="M38" s="814"/>
      <c r="N38" s="814"/>
      <c r="O38" s="814"/>
      <c r="Q38" s="815"/>
    </row>
    <row r="39" spans="2:17">
      <c r="B39" s="814"/>
      <c r="C39" s="814"/>
      <c r="D39" s="814"/>
      <c r="E39" s="814"/>
      <c r="F39" s="814"/>
      <c r="G39" s="814"/>
      <c r="H39" s="814"/>
      <c r="I39" s="814"/>
      <c r="J39" s="814"/>
      <c r="K39" s="814"/>
      <c r="M39" s="814"/>
      <c r="N39" s="814"/>
      <c r="O39" s="814"/>
    </row>
  </sheetData>
  <mergeCells count="15">
    <mergeCell ref="B37:J37"/>
    <mergeCell ref="B18:B19"/>
    <mergeCell ref="C18:C19"/>
    <mergeCell ref="D18:G18"/>
    <mergeCell ref="H18:H19"/>
    <mergeCell ref="B34:J34"/>
    <mergeCell ref="B36:J36"/>
    <mergeCell ref="B4:H4"/>
    <mergeCell ref="B5:H5"/>
    <mergeCell ref="B6:H6"/>
    <mergeCell ref="B7:H7"/>
    <mergeCell ref="B10:B11"/>
    <mergeCell ref="C10:C11"/>
    <mergeCell ref="D10:G10"/>
    <mergeCell ref="H10:H11"/>
  </mergeCells>
  <printOptions horizontalCentered="1" verticalCentered="1"/>
  <pageMargins left="0.5" right="0.5" top="0.25" bottom="0.5" header="0" footer="0"/>
  <pageSetup scale="75" firstPageNumber="8" fitToHeight="0" orientation="landscape" useFirstPageNumber="1" r:id="rId1"/>
  <headerFooter alignWithMargins="0">
    <oddFooter>&amp;C&amp;"Times New Roman,Regular"Exhibit C - Program Increases/Offsets By Decision Unit&amp;R&amp;"Times New Roman,Regular"Juvenile Justice Programs</oddFooter>
  </headerFooter>
</worksheet>
</file>

<file path=xl/worksheets/sheet4.xml><?xml version="1.0" encoding="utf-8"?>
<worksheet xmlns="http://schemas.openxmlformats.org/spreadsheetml/2006/main" xmlns:r="http://schemas.openxmlformats.org/officeDocument/2006/relationships">
  <sheetPr codeName="Sheet10"/>
  <dimension ref="A1:X35"/>
  <sheetViews>
    <sheetView view="pageBreakPreview" zoomScaleNormal="75" zoomScaleSheetLayoutView="100" workbookViewId="0">
      <selection activeCell="E26" sqref="E26"/>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37" customWidth="1"/>
    <col min="8" max="8" width="7.77734375" style="37" customWidth="1"/>
    <col min="9" max="9" width="12.109375" style="37" customWidth="1"/>
    <col min="11" max="11" width="6.44140625" style="97" customWidth="1"/>
  </cols>
  <sheetData>
    <row r="1" spans="1:24" ht="20.25">
      <c r="A1" s="1871" t="s">
        <v>32</v>
      </c>
      <c r="B1" s="1872"/>
      <c r="C1" s="1872"/>
      <c r="D1" s="1872"/>
      <c r="E1" s="1872"/>
      <c r="F1" s="1872"/>
      <c r="G1" s="1872"/>
      <c r="H1" s="1872"/>
      <c r="I1" s="1872"/>
      <c r="J1" s="97" t="s">
        <v>0</v>
      </c>
    </row>
    <row r="2" spans="1:24" ht="15.75">
      <c r="A2" s="1874" t="s">
        <v>278</v>
      </c>
      <c r="B2" s="1874"/>
      <c r="C2" s="1874"/>
      <c r="D2" s="1874"/>
      <c r="E2" s="1874"/>
      <c r="F2" s="1874"/>
      <c r="G2" s="1874"/>
      <c r="H2" s="1874"/>
      <c r="I2" s="1875"/>
      <c r="J2" s="97" t="s">
        <v>0</v>
      </c>
    </row>
    <row r="3" spans="1:24" ht="15" customHeight="1">
      <c r="A3" s="1834" t="s">
        <v>243</v>
      </c>
      <c r="B3" s="1835"/>
      <c r="C3" s="1835"/>
      <c r="D3" s="1835"/>
      <c r="E3" s="1835"/>
      <c r="F3" s="1835"/>
      <c r="G3" s="1835"/>
      <c r="H3" s="1835"/>
      <c r="I3" s="1835"/>
      <c r="J3" s="97" t="s">
        <v>0</v>
      </c>
      <c r="L3" s="54"/>
      <c r="M3" s="54"/>
      <c r="N3" s="54"/>
      <c r="O3" s="54"/>
      <c r="P3" s="54"/>
      <c r="Q3" s="54"/>
      <c r="R3" s="54"/>
      <c r="S3" s="54"/>
      <c r="T3" s="54"/>
      <c r="U3" s="54"/>
      <c r="V3" s="54"/>
      <c r="W3" s="54"/>
      <c r="X3" s="54"/>
    </row>
    <row r="4" spans="1:24" ht="15.75">
      <c r="A4" s="1836" t="str">
        <f>+'B. Summ of Reqs - S&amp;E '!A5</f>
        <v>Office of Justice Programs</v>
      </c>
      <c r="B4" s="1835"/>
      <c r="C4" s="1835"/>
      <c r="D4" s="1835"/>
      <c r="E4" s="1835"/>
      <c r="F4" s="1835"/>
      <c r="G4" s="1835"/>
      <c r="H4" s="1835"/>
      <c r="I4" s="1835"/>
      <c r="J4" s="97" t="s">
        <v>0</v>
      </c>
      <c r="L4" s="56"/>
      <c r="M4" s="54"/>
      <c r="N4" s="54"/>
      <c r="O4" s="54"/>
      <c r="P4" s="54"/>
      <c r="Q4" s="54"/>
      <c r="R4" s="54"/>
      <c r="S4" s="54"/>
      <c r="T4" s="54"/>
      <c r="U4" s="54"/>
      <c r="V4" s="54"/>
      <c r="W4" s="54"/>
      <c r="X4" s="54"/>
    </row>
    <row r="5" spans="1:24" s="610" customFormat="1" ht="15.75">
      <c r="A5" s="1836" t="str">
        <f>+'B. Summ of Reqs - S&amp;E '!A6</f>
        <v>Salaries and Expenses</v>
      </c>
      <c r="B5" s="1835"/>
      <c r="C5" s="1835"/>
      <c r="D5" s="1835"/>
      <c r="E5" s="1835"/>
      <c r="F5" s="1835"/>
      <c r="G5" s="1835"/>
      <c r="H5" s="1835"/>
      <c r="I5" s="1835"/>
      <c r="J5" s="97" t="s">
        <v>0</v>
      </c>
      <c r="K5" s="97"/>
      <c r="L5" s="55"/>
      <c r="M5" s="612"/>
      <c r="N5" s="612"/>
      <c r="O5" s="612"/>
      <c r="P5" s="612"/>
      <c r="Q5" s="612"/>
      <c r="R5" s="612"/>
      <c r="S5" s="612"/>
      <c r="T5" s="612"/>
      <c r="U5" s="612"/>
      <c r="V5" s="612"/>
      <c r="W5" s="612"/>
      <c r="X5" s="612"/>
    </row>
    <row r="6" spans="1:24">
      <c r="A6" s="1876"/>
      <c r="B6" s="1876"/>
      <c r="C6" s="1876"/>
      <c r="D6" s="1876"/>
      <c r="E6" s="1876"/>
      <c r="F6" s="1876"/>
      <c r="G6" s="1876"/>
      <c r="H6" s="1876"/>
      <c r="I6" s="1876"/>
      <c r="J6" s="97" t="s">
        <v>0</v>
      </c>
      <c r="L6" s="55"/>
      <c r="M6" s="54"/>
      <c r="N6" s="54"/>
      <c r="O6" s="54"/>
      <c r="P6" s="54"/>
      <c r="Q6" s="54"/>
      <c r="R6" s="54"/>
      <c r="S6" s="54"/>
      <c r="T6" s="54"/>
      <c r="U6" s="54"/>
      <c r="V6" s="54"/>
      <c r="W6" s="54"/>
      <c r="X6" s="54"/>
    </row>
    <row r="7" spans="1:24">
      <c r="A7" s="1873" t="s">
        <v>104</v>
      </c>
      <c r="B7" s="1835"/>
      <c r="C7" s="1835"/>
      <c r="D7" s="1835"/>
      <c r="E7" s="1835"/>
      <c r="F7" s="1835"/>
      <c r="G7" s="1835"/>
      <c r="H7" s="1835"/>
      <c r="I7" s="1835"/>
      <c r="J7" s="97" t="s">
        <v>0</v>
      </c>
      <c r="L7" s="55"/>
      <c r="M7" s="54"/>
      <c r="N7" s="54"/>
      <c r="O7" s="54"/>
      <c r="P7" s="54"/>
      <c r="Q7" s="54"/>
      <c r="R7" s="54"/>
      <c r="S7" s="54"/>
      <c r="T7" s="54"/>
      <c r="U7" s="54"/>
      <c r="V7" s="54"/>
      <c r="W7" s="54"/>
      <c r="X7" s="54"/>
    </row>
    <row r="8" spans="1:24">
      <c r="A8" s="317"/>
      <c r="B8" s="54"/>
      <c r="C8" s="54"/>
      <c r="D8" s="54"/>
      <c r="E8" s="54"/>
      <c r="F8" s="54"/>
      <c r="G8" s="313" t="s">
        <v>252</v>
      </c>
      <c r="H8" s="313" t="s">
        <v>49</v>
      </c>
      <c r="I8" s="313" t="s">
        <v>279</v>
      </c>
      <c r="J8" s="97" t="s">
        <v>0</v>
      </c>
      <c r="L8" s="55"/>
      <c r="M8" s="54"/>
      <c r="N8" s="54"/>
      <c r="O8" s="54"/>
      <c r="P8" s="54"/>
      <c r="Q8" s="54"/>
      <c r="R8" s="54"/>
      <c r="S8" s="54"/>
      <c r="T8" s="54"/>
      <c r="U8" s="54"/>
      <c r="V8" s="54"/>
      <c r="W8" s="54"/>
      <c r="X8" s="54"/>
    </row>
    <row r="9" spans="1:24">
      <c r="A9" s="1873" t="s">
        <v>53</v>
      </c>
      <c r="B9" s="1835"/>
      <c r="C9" s="1835"/>
      <c r="D9" s="1835"/>
      <c r="E9" s="1835"/>
      <c r="F9" s="1835"/>
      <c r="G9" s="1835"/>
      <c r="H9" s="1835"/>
      <c r="I9" s="1835"/>
      <c r="J9" s="97" t="s">
        <v>0</v>
      </c>
      <c r="L9" s="55"/>
      <c r="M9" s="55"/>
      <c r="N9" s="55"/>
    </row>
    <row r="10" spans="1:24">
      <c r="A10" s="55"/>
      <c r="B10" s="55"/>
      <c r="C10" s="55"/>
      <c r="D10" s="55"/>
      <c r="E10" s="55"/>
      <c r="F10" s="55"/>
      <c r="G10" s="313"/>
      <c r="H10" s="313"/>
      <c r="I10" s="313"/>
      <c r="J10" s="97" t="s">
        <v>0</v>
      </c>
      <c r="L10" s="55"/>
    </row>
    <row r="11" spans="1:24" s="166" customFormat="1" ht="16.5" customHeight="1">
      <c r="A11" s="1877" t="s">
        <v>387</v>
      </c>
      <c r="B11" s="1865"/>
      <c r="C11" s="1865"/>
      <c r="D11" s="1865"/>
      <c r="E11" s="1865"/>
      <c r="F11" s="1865"/>
      <c r="G11" s="623"/>
      <c r="H11" s="623"/>
      <c r="I11" s="629">
        <v>-20</v>
      </c>
      <c r="J11" s="97" t="s">
        <v>0</v>
      </c>
      <c r="K11" s="97"/>
      <c r="L11" s="55"/>
    </row>
    <row r="12" spans="1:24" s="166" customFormat="1" ht="15.75" customHeight="1">
      <c r="A12" s="1877" t="s">
        <v>388</v>
      </c>
      <c r="B12" s="1865"/>
      <c r="C12" s="1865"/>
      <c r="D12" s="1865"/>
      <c r="E12" s="1865"/>
      <c r="F12" s="1865"/>
      <c r="G12" s="168"/>
      <c r="H12" s="168"/>
      <c r="I12" s="629">
        <v>-14</v>
      </c>
      <c r="J12" s="97" t="s">
        <v>0</v>
      </c>
      <c r="K12" s="97"/>
      <c r="L12" s="55"/>
    </row>
    <row r="13" spans="1:24" s="166" customFormat="1">
      <c r="A13" s="1869" t="s">
        <v>280</v>
      </c>
      <c r="B13" s="1870"/>
      <c r="C13" s="1870"/>
      <c r="D13" s="1870"/>
      <c r="E13" s="1870"/>
      <c r="F13" s="1870"/>
      <c r="G13" s="1870"/>
      <c r="H13" s="1870"/>
      <c r="I13" s="1870"/>
      <c r="J13" s="97" t="s">
        <v>0</v>
      </c>
      <c r="K13" s="97"/>
      <c r="L13" s="55"/>
    </row>
    <row r="14" spans="1:24" s="166" customFormat="1">
      <c r="A14" s="309"/>
      <c r="B14" s="309"/>
      <c r="C14" s="309"/>
      <c r="D14" s="309"/>
      <c r="E14" s="309"/>
      <c r="F14" s="309"/>
      <c r="G14" s="309"/>
      <c r="H14" s="309"/>
      <c r="I14" s="309"/>
      <c r="J14" s="97" t="s">
        <v>0</v>
      </c>
      <c r="K14" s="97"/>
      <c r="L14" s="55"/>
    </row>
    <row r="15" spans="1:24" s="166" customFormat="1" ht="66" customHeight="1">
      <c r="A15" s="1864" t="s">
        <v>815</v>
      </c>
      <c r="B15" s="1865"/>
      <c r="C15" s="1865"/>
      <c r="D15" s="1865"/>
      <c r="E15" s="1865"/>
      <c r="F15" s="1865"/>
      <c r="G15" s="168"/>
      <c r="H15" s="168"/>
      <c r="I15" s="629">
        <v>357</v>
      </c>
      <c r="J15" s="97" t="s">
        <v>0</v>
      </c>
      <c r="K15" s="97"/>
      <c r="L15" s="55"/>
    </row>
    <row r="16" spans="1:24" s="166" customFormat="1" ht="15" customHeight="1">
      <c r="A16" s="167"/>
      <c r="B16" s="167"/>
      <c r="C16" s="167"/>
      <c r="D16" s="167"/>
      <c r="E16" s="167"/>
      <c r="F16" s="167"/>
      <c r="G16" s="313" t="s">
        <v>252</v>
      </c>
      <c r="H16" s="313" t="s">
        <v>49</v>
      </c>
      <c r="I16" s="313" t="s">
        <v>279</v>
      </c>
      <c r="J16" s="97" t="s">
        <v>0</v>
      </c>
      <c r="K16" s="97"/>
      <c r="L16" s="55"/>
    </row>
    <row r="17" spans="1:12" s="166" customFormat="1" ht="42.75" customHeight="1">
      <c r="A17" s="1864" t="s">
        <v>389</v>
      </c>
      <c r="B17" s="1865"/>
      <c r="C17" s="1865"/>
      <c r="D17" s="1865"/>
      <c r="E17" s="1865"/>
      <c r="F17" s="1865"/>
      <c r="G17" s="168"/>
      <c r="H17" s="168"/>
      <c r="I17" s="629">
        <v>87</v>
      </c>
      <c r="J17" s="97" t="s">
        <v>0</v>
      </c>
      <c r="K17" s="97"/>
      <c r="L17" s="55"/>
    </row>
    <row r="18" spans="1:12" s="166" customFormat="1" ht="15" customHeight="1">
      <c r="A18" s="310"/>
      <c r="B18" s="310"/>
      <c r="C18" s="310"/>
      <c r="D18" s="310"/>
      <c r="E18" s="310"/>
      <c r="F18" s="310"/>
      <c r="G18" s="310"/>
      <c r="H18" s="310"/>
      <c r="I18" s="310"/>
      <c r="J18" s="97" t="s">
        <v>0</v>
      </c>
      <c r="K18" s="97"/>
      <c r="L18" s="55"/>
    </row>
    <row r="19" spans="1:12" s="166" customFormat="1" ht="34.5" customHeight="1">
      <c r="A19" s="1867" t="s">
        <v>390</v>
      </c>
      <c r="B19" s="1865"/>
      <c r="C19" s="1865"/>
      <c r="D19" s="1865"/>
      <c r="E19" s="1865"/>
      <c r="F19" s="1865"/>
      <c r="G19" s="168"/>
      <c r="H19" s="168"/>
      <c r="I19" s="629">
        <v>-55</v>
      </c>
      <c r="J19" s="97" t="s">
        <v>0</v>
      </c>
      <c r="K19" s="97"/>
      <c r="L19" s="55"/>
    </row>
    <row r="20" spans="1:12" s="166" customFormat="1" ht="11.25" customHeight="1">
      <c r="A20" s="309"/>
      <c r="B20" s="309"/>
      <c r="C20" s="309"/>
      <c r="D20" s="309"/>
      <c r="E20" s="309"/>
      <c r="F20" s="309"/>
      <c r="G20" s="309"/>
      <c r="H20" s="309"/>
      <c r="I20" s="309"/>
      <c r="J20" s="97" t="s">
        <v>0</v>
      </c>
      <c r="K20" s="97"/>
      <c r="L20" s="55"/>
    </row>
    <row r="21" spans="1:12" s="166" customFormat="1" ht="33.75" customHeight="1">
      <c r="A21" s="1864" t="s">
        <v>391</v>
      </c>
      <c r="B21" s="1865"/>
      <c r="C21" s="1865"/>
      <c r="D21" s="1865"/>
      <c r="E21" s="1865"/>
      <c r="F21" s="1865"/>
      <c r="G21" s="168"/>
      <c r="H21" s="168"/>
      <c r="I21" s="629">
        <v>370</v>
      </c>
      <c r="J21" s="97" t="s">
        <v>0</v>
      </c>
      <c r="K21" s="97"/>
      <c r="L21" s="55"/>
    </row>
    <row r="22" spans="1:12" s="166" customFormat="1" ht="15" customHeight="1">
      <c r="A22" s="165"/>
      <c r="B22" s="165"/>
      <c r="C22" s="165"/>
      <c r="D22" s="165"/>
      <c r="E22" s="165"/>
      <c r="F22" s="165"/>
      <c r="G22" s="165"/>
      <c r="H22" s="165"/>
      <c r="I22" s="165"/>
      <c r="J22" s="97" t="s">
        <v>0</v>
      </c>
      <c r="K22" s="97"/>
      <c r="L22" s="55"/>
    </row>
    <row r="23" spans="1:12" s="166" customFormat="1" ht="33" customHeight="1">
      <c r="A23" s="1866" t="s">
        <v>392</v>
      </c>
      <c r="B23" s="1865"/>
      <c r="C23" s="1865"/>
      <c r="D23" s="1865"/>
      <c r="E23" s="1865"/>
      <c r="F23" s="1865"/>
      <c r="G23" s="168"/>
      <c r="H23" s="168"/>
      <c r="I23" s="629">
        <v>-381</v>
      </c>
      <c r="J23" s="97" t="s">
        <v>0</v>
      </c>
      <c r="K23" s="97"/>
      <c r="L23" s="55"/>
    </row>
    <row r="24" spans="1:12" s="166" customFormat="1" ht="15" customHeight="1">
      <c r="A24" s="309"/>
      <c r="B24" s="309"/>
      <c r="C24" s="309"/>
      <c r="D24" s="309"/>
      <c r="E24" s="309"/>
      <c r="F24" s="309"/>
      <c r="G24" s="309"/>
      <c r="H24" s="309"/>
      <c r="I24" s="309"/>
      <c r="J24" s="97" t="s">
        <v>0</v>
      </c>
      <c r="K24" s="97"/>
      <c r="L24" s="55"/>
    </row>
    <row r="25" spans="1:12" s="166" customFormat="1" ht="57" customHeight="1">
      <c r="A25" s="1868" t="s">
        <v>393</v>
      </c>
      <c r="B25" s="1865"/>
      <c r="C25" s="1865"/>
      <c r="D25" s="1865"/>
      <c r="E25" s="1865"/>
      <c r="F25" s="1865"/>
      <c r="G25" s="168"/>
      <c r="H25" s="168"/>
      <c r="I25" s="629">
        <v>-3256</v>
      </c>
      <c r="J25" s="97" t="s">
        <v>0</v>
      </c>
      <c r="K25" s="97"/>
      <c r="L25" s="55"/>
    </row>
    <row r="26" spans="1:12" s="166" customFormat="1" ht="15" customHeight="1">
      <c r="A26" s="310"/>
      <c r="B26" s="310"/>
      <c r="C26" s="310"/>
      <c r="D26" s="310"/>
      <c r="E26" s="310"/>
      <c r="F26" s="310"/>
      <c r="G26" s="310"/>
      <c r="H26" s="310"/>
      <c r="I26" s="310"/>
      <c r="J26" s="97" t="s">
        <v>0</v>
      </c>
      <c r="K26" s="97"/>
      <c r="L26" s="55"/>
    </row>
    <row r="27" spans="1:12" s="166" customFormat="1" ht="29.25" customHeight="1">
      <c r="A27" s="1867" t="s">
        <v>394</v>
      </c>
      <c r="B27" s="1865"/>
      <c r="C27" s="1865"/>
      <c r="D27" s="1865"/>
      <c r="E27" s="1865"/>
      <c r="F27" s="1865"/>
      <c r="G27" s="168"/>
      <c r="H27" s="168"/>
      <c r="I27" s="629">
        <v>11447</v>
      </c>
      <c r="J27" s="97" t="s">
        <v>0</v>
      </c>
      <c r="K27" s="97"/>
      <c r="L27" s="55"/>
    </row>
    <row r="28" spans="1:12" s="166" customFormat="1" ht="11.25" customHeight="1">
      <c r="A28" s="165"/>
      <c r="B28" s="168"/>
      <c r="C28" s="168"/>
      <c r="D28" s="168"/>
      <c r="E28" s="168"/>
      <c r="F28" s="168"/>
      <c r="G28" s="168"/>
      <c r="H28" s="168"/>
      <c r="I28" s="168"/>
      <c r="J28" s="97" t="s">
        <v>0</v>
      </c>
      <c r="K28" s="97"/>
      <c r="L28" s="55"/>
    </row>
    <row r="29" spans="1:12" s="166" customFormat="1" ht="15.75" customHeight="1">
      <c r="A29" s="310"/>
      <c r="B29" s="310"/>
      <c r="C29" s="310"/>
      <c r="D29" s="310"/>
      <c r="E29" s="310"/>
      <c r="F29" s="314" t="s">
        <v>253</v>
      </c>
      <c r="G29" s="631">
        <f>SUM(G14:G28)</f>
        <v>0</v>
      </c>
      <c r="H29" s="631">
        <f>SUM(H14:H28)</f>
        <v>0</v>
      </c>
      <c r="I29" s="630">
        <f>SUM(I11:I28)</f>
        <v>8535</v>
      </c>
      <c r="J29" s="97" t="s">
        <v>0</v>
      </c>
      <c r="K29" s="312"/>
      <c r="L29" s="55"/>
    </row>
    <row r="30" spans="1:12" s="166" customFormat="1" ht="14.25" customHeight="1">
      <c r="B30" s="308"/>
      <c r="C30" s="308"/>
      <c r="D30" s="308"/>
      <c r="E30" s="308"/>
      <c r="F30" s="314"/>
      <c r="G30" s="168"/>
      <c r="H30" s="168"/>
      <c r="I30" s="168"/>
      <c r="J30" s="97" t="s">
        <v>0</v>
      </c>
      <c r="K30" s="97"/>
      <c r="L30" s="167"/>
    </row>
    <row r="31" spans="1:12" s="166" customFormat="1" ht="14.25" customHeight="1">
      <c r="B31" s="308"/>
      <c r="C31" s="308"/>
      <c r="D31" s="308"/>
      <c r="E31" s="308"/>
      <c r="G31" s="168"/>
      <c r="H31" s="168"/>
      <c r="I31" s="168"/>
      <c r="J31" s="97" t="s">
        <v>0</v>
      </c>
      <c r="K31" s="97"/>
      <c r="L31" s="167"/>
    </row>
    <row r="32" spans="1:12" s="166" customFormat="1" ht="14.25" customHeight="1">
      <c r="B32" s="308"/>
      <c r="C32" s="308"/>
      <c r="D32" s="308"/>
      <c r="E32" s="308"/>
      <c r="F32" s="314" t="s">
        <v>254</v>
      </c>
      <c r="G32" s="168">
        <f>+G29</f>
        <v>0</v>
      </c>
      <c r="H32" s="168">
        <f>H29</f>
        <v>0</v>
      </c>
      <c r="I32" s="316">
        <f>+I29</f>
        <v>8535</v>
      </c>
      <c r="J32" s="97" t="s">
        <v>24</v>
      </c>
      <c r="K32" s="97"/>
      <c r="L32" s="167"/>
    </row>
    <row r="33" spans="1:12" s="166" customFormat="1" ht="18.75" customHeight="1">
      <c r="A33" s="543"/>
      <c r="B33" s="311"/>
      <c r="C33" s="311"/>
      <c r="D33" s="311"/>
      <c r="E33" s="311"/>
      <c r="F33" s="311"/>
      <c r="G33" s="315"/>
      <c r="H33" s="315"/>
      <c r="I33" s="315"/>
      <c r="K33" s="169"/>
      <c r="L33" s="167"/>
    </row>
    <row r="34" spans="1:12" ht="36" customHeight="1">
      <c r="A34" s="1740"/>
      <c r="B34" s="1740"/>
      <c r="C34" s="1740"/>
      <c r="D34" s="1740"/>
      <c r="E34" s="1740"/>
      <c r="F34" s="1740"/>
      <c r="G34" s="1740"/>
      <c r="H34" s="1740"/>
      <c r="I34" s="1740"/>
      <c r="J34" s="1740"/>
    </row>
    <row r="35" spans="1:12" ht="35.25" customHeight="1">
      <c r="A35" s="1863"/>
      <c r="B35" s="1863"/>
      <c r="C35" s="1863"/>
      <c r="D35" s="1863"/>
      <c r="E35" s="1863"/>
      <c r="F35" s="1863"/>
      <c r="G35" s="1863"/>
      <c r="H35" s="1863"/>
      <c r="I35" s="1863"/>
    </row>
  </sheetData>
  <mergeCells count="20">
    <mergeCell ref="A13:I13"/>
    <mergeCell ref="A1:I1"/>
    <mergeCell ref="A3:I3"/>
    <mergeCell ref="A4:I4"/>
    <mergeCell ref="A7:I7"/>
    <mergeCell ref="A2:I2"/>
    <mergeCell ref="A6:I6"/>
    <mergeCell ref="A12:F12"/>
    <mergeCell ref="A9:I9"/>
    <mergeCell ref="A5:I5"/>
    <mergeCell ref="A11:F11"/>
    <mergeCell ref="A35:I35"/>
    <mergeCell ref="A15:F15"/>
    <mergeCell ref="A17:F17"/>
    <mergeCell ref="A21:F21"/>
    <mergeCell ref="A23:F23"/>
    <mergeCell ref="A19:F19"/>
    <mergeCell ref="A25:F25"/>
    <mergeCell ref="A27:F27"/>
    <mergeCell ref="A34:J34"/>
  </mergeCells>
  <phoneticPr fontId="0" type="noConversion"/>
  <printOptions horizontalCentered="1"/>
  <pageMargins left="0.5" right="0.4" top="0.5" bottom="0.25" header="0" footer="0"/>
  <pageSetup scale="71" firstPageNumber="8" fitToHeight="0" orientation="landscape" useFirstPageNumber="1" r:id="rId1"/>
  <headerFooter alignWithMargins="0">
    <oddFooter>&amp;C&amp;"Times New Roman,Regular"Exhibit E - Justification for Base Adjustments&amp;R&amp;"Times New Roman,Regular"Salaries and Expenses</oddFooter>
  </headerFooter>
</worksheet>
</file>

<file path=xl/worksheets/sheet40.xml><?xml version="1.0" encoding="utf-8"?>
<worksheet xmlns="http://schemas.openxmlformats.org/spreadsheetml/2006/main" xmlns:r="http://schemas.openxmlformats.org/officeDocument/2006/relationships">
  <sheetPr>
    <pageSetUpPr fitToPage="1"/>
  </sheetPr>
  <dimension ref="A1:T59"/>
  <sheetViews>
    <sheetView view="pageBreakPreview" zoomScale="75" zoomScaleNormal="100" zoomScaleSheetLayoutView="75" workbookViewId="0">
      <selection sqref="A1:P1"/>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9.6640625" style="818" customWidth="1"/>
    <col min="11" max="11" width="6.77734375" style="818" customWidth="1"/>
    <col min="12" max="12" width="10.6640625" style="818" bestFit="1" customWidth="1"/>
    <col min="13" max="13" width="6.77734375" style="818" customWidth="1"/>
    <col min="14" max="14" width="10.6640625" style="818" bestFit="1" customWidth="1"/>
    <col min="15" max="15" width="6.33203125" style="818" customWidth="1"/>
    <col min="16" max="16" width="9.77734375" style="818"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180" t="str">
        <f>'B. Summ of Reqs - JJ'!A6:Z6</f>
        <v>Office of Justice Programs</v>
      </c>
      <c r="B4" s="2034"/>
      <c r="C4" s="2034"/>
      <c r="D4" s="2034"/>
      <c r="E4" s="2034"/>
      <c r="F4" s="2034"/>
      <c r="G4" s="2034"/>
      <c r="H4" s="2034"/>
      <c r="I4" s="2034"/>
      <c r="J4" s="2034"/>
      <c r="K4" s="2034"/>
      <c r="L4" s="2034"/>
      <c r="M4" s="2034"/>
      <c r="N4" s="2034"/>
      <c r="O4" s="2034"/>
      <c r="P4" s="2034"/>
      <c r="Q4" s="816" t="s">
        <v>0</v>
      </c>
      <c r="R4" s="638"/>
      <c r="S4" s="638"/>
    </row>
    <row r="5" spans="1:20" ht="15.75">
      <c r="A5" s="2180" t="str">
        <f>'B. Summ of Reqs - JJ'!A7:Z7</f>
        <v>Juvenile Justice Programs</v>
      </c>
      <c r="B5" s="2034"/>
      <c r="C5" s="2034"/>
      <c r="D5" s="2034"/>
      <c r="E5" s="2034"/>
      <c r="F5" s="2034"/>
      <c r="G5" s="2034"/>
      <c r="H5" s="2034"/>
      <c r="I5" s="2034"/>
      <c r="J5" s="2034"/>
      <c r="K5" s="2034"/>
      <c r="L5" s="2034"/>
      <c r="M5" s="2034"/>
      <c r="N5" s="2034"/>
      <c r="O5" s="2034"/>
      <c r="P5" s="2034"/>
      <c r="Q5" s="816" t="s">
        <v>0</v>
      </c>
      <c r="R5" s="638"/>
      <c r="S5" s="638"/>
    </row>
    <row r="6" spans="1:20" ht="15">
      <c r="A6" s="2181" t="s">
        <v>257</v>
      </c>
      <c r="B6" s="2181"/>
      <c r="C6" s="2181"/>
      <c r="D6" s="2181"/>
      <c r="E6" s="2181"/>
      <c r="F6" s="2181"/>
      <c r="G6" s="2181"/>
      <c r="H6" s="2181"/>
      <c r="I6" s="2181"/>
      <c r="J6" s="2181"/>
      <c r="K6" s="2181"/>
      <c r="L6" s="2181"/>
      <c r="M6" s="2181"/>
      <c r="N6" s="2181"/>
      <c r="O6" s="2181"/>
      <c r="P6" s="2181"/>
      <c r="Q6" s="816" t="s">
        <v>0</v>
      </c>
      <c r="R6" s="820"/>
      <c r="S6" s="820"/>
      <c r="T6" s="816"/>
    </row>
    <row r="7" spans="1:20" ht="13.5" thickBot="1">
      <c r="Q7" s="816" t="s">
        <v>0</v>
      </c>
      <c r="T7" s="816"/>
    </row>
    <row r="8" spans="1:20" ht="37.5" customHeight="1">
      <c r="A8" s="821"/>
      <c r="B8" s="822"/>
      <c r="C8" s="2197" t="s">
        <v>318</v>
      </c>
      <c r="D8" s="2198"/>
      <c r="E8" s="823"/>
      <c r="F8" s="2197" t="s">
        <v>355</v>
      </c>
      <c r="G8" s="2198"/>
      <c r="H8" s="823"/>
      <c r="I8" s="2203" t="s">
        <v>244</v>
      </c>
      <c r="J8" s="2198"/>
      <c r="K8" s="2204">
        <v>2012</v>
      </c>
      <c r="L8" s="2205"/>
      <c r="M8" s="2205"/>
      <c r="N8" s="2206"/>
      <c r="O8" s="2203" t="s">
        <v>42</v>
      </c>
      <c r="P8" s="2198"/>
      <c r="Q8" s="816" t="s">
        <v>0</v>
      </c>
      <c r="S8" s="824"/>
      <c r="T8" s="816"/>
    </row>
    <row r="9" spans="1:20" ht="14.25" customHeight="1">
      <c r="A9" s="822"/>
      <c r="B9" s="822"/>
      <c r="C9" s="2199"/>
      <c r="D9" s="2200"/>
      <c r="E9" s="823"/>
      <c r="F9" s="2201"/>
      <c r="G9" s="2202"/>
      <c r="H9" s="823"/>
      <c r="I9" s="2201"/>
      <c r="J9" s="2202"/>
      <c r="K9" s="2187" t="s">
        <v>280</v>
      </c>
      <c r="L9" s="2188"/>
      <c r="M9" s="2189" t="s">
        <v>289</v>
      </c>
      <c r="N9" s="2170"/>
      <c r="O9" s="2201"/>
      <c r="P9" s="2202"/>
      <c r="Q9" s="816" t="s">
        <v>0</v>
      </c>
      <c r="S9" s="824"/>
      <c r="T9" s="816"/>
    </row>
    <row r="10" spans="1:20" hidden="1">
      <c r="A10" s="2190" t="s">
        <v>290</v>
      </c>
      <c r="B10" s="822"/>
      <c r="C10" s="825"/>
      <c r="D10" s="826"/>
      <c r="E10" s="827"/>
      <c r="F10" s="825"/>
      <c r="G10" s="826"/>
      <c r="H10" s="827"/>
      <c r="I10" s="825"/>
      <c r="J10" s="826"/>
      <c r="K10" s="825"/>
      <c r="L10" s="826"/>
      <c r="M10" s="828"/>
      <c r="N10" s="826"/>
      <c r="O10" s="825"/>
      <c r="P10" s="826"/>
      <c r="Q10" s="816" t="s">
        <v>0</v>
      </c>
      <c r="S10" s="828"/>
      <c r="T10" s="816"/>
    </row>
    <row r="11" spans="1:20" ht="51">
      <c r="A11" s="2191"/>
      <c r="B11" s="822"/>
      <c r="C11" s="829" t="s">
        <v>291</v>
      </c>
      <c r="D11" s="830" t="s">
        <v>292</v>
      </c>
      <c r="E11" s="827"/>
      <c r="F11" s="829" t="s">
        <v>291</v>
      </c>
      <c r="G11" s="830" t="s">
        <v>292</v>
      </c>
      <c r="H11" s="827"/>
      <c r="I11" s="829" t="s">
        <v>291</v>
      </c>
      <c r="J11" s="830" t="s">
        <v>292</v>
      </c>
      <c r="K11" s="829" t="s">
        <v>291</v>
      </c>
      <c r="L11" s="830" t="s">
        <v>292</v>
      </c>
      <c r="M11" s="829" t="s">
        <v>291</v>
      </c>
      <c r="N11" s="830" t="s">
        <v>292</v>
      </c>
      <c r="O11" s="829" t="s">
        <v>291</v>
      </c>
      <c r="P11" s="830" t="s">
        <v>292</v>
      </c>
      <c r="Q11" s="816" t="s">
        <v>0</v>
      </c>
      <c r="S11" s="831"/>
      <c r="T11" s="816"/>
    </row>
    <row r="12" spans="1:20">
      <c r="A12" s="832"/>
      <c r="B12" s="822"/>
      <c r="C12" s="833"/>
      <c r="D12" s="834"/>
      <c r="E12" s="835"/>
      <c r="F12" s="833"/>
      <c r="G12" s="834"/>
      <c r="H12" s="835"/>
      <c r="I12" s="833"/>
      <c r="J12" s="834"/>
      <c r="K12" s="833"/>
      <c r="L12" s="836"/>
      <c r="M12" s="837"/>
      <c r="N12" s="834"/>
      <c r="O12" s="833"/>
      <c r="P12" s="834"/>
      <c r="Q12" s="816" t="s">
        <v>0</v>
      </c>
      <c r="S12" s="838"/>
      <c r="T12" s="816"/>
    </row>
    <row r="13" spans="1:20">
      <c r="A13" s="839" t="s">
        <v>293</v>
      </c>
      <c r="B13" s="822"/>
      <c r="C13" s="833"/>
      <c r="D13" s="840"/>
      <c r="E13" s="835"/>
      <c r="F13" s="833"/>
      <c r="G13" s="840"/>
      <c r="H13" s="835"/>
      <c r="I13" s="833"/>
      <c r="J13" s="840"/>
      <c r="K13" s="833"/>
      <c r="L13" s="836"/>
      <c r="M13" s="833"/>
      <c r="N13" s="840"/>
      <c r="O13" s="833"/>
      <c r="P13" s="840"/>
      <c r="Q13" s="816" t="s">
        <v>0</v>
      </c>
      <c r="S13" s="841"/>
      <c r="T13" s="816"/>
    </row>
    <row r="14" spans="1:20">
      <c r="A14" s="842" t="s">
        <v>294</v>
      </c>
      <c r="B14" s="822"/>
      <c r="C14" s="833"/>
      <c r="D14" s="840"/>
      <c r="E14" s="835"/>
      <c r="F14" s="833"/>
      <c r="G14" s="840"/>
      <c r="H14" s="835"/>
      <c r="I14" s="833"/>
      <c r="J14" s="840"/>
      <c r="K14" s="833"/>
      <c r="L14" s="836"/>
      <c r="M14" s="833"/>
      <c r="N14" s="840"/>
      <c r="O14" s="833"/>
      <c r="P14" s="834"/>
      <c r="Q14" s="816" t="s">
        <v>0</v>
      </c>
      <c r="S14" s="841"/>
      <c r="T14" s="816"/>
    </row>
    <row r="15" spans="1:20" ht="25.5">
      <c r="A15" s="843" t="s">
        <v>295</v>
      </c>
      <c r="B15" s="822"/>
      <c r="C15" s="833"/>
      <c r="D15" s="840"/>
      <c r="E15" s="835"/>
      <c r="F15" s="833"/>
      <c r="G15" s="840"/>
      <c r="H15" s="835"/>
      <c r="I15" s="833"/>
      <c r="J15" s="840"/>
      <c r="K15" s="833"/>
      <c r="L15" s="836"/>
      <c r="M15" s="833"/>
      <c r="N15" s="840"/>
      <c r="O15" s="833"/>
      <c r="P15" s="834"/>
      <c r="Q15" s="816" t="s">
        <v>0</v>
      </c>
      <c r="S15" s="841"/>
      <c r="T15" s="816"/>
    </row>
    <row r="16" spans="1:20" ht="25.5">
      <c r="A16" s="843" t="s">
        <v>296</v>
      </c>
      <c r="B16" s="822"/>
      <c r="C16" s="833"/>
      <c r="D16" s="840"/>
      <c r="E16" s="835"/>
      <c r="F16" s="833"/>
      <c r="G16" s="840"/>
      <c r="H16" s="835"/>
      <c r="I16" s="833"/>
      <c r="J16" s="840"/>
      <c r="K16" s="833"/>
      <c r="L16" s="836"/>
      <c r="M16" s="833"/>
      <c r="N16" s="840"/>
      <c r="O16" s="833"/>
      <c r="P16" s="834"/>
      <c r="Q16" s="816" t="s">
        <v>0</v>
      </c>
      <c r="S16" s="841"/>
      <c r="T16" s="816"/>
    </row>
    <row r="17" spans="1:20" ht="13.5" customHeight="1">
      <c r="A17" s="842" t="s">
        <v>297</v>
      </c>
      <c r="B17" s="844"/>
      <c r="C17" s="845"/>
      <c r="D17" s="846"/>
      <c r="E17" s="847"/>
      <c r="F17" s="845"/>
      <c r="G17" s="846"/>
      <c r="H17" s="848"/>
      <c r="I17" s="845"/>
      <c r="J17" s="846"/>
      <c r="K17" s="845"/>
      <c r="L17" s="849"/>
      <c r="M17" s="845"/>
      <c r="N17" s="846"/>
      <c r="O17" s="845"/>
      <c r="P17" s="846"/>
      <c r="Q17" s="816" t="s">
        <v>0</v>
      </c>
      <c r="S17" s="850"/>
      <c r="T17" s="816"/>
    </row>
    <row r="18" spans="1:20" s="857" customFormat="1">
      <c r="A18" s="851" t="s">
        <v>298</v>
      </c>
      <c r="B18" s="839"/>
      <c r="C18" s="852">
        <f>SUM(C14:C17)</f>
        <v>0</v>
      </c>
      <c r="D18" s="853">
        <f>SUM(D14:D17)</f>
        <v>0</v>
      </c>
      <c r="E18" s="854"/>
      <c r="F18" s="852">
        <f>SUM(F14:F17)</f>
        <v>0</v>
      </c>
      <c r="G18" s="853">
        <f>SUM(G14:G17)</f>
        <v>0</v>
      </c>
      <c r="H18" s="855"/>
      <c r="I18" s="852">
        <f t="shared" ref="I18:P18" si="0">SUM(I14:I17)</f>
        <v>0</v>
      </c>
      <c r="J18" s="853">
        <f t="shared" si="0"/>
        <v>0</v>
      </c>
      <c r="K18" s="852">
        <f t="shared" si="0"/>
        <v>0</v>
      </c>
      <c r="L18" s="853">
        <f t="shared" si="0"/>
        <v>0</v>
      </c>
      <c r="M18" s="852">
        <f t="shared" si="0"/>
        <v>0</v>
      </c>
      <c r="N18" s="853">
        <f t="shared" si="0"/>
        <v>0</v>
      </c>
      <c r="O18" s="852">
        <f t="shared" si="0"/>
        <v>0</v>
      </c>
      <c r="P18" s="853">
        <f t="shared" si="0"/>
        <v>0</v>
      </c>
      <c r="Q18" s="816" t="s">
        <v>0</v>
      </c>
      <c r="R18" s="818"/>
      <c r="S18" s="856"/>
      <c r="T18" s="816"/>
    </row>
    <row r="19" spans="1:20">
      <c r="A19" s="844"/>
      <c r="B19" s="822"/>
      <c r="C19" s="833"/>
      <c r="D19" s="834"/>
      <c r="E19" s="858"/>
      <c r="F19" s="833"/>
      <c r="G19" s="834"/>
      <c r="H19" s="858"/>
      <c r="I19" s="833"/>
      <c r="J19" s="834"/>
      <c r="K19" s="833"/>
      <c r="L19" s="836"/>
      <c r="M19" s="833"/>
      <c r="N19" s="834"/>
      <c r="O19" s="833"/>
      <c r="P19" s="834"/>
      <c r="Q19" s="816" t="s">
        <v>0</v>
      </c>
      <c r="S19" s="838"/>
      <c r="T19" s="816"/>
    </row>
    <row r="20" spans="1:20" ht="25.5">
      <c r="A20" s="859" t="s">
        <v>299</v>
      </c>
      <c r="B20" s="822"/>
      <c r="C20" s="833"/>
      <c r="D20" s="834"/>
      <c r="E20" s="860"/>
      <c r="F20" s="833"/>
      <c r="G20" s="834"/>
      <c r="H20" s="860"/>
      <c r="I20" s="833"/>
      <c r="J20" s="834"/>
      <c r="K20" s="833"/>
      <c r="L20" s="836"/>
      <c r="M20" s="833"/>
      <c r="N20" s="834"/>
      <c r="O20" s="861"/>
      <c r="P20" s="862"/>
      <c r="Q20" s="816" t="s">
        <v>0</v>
      </c>
      <c r="S20" s="838"/>
      <c r="T20" s="816"/>
    </row>
    <row r="21" spans="1:20" ht="25.5">
      <c r="A21" s="843" t="s">
        <v>300</v>
      </c>
      <c r="B21" s="822"/>
      <c r="C21" s="833"/>
      <c r="D21" s="834">
        <v>423595</v>
      </c>
      <c r="E21" s="860"/>
      <c r="F21" s="833"/>
      <c r="G21" s="834">
        <v>423595</v>
      </c>
      <c r="H21" s="860"/>
      <c r="I21" s="833"/>
      <c r="J21" s="834">
        <f>423595</f>
        <v>423595</v>
      </c>
      <c r="K21" s="833"/>
      <c r="L21" s="836">
        <v>143000</v>
      </c>
      <c r="M21" s="833"/>
      <c r="N21" s="834">
        <v>-286595</v>
      </c>
      <c r="O21" s="833"/>
      <c r="P21" s="834">
        <f>+J21+L21+N21</f>
        <v>280000</v>
      </c>
      <c r="Q21" s="816" t="s">
        <v>0</v>
      </c>
      <c r="S21" s="838"/>
      <c r="T21" s="816"/>
    </row>
    <row r="22" spans="1:20">
      <c r="A22" s="842" t="s">
        <v>301</v>
      </c>
      <c r="B22" s="822"/>
      <c r="C22" s="833"/>
      <c r="D22" s="1192"/>
      <c r="E22" s="860"/>
      <c r="F22" s="833"/>
      <c r="G22" s="1192"/>
      <c r="H22" s="860"/>
      <c r="I22" s="833"/>
      <c r="K22" s="833"/>
      <c r="M22" s="833"/>
      <c r="O22" s="833"/>
      <c r="P22" s="834"/>
      <c r="Q22" s="816" t="s">
        <v>0</v>
      </c>
      <c r="S22" s="838"/>
      <c r="T22" s="816"/>
    </row>
    <row r="23" spans="1:20">
      <c r="A23" s="842" t="s">
        <v>302</v>
      </c>
      <c r="B23" s="822"/>
      <c r="C23" s="833"/>
      <c r="D23" s="834"/>
      <c r="E23" s="860"/>
      <c r="F23" s="833"/>
      <c r="G23" s="834"/>
      <c r="H23" s="860"/>
      <c r="I23" s="833"/>
      <c r="J23" s="834"/>
      <c r="K23" s="833"/>
      <c r="L23" s="836"/>
      <c r="M23" s="833"/>
      <c r="N23" s="834"/>
      <c r="O23" s="833"/>
      <c r="P23" s="834"/>
      <c r="Q23" s="816" t="s">
        <v>0</v>
      </c>
      <c r="S23" s="838"/>
      <c r="T23" s="816"/>
    </row>
    <row r="24" spans="1:20">
      <c r="A24" s="842" t="s">
        <v>303</v>
      </c>
      <c r="B24" s="822"/>
      <c r="C24" s="833"/>
      <c r="D24" s="834"/>
      <c r="E24" s="860"/>
      <c r="F24" s="833"/>
      <c r="G24" s="834"/>
      <c r="H24" s="860"/>
      <c r="I24" s="833"/>
      <c r="J24" s="834"/>
      <c r="K24" s="833"/>
      <c r="L24" s="836"/>
      <c r="M24" s="833"/>
      <c r="N24" s="834"/>
      <c r="O24" s="833"/>
      <c r="P24" s="834"/>
      <c r="Q24" s="816" t="s">
        <v>0</v>
      </c>
      <c r="S24" s="838"/>
      <c r="T24" s="816"/>
    </row>
    <row r="25" spans="1:20" ht="25.5">
      <c r="A25" s="843" t="s">
        <v>304</v>
      </c>
      <c r="B25" s="822"/>
      <c r="C25" s="833"/>
      <c r="D25" s="834"/>
      <c r="E25" s="860"/>
      <c r="F25" s="833"/>
      <c r="G25" s="834"/>
      <c r="H25" s="860"/>
      <c r="I25" s="833"/>
      <c r="J25" s="834"/>
      <c r="K25" s="833"/>
      <c r="L25" s="836"/>
      <c r="M25" s="833"/>
      <c r="N25" s="834"/>
      <c r="O25" s="833"/>
      <c r="P25" s="834"/>
      <c r="Q25" s="816" t="s">
        <v>0</v>
      </c>
      <c r="S25" s="838"/>
      <c r="T25" s="816"/>
    </row>
    <row r="26" spans="1:20">
      <c r="A26" s="842" t="s">
        <v>305</v>
      </c>
      <c r="B26" s="822"/>
      <c r="C26" s="833"/>
      <c r="D26" s="834"/>
      <c r="E26" s="860"/>
      <c r="F26" s="833"/>
      <c r="G26" s="834"/>
      <c r="H26" s="860"/>
      <c r="I26" s="833"/>
      <c r="J26" s="834"/>
      <c r="K26" s="833"/>
      <c r="L26" s="836"/>
      <c r="M26" s="833"/>
      <c r="N26" s="834"/>
      <c r="O26" s="833"/>
      <c r="P26" s="834"/>
      <c r="Q26" s="816" t="s">
        <v>0</v>
      </c>
      <c r="S26" s="838"/>
      <c r="T26" s="816"/>
    </row>
    <row r="27" spans="1:20" ht="25.5">
      <c r="A27" s="843" t="s">
        <v>306</v>
      </c>
      <c r="B27" s="822"/>
      <c r="C27" s="833"/>
      <c r="D27" s="834"/>
      <c r="E27" s="860"/>
      <c r="F27" s="833"/>
      <c r="G27" s="834"/>
      <c r="H27" s="860"/>
      <c r="I27" s="833"/>
      <c r="J27" s="834"/>
      <c r="K27" s="833"/>
      <c r="L27" s="836"/>
      <c r="M27" s="833"/>
      <c r="N27" s="834"/>
      <c r="O27" s="833"/>
      <c r="P27" s="834"/>
      <c r="Q27" s="816" t="s">
        <v>0</v>
      </c>
      <c r="R27" s="838"/>
      <c r="S27" s="838"/>
      <c r="T27" s="816"/>
    </row>
    <row r="28" spans="1:20" ht="27.75" customHeight="1">
      <c r="A28" s="843" t="s">
        <v>307</v>
      </c>
      <c r="B28" s="844"/>
      <c r="C28" s="845"/>
      <c r="D28" s="846"/>
      <c r="E28" s="863"/>
      <c r="F28" s="845"/>
      <c r="G28" s="846"/>
      <c r="H28" s="864"/>
      <c r="I28" s="845"/>
      <c r="J28" s="846"/>
      <c r="K28" s="845"/>
      <c r="L28" s="849"/>
      <c r="M28" s="845"/>
      <c r="N28" s="846"/>
      <c r="O28" s="833"/>
      <c r="P28" s="865"/>
      <c r="Q28" s="816" t="s">
        <v>0</v>
      </c>
      <c r="R28" s="850"/>
      <c r="S28" s="850"/>
      <c r="T28" s="816"/>
    </row>
    <row r="29" spans="1:20">
      <c r="A29" s="851" t="s">
        <v>308</v>
      </c>
      <c r="B29" s="839"/>
      <c r="C29" s="852">
        <f>SUM(C21:C28)</f>
        <v>0</v>
      </c>
      <c r="D29" s="853">
        <f>SUM(D21:D28)</f>
        <v>423595</v>
      </c>
      <c r="E29" s="866"/>
      <c r="F29" s="852">
        <f>SUM(F21:F28)</f>
        <v>0</v>
      </c>
      <c r="G29" s="853">
        <f>SUM(G21:G28)</f>
        <v>423595</v>
      </c>
      <c r="H29" s="867"/>
      <c r="I29" s="852">
        <f t="shared" ref="I29:O29" si="1">SUM(I21:I28)</f>
        <v>0</v>
      </c>
      <c r="J29" s="853">
        <f>SUM(J21:J28)</f>
        <v>423595</v>
      </c>
      <c r="K29" s="868">
        <f t="shared" si="1"/>
        <v>0</v>
      </c>
      <c r="L29" s="869">
        <f>SUM(L21:L28)</f>
        <v>143000</v>
      </c>
      <c r="M29" s="852">
        <f t="shared" si="1"/>
        <v>0</v>
      </c>
      <c r="N29" s="853">
        <f>SUM(N21:N28)</f>
        <v>-286595</v>
      </c>
      <c r="O29" s="868">
        <f t="shared" si="1"/>
        <v>0</v>
      </c>
      <c r="P29" s="853">
        <f>SUM(P21:P28)</f>
        <v>280000</v>
      </c>
      <c r="Q29" s="816" t="s">
        <v>0</v>
      </c>
      <c r="R29" s="856"/>
      <c r="S29" s="856"/>
      <c r="T29" s="816"/>
    </row>
    <row r="30" spans="1:20">
      <c r="A30" s="844"/>
      <c r="B30" s="822"/>
      <c r="C30" s="833"/>
      <c r="D30" s="834"/>
      <c r="E30" s="822"/>
      <c r="F30" s="833"/>
      <c r="G30" s="834"/>
      <c r="H30" s="822"/>
      <c r="I30" s="833"/>
      <c r="J30" s="834"/>
      <c r="K30" s="833"/>
      <c r="L30" s="836"/>
      <c r="M30" s="833"/>
      <c r="N30" s="834"/>
      <c r="O30" s="833"/>
      <c r="P30" s="834"/>
      <c r="Q30" s="816" t="s">
        <v>0</v>
      </c>
      <c r="R30" s="838"/>
      <c r="S30" s="838"/>
      <c r="T30" s="816"/>
    </row>
    <row r="31" spans="1:20" ht="25.5">
      <c r="A31" s="859" t="s">
        <v>309</v>
      </c>
      <c r="B31" s="822"/>
      <c r="C31" s="833"/>
      <c r="D31" s="834"/>
      <c r="E31" s="835"/>
      <c r="F31" s="833"/>
      <c r="G31" s="834"/>
      <c r="H31" s="835"/>
      <c r="I31" s="833"/>
      <c r="J31" s="834"/>
      <c r="K31" s="833"/>
      <c r="L31" s="836"/>
      <c r="M31" s="833"/>
      <c r="N31" s="834"/>
      <c r="O31" s="833"/>
      <c r="P31" s="834"/>
      <c r="Q31" s="816" t="s">
        <v>0</v>
      </c>
      <c r="R31" s="838"/>
      <c r="S31" s="838"/>
      <c r="T31" s="816"/>
    </row>
    <row r="32" spans="1:20" ht="38.25">
      <c r="A32" s="843" t="s">
        <v>310</v>
      </c>
      <c r="B32" s="822"/>
      <c r="C32" s="833"/>
      <c r="D32" s="834"/>
      <c r="E32" s="835"/>
      <c r="F32" s="833"/>
      <c r="G32" s="834"/>
      <c r="H32" s="835"/>
      <c r="I32" s="833"/>
      <c r="J32" s="834"/>
      <c r="K32" s="833"/>
      <c r="L32" s="836"/>
      <c r="M32" s="833"/>
      <c r="N32" s="834"/>
      <c r="O32" s="833"/>
      <c r="P32" s="834"/>
      <c r="Q32" s="816" t="s">
        <v>0</v>
      </c>
      <c r="R32" s="838"/>
      <c r="S32" s="838"/>
      <c r="T32" s="816"/>
    </row>
    <row r="33" spans="1:20">
      <c r="A33" s="842" t="s">
        <v>311</v>
      </c>
      <c r="B33" s="822"/>
      <c r="C33" s="833"/>
      <c r="D33" s="834"/>
      <c r="E33" s="835"/>
      <c r="F33" s="833"/>
      <c r="G33" s="834"/>
      <c r="H33" s="835"/>
      <c r="I33" s="833"/>
      <c r="J33" s="834"/>
      <c r="K33" s="833"/>
      <c r="L33" s="836"/>
      <c r="M33" s="833"/>
      <c r="N33" s="834"/>
      <c r="O33" s="833"/>
      <c r="P33" s="834"/>
      <c r="Q33" s="816" t="s">
        <v>0</v>
      </c>
      <c r="R33" s="838"/>
      <c r="S33" s="838"/>
      <c r="T33" s="816"/>
    </row>
    <row r="34" spans="1:20" ht="42" customHeight="1">
      <c r="A34" s="843" t="s">
        <v>312</v>
      </c>
      <c r="B34" s="822"/>
      <c r="C34" s="833"/>
      <c r="D34" s="834"/>
      <c r="E34" s="835"/>
      <c r="F34" s="833"/>
      <c r="G34" s="834"/>
      <c r="H34" s="835"/>
      <c r="I34" s="833"/>
      <c r="J34" s="834"/>
      <c r="K34" s="833"/>
      <c r="L34" s="836"/>
      <c r="M34" s="833"/>
      <c r="N34" s="834"/>
      <c r="O34" s="833"/>
      <c r="P34" s="834"/>
      <c r="Q34" s="816" t="s">
        <v>0</v>
      </c>
      <c r="R34" s="838"/>
      <c r="S34" s="838"/>
      <c r="T34" s="816"/>
    </row>
    <row r="35" spans="1:20" ht="38.25">
      <c r="A35" s="843" t="s">
        <v>313</v>
      </c>
      <c r="B35" s="822"/>
      <c r="C35" s="833"/>
      <c r="D35" s="834"/>
      <c r="E35" s="835"/>
      <c r="F35" s="833"/>
      <c r="G35" s="834"/>
      <c r="H35" s="835"/>
      <c r="I35" s="833"/>
      <c r="J35" s="834"/>
      <c r="K35" s="833"/>
      <c r="L35" s="836"/>
      <c r="M35" s="833"/>
      <c r="N35" s="834"/>
      <c r="O35" s="833"/>
      <c r="P35" s="834"/>
      <c r="Q35" s="816" t="s">
        <v>0</v>
      </c>
      <c r="R35" s="838"/>
      <c r="S35" s="838"/>
      <c r="T35" s="816"/>
    </row>
    <row r="36" spans="1:20" ht="25.5">
      <c r="A36" s="843" t="s">
        <v>314</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456</v>
      </c>
      <c r="B37" s="822"/>
      <c r="C37" s="833"/>
      <c r="D37" s="834"/>
      <c r="E37" s="835"/>
      <c r="F37" s="833"/>
      <c r="G37" s="834"/>
      <c r="H37" s="835"/>
      <c r="I37" s="833"/>
      <c r="J37" s="834"/>
      <c r="K37" s="833"/>
      <c r="L37" s="836"/>
      <c r="M37" s="833"/>
      <c r="N37" s="834"/>
      <c r="O37" s="833"/>
      <c r="P37" s="834"/>
      <c r="Q37" s="816" t="s">
        <v>0</v>
      </c>
      <c r="R37" s="838"/>
      <c r="S37" s="838"/>
      <c r="T37" s="816"/>
    </row>
    <row r="38" spans="1:20">
      <c r="A38" s="842" t="s">
        <v>315</v>
      </c>
      <c r="B38" s="822"/>
      <c r="C38" s="833"/>
      <c r="D38" s="834"/>
      <c r="E38" s="835"/>
      <c r="F38" s="833"/>
      <c r="G38" s="834"/>
      <c r="H38" s="835"/>
      <c r="I38" s="833"/>
      <c r="J38" s="834"/>
      <c r="K38" s="833"/>
      <c r="L38" s="836"/>
      <c r="M38" s="833"/>
      <c r="N38" s="834"/>
      <c r="O38" s="833"/>
      <c r="P38" s="834"/>
      <c r="Q38" s="816" t="s">
        <v>0</v>
      </c>
      <c r="R38" s="838"/>
      <c r="S38" s="838"/>
      <c r="T38" s="816"/>
    </row>
    <row r="39" spans="1:20">
      <c r="A39" s="851" t="s">
        <v>316</v>
      </c>
      <c r="B39" s="839"/>
      <c r="C39" s="866">
        <f>SUM(C32:C38)</f>
        <v>0</v>
      </c>
      <c r="D39" s="1434">
        <f>SUM(D32:D38)</f>
        <v>0</v>
      </c>
      <c r="E39" s="854"/>
      <c r="F39" s="866">
        <f>SUM(F32:F38)</f>
        <v>0</v>
      </c>
      <c r="G39" s="1434">
        <f>SUM(G32:G38)</f>
        <v>0</v>
      </c>
      <c r="H39" s="855"/>
      <c r="I39" s="866">
        <f t="shared" ref="I39:P39" si="2">SUM(I32:I38)</f>
        <v>0</v>
      </c>
      <c r="J39" s="1434">
        <f t="shared" si="2"/>
        <v>0</v>
      </c>
      <c r="K39" s="866">
        <f t="shared" si="2"/>
        <v>0</v>
      </c>
      <c r="L39" s="1435">
        <f t="shared" si="2"/>
        <v>0</v>
      </c>
      <c r="M39" s="866">
        <f t="shared" si="2"/>
        <v>0</v>
      </c>
      <c r="N39" s="1434">
        <f t="shared" si="2"/>
        <v>0</v>
      </c>
      <c r="O39" s="866">
        <f t="shared" si="2"/>
        <v>0</v>
      </c>
      <c r="P39" s="1434">
        <f t="shared" si="2"/>
        <v>0</v>
      </c>
      <c r="Q39" s="816" t="s">
        <v>0</v>
      </c>
      <c r="R39" s="856"/>
      <c r="S39" s="856"/>
      <c r="T39" s="816"/>
    </row>
    <row r="40" spans="1:20">
      <c r="A40" s="1436" t="s">
        <v>457</v>
      </c>
      <c r="B40" s="1437"/>
      <c r="C40" s="868"/>
      <c r="D40" s="872">
        <f>+D18+D29+D39</f>
        <v>423595</v>
      </c>
      <c r="E40" s="873"/>
      <c r="F40" s="868"/>
      <c r="G40" s="872">
        <f>+G18+G29+G39</f>
        <v>423595</v>
      </c>
      <c r="H40" s="873"/>
      <c r="I40" s="868"/>
      <c r="J40" s="872">
        <f>+J18+J29+J39</f>
        <v>423595</v>
      </c>
      <c r="K40" s="868"/>
      <c r="L40" s="872">
        <f>+L18+L29+L39</f>
        <v>143000</v>
      </c>
      <c r="M40" s="868"/>
      <c r="N40" s="872">
        <f>+N18+N29+N39</f>
        <v>-286595</v>
      </c>
      <c r="O40" s="868"/>
      <c r="P40" s="872">
        <f>+P18+P29+P39</f>
        <v>280000</v>
      </c>
      <c r="Q40" s="816" t="s">
        <v>0</v>
      </c>
      <c r="R40" s="856"/>
      <c r="S40" s="856"/>
      <c r="T40" s="816"/>
    </row>
    <row r="41" spans="1:20">
      <c r="A41" s="870" t="s">
        <v>458</v>
      </c>
      <c r="B41" s="871"/>
      <c r="C41" s="868"/>
      <c r="D41" s="872">
        <v>-5122</v>
      </c>
      <c r="E41" s="873"/>
      <c r="F41" s="868"/>
      <c r="G41" s="872"/>
      <c r="H41" s="873"/>
      <c r="I41" s="868"/>
      <c r="J41" s="872"/>
      <c r="K41" s="868"/>
      <c r="L41" s="872"/>
      <c r="M41" s="868"/>
      <c r="N41" s="872"/>
      <c r="O41" s="868"/>
      <c r="P41" s="872"/>
      <c r="Q41" s="816" t="s">
        <v>0</v>
      </c>
      <c r="R41" s="856"/>
      <c r="S41" s="856"/>
      <c r="T41" s="816"/>
    </row>
    <row r="42" spans="1:20" ht="13.5" thickBot="1">
      <c r="A42" s="870" t="s">
        <v>448</v>
      </c>
      <c r="B42" s="871"/>
      <c r="C42" s="868"/>
      <c r="D42" s="872">
        <v>-8008</v>
      </c>
      <c r="E42" s="873"/>
      <c r="F42" s="868"/>
      <c r="G42" s="872">
        <v>-6000</v>
      </c>
      <c r="H42" s="873"/>
      <c r="I42" s="868"/>
      <c r="J42" s="872"/>
      <c r="K42" s="868"/>
      <c r="L42" s="872"/>
      <c r="M42" s="868"/>
      <c r="N42" s="872"/>
      <c r="O42" s="868"/>
      <c r="P42" s="872">
        <v>-4000</v>
      </c>
      <c r="Q42" s="816" t="s">
        <v>0</v>
      </c>
      <c r="R42" s="856"/>
      <c r="S42" s="856"/>
      <c r="T42" s="816"/>
    </row>
    <row r="43" spans="1:20" s="883" customFormat="1" ht="18.75" customHeight="1" thickBot="1">
      <c r="A43" s="1438" t="s">
        <v>317</v>
      </c>
      <c r="B43" s="877"/>
      <c r="C43" s="878">
        <f>C18+C29+C39</f>
        <v>0</v>
      </c>
      <c r="D43" s="879">
        <f>D18+D29+D39+D41+D42</f>
        <v>410465</v>
      </c>
      <c r="E43" s="880"/>
      <c r="F43" s="878">
        <f>F18+F29+F39</f>
        <v>0</v>
      </c>
      <c r="G43" s="879">
        <f>G18+G29+G39+G42</f>
        <v>417595</v>
      </c>
      <c r="H43" s="880"/>
      <c r="I43" s="878">
        <f t="shared" ref="I43:O43" si="3">I18+I29+I39</f>
        <v>0</v>
      </c>
      <c r="J43" s="879">
        <f t="shared" si="3"/>
        <v>423595</v>
      </c>
      <c r="K43" s="878">
        <f t="shared" si="3"/>
        <v>0</v>
      </c>
      <c r="L43" s="879">
        <f t="shared" si="3"/>
        <v>143000</v>
      </c>
      <c r="M43" s="878">
        <f t="shared" si="3"/>
        <v>0</v>
      </c>
      <c r="N43" s="879">
        <f t="shared" si="3"/>
        <v>-286595</v>
      </c>
      <c r="O43" s="878">
        <f t="shared" si="3"/>
        <v>0</v>
      </c>
      <c r="P43" s="879">
        <f>P18+P29+P39+P42</f>
        <v>276000</v>
      </c>
      <c r="Q43" s="816" t="s">
        <v>24</v>
      </c>
      <c r="R43" s="881"/>
      <c r="S43" s="882"/>
      <c r="T43" s="816"/>
    </row>
    <row r="44" spans="1:20">
      <c r="A44" s="884"/>
      <c r="B44" s="884"/>
      <c r="C44" s="881"/>
      <c r="D44" s="882"/>
      <c r="E44" s="884"/>
      <c r="F44" s="881"/>
      <c r="G44" s="882"/>
      <c r="H44" s="884"/>
      <c r="I44" s="881"/>
      <c r="J44" s="882"/>
      <c r="K44" s="883"/>
      <c r="L44" s="883"/>
      <c r="M44" s="883"/>
      <c r="N44" s="883"/>
      <c r="O44" s="883"/>
      <c r="P44" s="883"/>
      <c r="Q44" s="883"/>
      <c r="R44" s="885"/>
      <c r="S44" s="885"/>
      <c r="T44" s="816"/>
    </row>
    <row r="45" spans="1:20">
      <c r="A45" s="884"/>
      <c r="B45" s="884"/>
      <c r="C45" s="881"/>
      <c r="D45" s="882"/>
      <c r="E45" s="884"/>
      <c r="F45" s="881"/>
      <c r="G45" s="882"/>
      <c r="H45" s="884"/>
      <c r="I45" s="881"/>
      <c r="J45" s="882"/>
      <c r="K45" s="883"/>
      <c r="L45" s="883"/>
      <c r="M45" s="883"/>
      <c r="N45" s="883"/>
      <c r="O45" s="883"/>
      <c r="P45" s="883"/>
      <c r="Q45" s="883"/>
      <c r="R45" s="885"/>
      <c r="S45" s="885"/>
      <c r="T45" s="816"/>
    </row>
    <row r="46" spans="1:20">
      <c r="A46" s="886"/>
      <c r="B46" s="887"/>
      <c r="C46" s="888"/>
      <c r="D46" s="889"/>
      <c r="E46" s="887"/>
      <c r="F46" s="888"/>
      <c r="G46" s="889"/>
      <c r="H46" s="887"/>
      <c r="I46" s="888"/>
      <c r="J46" s="889"/>
      <c r="K46" s="888"/>
      <c r="L46" s="890"/>
      <c r="M46" s="888"/>
      <c r="N46" s="889"/>
      <c r="O46" s="888"/>
      <c r="P46" s="889"/>
      <c r="Q46" s="883"/>
      <c r="R46" s="891"/>
      <c r="S46" s="892"/>
      <c r="T46" s="816"/>
    </row>
    <row r="47" spans="1:20">
      <c r="A47" s="884"/>
      <c r="B47" s="884"/>
      <c r="C47" s="881"/>
      <c r="D47" s="882"/>
      <c r="E47" s="884"/>
      <c r="F47" s="881"/>
      <c r="G47" s="882"/>
      <c r="H47" s="884"/>
      <c r="I47" s="881"/>
      <c r="J47" s="882"/>
      <c r="K47" s="883"/>
      <c r="L47" s="883"/>
      <c r="M47" s="883"/>
      <c r="N47" s="883"/>
      <c r="O47" s="883"/>
      <c r="P47" s="883"/>
      <c r="Q47" s="883"/>
      <c r="R47" s="885"/>
      <c r="S47" s="885"/>
    </row>
    <row r="49" spans="1:19" ht="15.75">
      <c r="A49" s="2192"/>
      <c r="B49" s="2192"/>
      <c r="C49" s="2192"/>
      <c r="D49" s="2192"/>
      <c r="E49" s="2192"/>
      <c r="F49" s="2192"/>
      <c r="G49" s="2192"/>
      <c r="H49" s="2192"/>
      <c r="I49" s="893"/>
      <c r="J49" s="894"/>
      <c r="K49" s="895"/>
      <c r="L49" s="895"/>
      <c r="M49" s="895"/>
      <c r="N49" s="895"/>
      <c r="O49" s="895"/>
      <c r="P49" s="895"/>
      <c r="Q49" s="895"/>
      <c r="R49" s="895"/>
      <c r="S49" s="895"/>
    </row>
    <row r="50" spans="1:19" ht="15.75">
      <c r="A50" s="896"/>
      <c r="B50" s="897"/>
      <c r="C50" s="898"/>
      <c r="D50" s="898"/>
      <c r="E50" s="897"/>
      <c r="F50" s="898"/>
      <c r="G50" s="898"/>
      <c r="H50" s="897"/>
      <c r="I50" s="893"/>
      <c r="J50" s="894"/>
      <c r="K50" s="895"/>
      <c r="L50" s="895"/>
      <c r="M50" s="895"/>
      <c r="N50" s="895"/>
      <c r="O50" s="895"/>
      <c r="P50" s="895"/>
      <c r="Q50" s="895"/>
      <c r="R50" s="895"/>
      <c r="S50" s="895"/>
    </row>
    <row r="51" spans="1:19" ht="68.25" customHeight="1">
      <c r="A51" s="2193"/>
      <c r="B51" s="2194"/>
      <c r="C51" s="2194"/>
      <c r="D51" s="2194"/>
      <c r="E51" s="2194"/>
      <c r="F51" s="2194"/>
      <c r="G51" s="2194"/>
      <c r="H51" s="899"/>
      <c r="I51" s="756"/>
      <c r="J51" s="900"/>
      <c r="K51" s="900"/>
      <c r="L51" s="900"/>
      <c r="M51" s="900"/>
      <c r="N51" s="900"/>
      <c r="O51" s="900"/>
      <c r="P51" s="900"/>
      <c r="Q51" s="900"/>
      <c r="R51" s="900"/>
      <c r="S51" s="900"/>
    </row>
    <row r="52" spans="1:19" ht="15" customHeight="1">
      <c r="A52" s="899"/>
      <c r="B52" s="899"/>
      <c r="C52" s="899"/>
      <c r="D52" s="899"/>
      <c r="E52" s="899"/>
      <c r="F52" s="899"/>
      <c r="G52" s="899"/>
      <c r="H52" s="899"/>
      <c r="I52" s="756"/>
      <c r="J52" s="900"/>
      <c r="K52" s="900"/>
      <c r="L52" s="900"/>
      <c r="M52" s="900"/>
      <c r="N52" s="900"/>
      <c r="O52" s="900"/>
      <c r="P52" s="900"/>
      <c r="Q52" s="900"/>
      <c r="R52" s="900"/>
      <c r="S52" s="900"/>
    </row>
    <row r="53" spans="1:19" ht="15">
      <c r="A53" s="2195"/>
      <c r="B53" s="2196"/>
      <c r="C53" s="2196"/>
      <c r="D53" s="2196"/>
      <c r="E53" s="2196"/>
      <c r="F53" s="2196"/>
      <c r="G53" s="2196"/>
      <c r="H53" s="901"/>
      <c r="I53" s="902"/>
      <c r="J53" s="902"/>
      <c r="K53" s="902"/>
      <c r="L53" s="902"/>
      <c r="M53" s="902"/>
      <c r="N53" s="902"/>
      <c r="O53" s="902"/>
      <c r="P53" s="902"/>
      <c r="Q53" s="902"/>
      <c r="R53" s="902"/>
      <c r="S53" s="902"/>
    </row>
    <row r="54" spans="1:19">
      <c r="A54" s="903"/>
      <c r="B54" s="903"/>
      <c r="C54" s="903"/>
      <c r="D54" s="903"/>
      <c r="E54" s="903"/>
      <c r="F54" s="903"/>
      <c r="G54" s="903"/>
      <c r="H54" s="903"/>
      <c r="I54" s="895"/>
      <c r="J54" s="895"/>
      <c r="K54" s="895"/>
      <c r="L54" s="895"/>
      <c r="M54" s="895"/>
      <c r="N54" s="895"/>
      <c r="O54" s="895"/>
      <c r="P54" s="895"/>
      <c r="Q54" s="895"/>
      <c r="R54" s="895"/>
      <c r="S54" s="895"/>
    </row>
    <row r="55" spans="1:19" ht="57" customHeight="1">
      <c r="A55" s="2182"/>
      <c r="B55" s="2183"/>
      <c r="C55" s="2183"/>
      <c r="D55" s="2183"/>
      <c r="E55" s="2183"/>
      <c r="F55" s="2183"/>
      <c r="G55" s="2183"/>
      <c r="H55" s="899"/>
      <c r="I55" s="756"/>
      <c r="J55" s="900"/>
      <c r="K55" s="900"/>
      <c r="L55" s="900"/>
      <c r="M55" s="900"/>
      <c r="N55" s="900"/>
      <c r="O55" s="900"/>
      <c r="P55" s="900"/>
      <c r="Q55" s="900"/>
      <c r="R55" s="900"/>
      <c r="S55" s="900"/>
    </row>
    <row r="56" spans="1:19" ht="33.75" customHeight="1">
      <c r="A56" s="2182"/>
      <c r="B56" s="2183"/>
      <c r="C56" s="2183"/>
      <c r="D56" s="2183"/>
      <c r="E56" s="2183"/>
      <c r="F56" s="2183"/>
      <c r="G56" s="2183"/>
      <c r="H56" s="899"/>
      <c r="I56" s="756"/>
      <c r="J56" s="900"/>
      <c r="K56" s="900"/>
      <c r="L56" s="900"/>
      <c r="M56" s="900"/>
      <c r="N56" s="900"/>
      <c r="O56" s="900"/>
      <c r="P56" s="900"/>
      <c r="Q56" s="900"/>
      <c r="R56" s="900"/>
      <c r="S56" s="900"/>
    </row>
    <row r="57" spans="1:19" ht="15">
      <c r="A57" s="2184"/>
      <c r="B57" s="2185"/>
      <c r="C57" s="2185"/>
      <c r="D57" s="2185"/>
      <c r="E57" s="2185"/>
      <c r="F57" s="2185"/>
      <c r="G57" s="2185"/>
      <c r="H57" s="2185"/>
      <c r="I57" s="2185"/>
      <c r="J57" s="2186"/>
      <c r="K57" s="2186"/>
      <c r="L57" s="2186"/>
      <c r="M57" s="2186"/>
      <c r="N57" s="2186"/>
      <c r="O57" s="2186"/>
      <c r="P57" s="2186"/>
      <c r="Q57" s="2186"/>
      <c r="R57" s="2186"/>
      <c r="S57" s="2186"/>
    </row>
    <row r="58" spans="1:19" ht="15">
      <c r="A58" s="2184"/>
      <c r="B58" s="2185"/>
      <c r="C58" s="2185"/>
      <c r="D58" s="2185"/>
      <c r="E58" s="2185"/>
      <c r="F58" s="2185"/>
      <c r="G58" s="2185"/>
      <c r="H58" s="2185"/>
      <c r="I58" s="2185"/>
      <c r="J58" s="2186"/>
      <c r="K58" s="2186"/>
      <c r="L58" s="2186"/>
      <c r="M58" s="2186"/>
      <c r="N58" s="2186"/>
      <c r="O58" s="2186"/>
      <c r="P58" s="2186"/>
      <c r="Q58" s="2186"/>
      <c r="R58" s="2186"/>
      <c r="S58" s="2186"/>
    </row>
    <row r="59" spans="1:19">
      <c r="S59" s="816"/>
    </row>
  </sheetData>
  <mergeCells count="20">
    <mergeCell ref="A55:G55"/>
    <mergeCell ref="A56:G56"/>
    <mergeCell ref="A57:S57"/>
    <mergeCell ref="A58:S58"/>
    <mergeCell ref="K9:L9"/>
    <mergeCell ref="M9:N9"/>
    <mergeCell ref="A10:A11"/>
    <mergeCell ref="A49:H49"/>
    <mergeCell ref="A51:G51"/>
    <mergeCell ref="A53:G53"/>
    <mergeCell ref="C8:D9"/>
    <mergeCell ref="F8:G9"/>
    <mergeCell ref="I8:J9"/>
    <mergeCell ref="K8:N8"/>
    <mergeCell ref="O8:P9"/>
    <mergeCell ref="A1:P1"/>
    <mergeCell ref="A3:P3"/>
    <mergeCell ref="A4:P4"/>
    <mergeCell ref="A5:P5"/>
    <mergeCell ref="A6:P6"/>
  </mergeCells>
  <printOptions horizontalCentered="1"/>
  <pageMargins left="0.5" right="0.4" top="0.5" bottom="0.25" header="0" footer="0"/>
  <pageSetup scale="65" firstPageNumber="8" fitToHeight="0" orientation="landscape" useFirstPageNumber="1" r:id="rId1"/>
  <headerFooter alignWithMargins="0">
    <oddFooter>&amp;C&amp;"Times New Roman,Regular"Exhibit D - Resources by DOJ Strategic Goals Strategic Objectives&amp;R&amp;"Times New Roman,Regular"Juvenile Justice Programs</oddFooter>
  </headerFooter>
</worksheet>
</file>

<file path=xl/worksheets/sheet41.xml><?xml version="1.0" encoding="utf-8"?>
<worksheet xmlns="http://schemas.openxmlformats.org/spreadsheetml/2006/main" xmlns:r="http://schemas.openxmlformats.org/officeDocument/2006/relationships">
  <sheetPr>
    <pageSetUpPr fitToPage="1"/>
  </sheetPr>
  <dimension ref="A1:DO66"/>
  <sheetViews>
    <sheetView showGridLines="0" showOutlineSymbols="0" view="pageBreakPreview" zoomScale="75" zoomScaleNormal="100" zoomScaleSheetLayoutView="75" workbookViewId="0">
      <selection activeCell="A2" sqref="A2:O2"/>
    </sheetView>
  </sheetViews>
  <sheetFormatPr defaultColWidth="9.6640625" defaultRowHeight="15.75"/>
  <cols>
    <col min="1" max="1" width="60.21875"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8" width="7" style="684" customWidth="1"/>
    <col min="9" max="9" width="5.6640625" style="684" customWidth="1"/>
    <col min="10" max="10" width="7.77734375" style="684" customWidth="1"/>
    <col min="11" max="11" width="8.77734375" style="684" customWidth="1"/>
    <col min="12" max="12" width="10" style="684" customWidth="1"/>
    <col min="13" max="13" width="7.5546875" style="684" bestFit="1" customWidth="1"/>
    <col min="14" max="14" width="6.77734375" style="684" customWidth="1"/>
    <col min="15" max="15" width="10.88671875" style="684" bestFit="1" customWidth="1"/>
    <col min="16" max="16" width="1" style="948" customWidth="1"/>
    <col min="17" max="16384" width="9.6640625" style="684"/>
  </cols>
  <sheetData>
    <row r="1" spans="1:16" ht="20.25">
      <c r="A1" s="2156" t="s">
        <v>240</v>
      </c>
      <c r="B1" s="2157"/>
      <c r="C1" s="2157"/>
      <c r="D1" s="2157"/>
      <c r="E1" s="2157"/>
      <c r="F1" s="2157"/>
      <c r="G1" s="2157"/>
      <c r="H1" s="2157"/>
      <c r="I1" s="2157"/>
      <c r="J1" s="2157"/>
      <c r="K1" s="2157"/>
      <c r="L1" s="2157"/>
      <c r="M1" s="2157"/>
      <c r="N1" s="2157"/>
      <c r="O1" s="2157"/>
      <c r="P1" s="904" t="s">
        <v>0</v>
      </c>
    </row>
    <row r="2" spans="1:16">
      <c r="A2" s="2209"/>
      <c r="B2" s="2209"/>
      <c r="C2" s="2209"/>
      <c r="D2" s="2209"/>
      <c r="E2" s="2209"/>
      <c r="F2" s="2209"/>
      <c r="G2" s="2209"/>
      <c r="H2" s="2209"/>
      <c r="I2" s="2209"/>
      <c r="J2" s="2209"/>
      <c r="K2" s="2209"/>
      <c r="L2" s="2209"/>
      <c r="M2" s="2209"/>
      <c r="N2" s="2209"/>
      <c r="O2" s="2209"/>
      <c r="P2" s="904" t="s">
        <v>0</v>
      </c>
    </row>
    <row r="3" spans="1:16" ht="18.75">
      <c r="A3" s="2210" t="s">
        <v>231</v>
      </c>
      <c r="B3" s="2211"/>
      <c r="C3" s="2211"/>
      <c r="D3" s="2211"/>
      <c r="E3" s="2211"/>
      <c r="F3" s="2211"/>
      <c r="G3" s="2211"/>
      <c r="H3" s="2211"/>
      <c r="I3" s="2211"/>
      <c r="J3" s="2211"/>
      <c r="K3" s="2211"/>
      <c r="L3" s="2211"/>
      <c r="M3" s="2211"/>
      <c r="N3" s="2211"/>
      <c r="O3" s="2211"/>
      <c r="P3" s="904" t="s">
        <v>0</v>
      </c>
    </row>
    <row r="4" spans="1:16" ht="16.5">
      <c r="A4" s="2212" t="str">
        <f>+'B. Summ of Reqs - JJ'!A6</f>
        <v>Office of Justice Programs</v>
      </c>
      <c r="B4" s="2208"/>
      <c r="C4" s="2208"/>
      <c r="D4" s="2208"/>
      <c r="E4" s="2208"/>
      <c r="F4" s="2208"/>
      <c r="G4" s="2208"/>
      <c r="H4" s="2208"/>
      <c r="I4" s="2208"/>
      <c r="J4" s="2208"/>
      <c r="K4" s="2208"/>
      <c r="L4" s="2208"/>
      <c r="M4" s="2208"/>
      <c r="N4" s="2208"/>
      <c r="O4" s="2208"/>
      <c r="P4" s="904" t="s">
        <v>0</v>
      </c>
    </row>
    <row r="5" spans="1:16" ht="16.5">
      <c r="A5" s="2212" t="str">
        <f>+'B. Summ of Reqs - JJ'!A7</f>
        <v>Juvenile Justice Programs</v>
      </c>
      <c r="B5" s="2211"/>
      <c r="C5" s="2211"/>
      <c r="D5" s="2211"/>
      <c r="E5" s="2211"/>
      <c r="F5" s="2211"/>
      <c r="G5" s="2211"/>
      <c r="H5" s="2211"/>
      <c r="I5" s="2211"/>
      <c r="J5" s="2211"/>
      <c r="K5" s="2211"/>
      <c r="L5" s="2211"/>
      <c r="M5" s="2211"/>
      <c r="N5" s="2211"/>
      <c r="O5" s="2211"/>
      <c r="P5" s="904" t="s">
        <v>0</v>
      </c>
    </row>
    <row r="6" spans="1:16">
      <c r="A6" s="2207" t="s">
        <v>257</v>
      </c>
      <c r="B6" s="2208"/>
      <c r="C6" s="2208"/>
      <c r="D6" s="2208"/>
      <c r="E6" s="2208"/>
      <c r="F6" s="2208"/>
      <c r="G6" s="2208"/>
      <c r="H6" s="2208"/>
      <c r="I6" s="2208"/>
      <c r="J6" s="2208"/>
      <c r="K6" s="2208"/>
      <c r="L6" s="2208"/>
      <c r="M6" s="2208"/>
      <c r="N6" s="2208"/>
      <c r="O6" s="2208"/>
      <c r="P6" s="904" t="s">
        <v>0</v>
      </c>
    </row>
    <row r="7" spans="1:16">
      <c r="A7" s="2213"/>
      <c r="B7" s="2213"/>
      <c r="C7" s="2213"/>
      <c r="D7" s="2213"/>
      <c r="E7" s="2213"/>
      <c r="F7" s="2213"/>
      <c r="G7" s="2213"/>
      <c r="H7" s="2213"/>
      <c r="I7" s="2213"/>
      <c r="J7" s="2213"/>
      <c r="K7" s="2213"/>
      <c r="L7" s="2213"/>
      <c r="M7" s="2213"/>
      <c r="N7" s="2213"/>
      <c r="O7" s="2213"/>
      <c r="P7" s="904" t="s">
        <v>0</v>
      </c>
    </row>
    <row r="8" spans="1:16" ht="15.75" customHeight="1">
      <c r="A8" s="2214" t="s">
        <v>45</v>
      </c>
      <c r="B8" s="2217" t="s">
        <v>19</v>
      </c>
      <c r="C8" s="2218"/>
      <c r="D8" s="2219"/>
      <c r="E8" s="2223" t="s">
        <v>269</v>
      </c>
      <c r="F8" s="2224"/>
      <c r="G8" s="2225"/>
      <c r="H8" s="2217" t="s">
        <v>23</v>
      </c>
      <c r="I8" s="2218"/>
      <c r="J8" s="2218"/>
      <c r="K8" s="2229" t="s">
        <v>356</v>
      </c>
      <c r="L8" s="2229" t="s">
        <v>357</v>
      </c>
      <c r="M8" s="2217" t="s">
        <v>35</v>
      </c>
      <c r="N8" s="2218"/>
      <c r="O8" s="2219"/>
      <c r="P8" s="904" t="s">
        <v>0</v>
      </c>
    </row>
    <row r="9" spans="1:16">
      <c r="A9" s="2215"/>
      <c r="B9" s="2220"/>
      <c r="C9" s="2221"/>
      <c r="D9" s="2222"/>
      <c r="E9" s="2226"/>
      <c r="F9" s="2227"/>
      <c r="G9" s="2228"/>
      <c r="H9" s="2220"/>
      <c r="I9" s="2221"/>
      <c r="J9" s="2221"/>
      <c r="K9" s="2230"/>
      <c r="L9" s="2230"/>
      <c r="M9" s="2220"/>
      <c r="N9" s="2221"/>
      <c r="O9" s="2222"/>
      <c r="P9" s="904" t="s">
        <v>0</v>
      </c>
    </row>
    <row r="10" spans="1:16" ht="16.5" thickBot="1">
      <c r="A10" s="2216"/>
      <c r="B10" s="905" t="s">
        <v>277</v>
      </c>
      <c r="C10" s="906" t="s">
        <v>49</v>
      </c>
      <c r="D10" s="906" t="s">
        <v>279</v>
      </c>
      <c r="E10" s="905" t="s">
        <v>277</v>
      </c>
      <c r="F10" s="906" t="s">
        <v>49</v>
      </c>
      <c r="G10" s="906" t="s">
        <v>279</v>
      </c>
      <c r="H10" s="905" t="s">
        <v>277</v>
      </c>
      <c r="I10" s="906" t="s">
        <v>49</v>
      </c>
      <c r="J10" s="906" t="s">
        <v>279</v>
      </c>
      <c r="K10" s="907" t="s">
        <v>279</v>
      </c>
      <c r="L10" s="908" t="s">
        <v>279</v>
      </c>
      <c r="M10" s="905" t="s">
        <v>277</v>
      </c>
      <c r="N10" s="906" t="s">
        <v>49</v>
      </c>
      <c r="O10" s="909" t="s">
        <v>279</v>
      </c>
      <c r="P10" s="904" t="s">
        <v>0</v>
      </c>
    </row>
    <row r="11" spans="1:16">
      <c r="A11" s="1439"/>
      <c r="B11" s="1440"/>
      <c r="C11" s="1441"/>
      <c r="D11" s="1441"/>
      <c r="E11" s="1440"/>
      <c r="F11" s="1441"/>
      <c r="G11" s="1441"/>
      <c r="H11" s="1440"/>
      <c r="I11" s="1441"/>
      <c r="J11" s="1441"/>
      <c r="K11" s="1442"/>
      <c r="L11" s="1443"/>
      <c r="M11" s="1440"/>
      <c r="N11" s="1441"/>
      <c r="O11" s="1444"/>
      <c r="P11" s="904" t="s">
        <v>0</v>
      </c>
    </row>
    <row r="12" spans="1:16">
      <c r="A12" s="1445" t="s">
        <v>638</v>
      </c>
      <c r="B12" s="738"/>
      <c r="C12" s="697"/>
      <c r="D12" s="697">
        <v>10000</v>
      </c>
      <c r="E12" s="738"/>
      <c r="F12" s="697"/>
      <c r="G12" s="697"/>
      <c r="H12" s="738"/>
      <c r="I12" s="697"/>
      <c r="J12" s="697">
        <v>-144</v>
      </c>
      <c r="K12" s="676">
        <v>191</v>
      </c>
      <c r="L12" s="697">
        <v>1278</v>
      </c>
      <c r="M12" s="738"/>
      <c r="N12" s="697"/>
      <c r="O12" s="667">
        <f>D12+G12+J12+K12+L12</f>
        <v>11325</v>
      </c>
      <c r="P12" s="904" t="s">
        <v>0</v>
      </c>
    </row>
    <row r="13" spans="1:16">
      <c r="A13" s="1445" t="s">
        <v>661</v>
      </c>
      <c r="B13" s="738"/>
      <c r="C13" s="697"/>
      <c r="D13" s="697"/>
      <c r="E13" s="738"/>
      <c r="F13" s="697"/>
      <c r="G13" s="697"/>
      <c r="H13" s="738"/>
      <c r="I13" s="697"/>
      <c r="J13" s="697"/>
      <c r="K13" s="676">
        <v>28</v>
      </c>
      <c r="L13" s="697">
        <v>0</v>
      </c>
      <c r="M13" s="738"/>
      <c r="N13" s="697"/>
      <c r="O13" s="667">
        <f t="shared" ref="O13:O29" si="0">D13+G13+J13+K13+L13</f>
        <v>28</v>
      </c>
      <c r="P13" s="904" t="s">
        <v>0</v>
      </c>
    </row>
    <row r="14" spans="1:16">
      <c r="A14" s="1445" t="s">
        <v>662</v>
      </c>
      <c r="B14" s="738"/>
      <c r="C14" s="697"/>
      <c r="D14" s="697"/>
      <c r="E14" s="738"/>
      <c r="F14" s="697"/>
      <c r="G14" s="697"/>
      <c r="H14" s="738"/>
      <c r="I14" s="697"/>
      <c r="J14" s="697"/>
      <c r="K14" s="676">
        <v>13</v>
      </c>
      <c r="L14" s="697">
        <v>76</v>
      </c>
      <c r="M14" s="738"/>
      <c r="N14" s="697"/>
      <c r="O14" s="667">
        <f t="shared" si="0"/>
        <v>89</v>
      </c>
      <c r="P14" s="904" t="s">
        <v>0</v>
      </c>
    </row>
    <row r="15" spans="1:16">
      <c r="A15" s="1445" t="s">
        <v>614</v>
      </c>
      <c r="B15" s="738"/>
      <c r="C15" s="697"/>
      <c r="D15" s="697"/>
      <c r="E15" s="738"/>
      <c r="F15" s="697"/>
      <c r="G15" s="697"/>
      <c r="H15" s="738"/>
      <c r="I15" s="697"/>
      <c r="J15" s="697">
        <v>-603</v>
      </c>
      <c r="K15" s="676">
        <v>502</v>
      </c>
      <c r="L15" s="697">
        <v>0</v>
      </c>
      <c r="M15" s="738"/>
      <c r="N15" s="697"/>
      <c r="O15" s="667">
        <f t="shared" si="0"/>
        <v>-101</v>
      </c>
      <c r="P15" s="904" t="s">
        <v>0</v>
      </c>
    </row>
    <row r="16" spans="1:16">
      <c r="A16" s="1445" t="s">
        <v>641</v>
      </c>
      <c r="B16" s="738"/>
      <c r="C16" s="697"/>
      <c r="D16" s="697">
        <v>55000</v>
      </c>
      <c r="E16" s="738"/>
      <c r="F16" s="697"/>
      <c r="G16" s="697"/>
      <c r="H16" s="738"/>
      <c r="I16" s="697"/>
      <c r="J16" s="697"/>
      <c r="K16" s="676"/>
      <c r="L16" s="697">
        <v>1503</v>
      </c>
      <c r="M16" s="738"/>
      <c r="N16" s="697"/>
      <c r="O16" s="667">
        <f t="shared" si="0"/>
        <v>56503</v>
      </c>
      <c r="P16" s="904" t="s">
        <v>0</v>
      </c>
    </row>
    <row r="17" spans="1:16">
      <c r="A17" s="1445" t="s">
        <v>663</v>
      </c>
      <c r="B17" s="738"/>
      <c r="C17" s="697"/>
      <c r="D17" s="697"/>
      <c r="E17" s="738"/>
      <c r="F17" s="697"/>
      <c r="G17" s="697"/>
      <c r="H17" s="738"/>
      <c r="I17" s="697"/>
      <c r="J17" s="697"/>
      <c r="K17" s="676"/>
      <c r="L17" s="697">
        <v>238</v>
      </c>
      <c r="M17" s="738"/>
      <c r="N17" s="697"/>
      <c r="O17" s="667">
        <f t="shared" si="0"/>
        <v>238</v>
      </c>
      <c r="P17" s="904" t="s">
        <v>0</v>
      </c>
    </row>
    <row r="18" spans="1:16">
      <c r="A18" s="1445" t="s">
        <v>649</v>
      </c>
      <c r="B18" s="738"/>
      <c r="C18" s="697"/>
      <c r="D18" s="697">
        <v>75000</v>
      </c>
      <c r="E18" s="738"/>
      <c r="F18" s="697"/>
      <c r="G18" s="697"/>
      <c r="H18" s="738"/>
      <c r="I18" s="697"/>
      <c r="J18" s="697">
        <v>-829</v>
      </c>
      <c r="K18" s="676">
        <v>2603</v>
      </c>
      <c r="L18" s="697">
        <v>1232</v>
      </c>
      <c r="M18" s="738"/>
      <c r="N18" s="697"/>
      <c r="O18" s="667">
        <f t="shared" si="0"/>
        <v>78006</v>
      </c>
      <c r="P18" s="904" t="s">
        <v>0</v>
      </c>
    </row>
    <row r="19" spans="1:16" s="1450" customFormat="1">
      <c r="A19" s="1451" t="s">
        <v>664</v>
      </c>
      <c r="B19" s="1446"/>
      <c r="C19" s="1447"/>
      <c r="D19" s="1447"/>
      <c r="E19" s="1446"/>
      <c r="F19" s="1447"/>
      <c r="G19" s="1447"/>
      <c r="H19" s="1446"/>
      <c r="I19" s="1447"/>
      <c r="J19" s="1447"/>
      <c r="K19" s="1448"/>
      <c r="L19" s="697">
        <v>34</v>
      </c>
      <c r="M19" s="1446"/>
      <c r="N19" s="1447"/>
      <c r="O19" s="667">
        <f t="shared" si="0"/>
        <v>34</v>
      </c>
      <c r="P19" s="1449" t="s">
        <v>0</v>
      </c>
    </row>
    <row r="20" spans="1:16" s="1450" customFormat="1">
      <c r="A20" s="1445" t="s">
        <v>665</v>
      </c>
      <c r="B20" s="1446"/>
      <c r="C20" s="1447"/>
      <c r="D20" s="1447"/>
      <c r="E20" s="1446"/>
      <c r="F20" s="1447"/>
      <c r="G20" s="1447"/>
      <c r="H20" s="1446"/>
      <c r="I20" s="1447"/>
      <c r="J20" s="1447"/>
      <c r="K20" s="676"/>
      <c r="L20" s="697">
        <v>56</v>
      </c>
      <c r="M20" s="1446"/>
      <c r="N20" s="1447"/>
      <c r="O20" s="667">
        <f t="shared" si="0"/>
        <v>56</v>
      </c>
      <c r="P20" s="1449" t="s">
        <v>0</v>
      </c>
    </row>
    <row r="21" spans="1:16">
      <c r="A21" s="1445" t="s">
        <v>650</v>
      </c>
      <c r="B21" s="738"/>
      <c r="C21" s="697"/>
      <c r="D21" s="697">
        <v>91095</v>
      </c>
      <c r="E21" s="738"/>
      <c r="F21" s="697"/>
      <c r="G21" s="697"/>
      <c r="H21" s="738"/>
      <c r="I21" s="697"/>
      <c r="J21" s="697"/>
      <c r="K21" s="676">
        <v>2014</v>
      </c>
      <c r="L21" s="697">
        <v>2035</v>
      </c>
      <c r="M21" s="738"/>
      <c r="N21" s="697"/>
      <c r="O21" s="667">
        <f t="shared" si="0"/>
        <v>95144</v>
      </c>
      <c r="P21" s="904" t="s">
        <v>0</v>
      </c>
    </row>
    <row r="22" spans="1:16" s="1450" customFormat="1">
      <c r="A22" s="1445" t="s">
        <v>666</v>
      </c>
      <c r="B22" s="1446"/>
      <c r="C22" s="1447"/>
      <c r="D22" s="1447"/>
      <c r="E22" s="1446"/>
      <c r="F22" s="1447"/>
      <c r="G22" s="1447"/>
      <c r="H22" s="1446"/>
      <c r="I22" s="1447"/>
      <c r="J22" s="1447">
        <v>-729</v>
      </c>
      <c r="K22" s="1448">
        <v>544</v>
      </c>
      <c r="L22" s="1447"/>
      <c r="M22" s="1446"/>
      <c r="N22" s="1447"/>
      <c r="O22" s="667">
        <f t="shared" si="0"/>
        <v>-185</v>
      </c>
      <c r="P22" s="1449" t="s">
        <v>0</v>
      </c>
    </row>
    <row r="23" spans="1:16">
      <c r="A23" s="1445" t="s">
        <v>643</v>
      </c>
      <c r="B23" s="738"/>
      <c r="C23" s="697"/>
      <c r="D23" s="697">
        <v>5000</v>
      </c>
      <c r="E23" s="738"/>
      <c r="F23" s="697"/>
      <c r="G23" s="697"/>
      <c r="H23" s="738"/>
      <c r="I23" s="697"/>
      <c r="J23" s="697">
        <v>-80</v>
      </c>
      <c r="K23" s="676"/>
      <c r="L23" s="697"/>
      <c r="M23" s="738"/>
      <c r="N23" s="697"/>
      <c r="O23" s="667">
        <f t="shared" si="0"/>
        <v>4920</v>
      </c>
      <c r="P23" s="904" t="s">
        <v>0</v>
      </c>
    </row>
    <row r="24" spans="1:16">
      <c r="A24" s="1445" t="s">
        <v>651</v>
      </c>
      <c r="B24" s="738"/>
      <c r="C24" s="697"/>
      <c r="D24" s="697">
        <v>65000</v>
      </c>
      <c r="E24" s="738"/>
      <c r="F24" s="697"/>
      <c r="G24" s="697"/>
      <c r="H24" s="738"/>
      <c r="I24" s="697"/>
      <c r="J24" s="697"/>
      <c r="K24" s="676"/>
      <c r="L24" s="697">
        <v>994</v>
      </c>
      <c r="M24" s="738"/>
      <c r="N24" s="697"/>
      <c r="O24" s="667">
        <f t="shared" si="0"/>
        <v>65994</v>
      </c>
      <c r="P24" s="904" t="s">
        <v>0</v>
      </c>
    </row>
    <row r="25" spans="1:16">
      <c r="A25" s="1445" t="s">
        <v>667</v>
      </c>
      <c r="B25" s="738"/>
      <c r="C25" s="697"/>
      <c r="D25" s="1123" t="s">
        <v>549</v>
      </c>
      <c r="E25" s="738"/>
      <c r="F25" s="697"/>
      <c r="G25" s="697"/>
      <c r="H25" s="738"/>
      <c r="I25" s="697"/>
      <c r="J25" s="697"/>
      <c r="K25" s="676"/>
      <c r="L25" s="697">
        <v>1356</v>
      </c>
      <c r="M25" s="738"/>
      <c r="N25" s="697"/>
      <c r="O25" s="667">
        <f>G25+J25+K25+L25</f>
        <v>1356</v>
      </c>
      <c r="P25" s="904" t="s">
        <v>0</v>
      </c>
    </row>
    <row r="26" spans="1:16">
      <c r="A26" s="1445" t="s">
        <v>668</v>
      </c>
      <c r="B26" s="738"/>
      <c r="C26" s="697"/>
      <c r="D26" s="1123" t="s">
        <v>420</v>
      </c>
      <c r="E26" s="738"/>
      <c r="F26" s="697"/>
      <c r="G26" s="697"/>
      <c r="H26" s="738"/>
      <c r="I26" s="697"/>
      <c r="J26" s="697"/>
      <c r="K26" s="676">
        <v>230</v>
      </c>
      <c r="L26" s="697"/>
      <c r="M26" s="738"/>
      <c r="N26" s="697"/>
      <c r="O26" s="667">
        <f t="shared" ref="O26:O28" si="1">G26+J26+K26+L26</f>
        <v>230</v>
      </c>
      <c r="P26" s="904" t="s">
        <v>0</v>
      </c>
    </row>
    <row r="27" spans="1:16">
      <c r="A27" s="1445" t="s">
        <v>669</v>
      </c>
      <c r="B27" s="738"/>
      <c r="C27" s="697"/>
      <c r="D27" s="1123" t="s">
        <v>554</v>
      </c>
      <c r="E27" s="738"/>
      <c r="F27" s="697"/>
      <c r="G27" s="697"/>
      <c r="H27" s="738"/>
      <c r="I27" s="697"/>
      <c r="J27" s="697">
        <v>-52</v>
      </c>
      <c r="K27" s="676"/>
      <c r="L27" s="697">
        <v>393</v>
      </c>
      <c r="M27" s="738"/>
      <c r="N27" s="697"/>
      <c r="O27" s="667">
        <f t="shared" si="1"/>
        <v>341</v>
      </c>
      <c r="P27" s="904" t="s">
        <v>0</v>
      </c>
    </row>
    <row r="28" spans="1:16">
      <c r="A28" s="911" t="s">
        <v>670</v>
      </c>
      <c r="B28" s="738"/>
      <c r="C28" s="697"/>
      <c r="D28" s="1123" t="s">
        <v>549</v>
      </c>
      <c r="E28" s="738"/>
      <c r="F28" s="697"/>
      <c r="G28" s="697"/>
      <c r="H28" s="738"/>
      <c r="I28" s="697"/>
      <c r="J28" s="697">
        <v>-530</v>
      </c>
      <c r="K28" s="676"/>
      <c r="L28" s="697"/>
      <c r="M28" s="738"/>
      <c r="N28" s="697"/>
      <c r="O28" s="667">
        <f t="shared" si="1"/>
        <v>-530</v>
      </c>
      <c r="P28" s="904" t="s">
        <v>0</v>
      </c>
    </row>
    <row r="29" spans="1:16">
      <c r="A29" s="911" t="s">
        <v>645</v>
      </c>
      <c r="B29" s="738"/>
      <c r="C29" s="697"/>
      <c r="D29" s="1123">
        <v>22500</v>
      </c>
      <c r="E29" s="738"/>
      <c r="F29" s="697"/>
      <c r="G29" s="697"/>
      <c r="H29" s="738"/>
      <c r="I29" s="697"/>
      <c r="J29" s="697"/>
      <c r="K29" s="676">
        <v>159</v>
      </c>
      <c r="L29" s="697"/>
      <c r="M29" s="738"/>
      <c r="N29" s="697"/>
      <c r="O29" s="667">
        <f t="shared" si="0"/>
        <v>22659</v>
      </c>
      <c r="P29" s="904" t="s">
        <v>0</v>
      </c>
    </row>
    <row r="30" spans="1:16">
      <c r="A30" s="911" t="s">
        <v>671</v>
      </c>
      <c r="B30" s="738"/>
      <c r="C30" s="697"/>
      <c r="D30" s="1123" t="s">
        <v>554</v>
      </c>
      <c r="E30" s="738"/>
      <c r="F30" s="697"/>
      <c r="G30" s="697"/>
      <c r="H30" s="738"/>
      <c r="I30" s="697"/>
      <c r="J30" s="697">
        <v>-234</v>
      </c>
      <c r="K30" s="676"/>
      <c r="L30" s="697">
        <v>1</v>
      </c>
      <c r="M30" s="738"/>
      <c r="N30" s="697"/>
      <c r="O30" s="667">
        <f>G30+J30+K30+L30</f>
        <v>-233</v>
      </c>
      <c r="P30" s="904" t="s">
        <v>0</v>
      </c>
    </row>
    <row r="31" spans="1:16">
      <c r="A31" s="1642"/>
      <c r="B31" s="738"/>
      <c r="C31" s="697"/>
      <c r="D31" s="1123"/>
      <c r="E31" s="738"/>
      <c r="F31" s="697"/>
      <c r="G31" s="697"/>
      <c r="H31" s="738"/>
      <c r="I31" s="697"/>
      <c r="J31" s="697"/>
      <c r="K31" s="676"/>
      <c r="L31" s="697">
        <v>29</v>
      </c>
      <c r="M31" s="738"/>
      <c r="N31" s="697"/>
      <c r="O31" s="678">
        <f>D31+G31+J31+K31+L31</f>
        <v>29</v>
      </c>
      <c r="P31" s="904"/>
    </row>
    <row r="32" spans="1:16">
      <c r="A32" s="911" t="s">
        <v>672</v>
      </c>
      <c r="B32" s="738"/>
      <c r="C32" s="697"/>
      <c r="D32" s="697">
        <v>100000</v>
      </c>
      <c r="E32" s="738"/>
      <c r="F32" s="697"/>
      <c r="G32" s="697"/>
      <c r="H32" s="738"/>
      <c r="I32" s="697"/>
      <c r="J32" s="697">
        <v>-1921</v>
      </c>
      <c r="K32" s="676">
        <v>857</v>
      </c>
      <c r="L32" s="697"/>
      <c r="M32" s="738"/>
      <c r="N32" s="697"/>
      <c r="O32" s="678">
        <f t="shared" ref="O32:O33" si="2">D32+G32+J32+K32+L32</f>
        <v>98936</v>
      </c>
      <c r="P32" s="904" t="s">
        <v>0</v>
      </c>
    </row>
    <row r="33" spans="1:119" s="1453" customFormat="1">
      <c r="A33" s="913" t="s">
        <v>448</v>
      </c>
      <c r="B33" s="735"/>
      <c r="C33" s="736"/>
      <c r="D33" s="736"/>
      <c r="E33" s="735"/>
      <c r="F33" s="736"/>
      <c r="G33" s="736">
        <v>-8008</v>
      </c>
      <c r="H33" s="735"/>
      <c r="I33" s="736"/>
      <c r="J33" s="736"/>
      <c r="K33" s="682"/>
      <c r="L33" s="736"/>
      <c r="M33" s="735"/>
      <c r="N33" s="736"/>
      <c r="O33" s="678">
        <f t="shared" si="2"/>
        <v>-8008</v>
      </c>
      <c r="P33" s="1452" t="s">
        <v>0</v>
      </c>
      <c r="Q33" s="928"/>
      <c r="R33" s="928"/>
      <c r="S33" s="928"/>
      <c r="T33" s="928"/>
      <c r="U33" s="928"/>
      <c r="V33" s="928"/>
      <c r="W33" s="928"/>
      <c r="X33" s="928"/>
      <c r="Y33" s="928"/>
      <c r="Z33" s="928"/>
      <c r="AA33" s="928"/>
      <c r="AB33" s="928"/>
      <c r="AC33" s="928"/>
      <c r="AD33" s="928"/>
      <c r="AE33" s="928"/>
      <c r="AF33" s="928"/>
      <c r="AG33" s="928"/>
      <c r="AH33" s="928"/>
      <c r="AI33" s="928"/>
      <c r="AJ33" s="928"/>
      <c r="AK33" s="928"/>
      <c r="AL33" s="928"/>
      <c r="AM33" s="928"/>
      <c r="AN33" s="928"/>
      <c r="AO33" s="928"/>
      <c r="AP33" s="928"/>
      <c r="AQ33" s="928"/>
      <c r="AR33" s="928"/>
      <c r="AS33" s="928"/>
      <c r="AT33" s="928"/>
      <c r="AU33" s="928"/>
      <c r="AV33" s="928"/>
      <c r="AW33" s="928"/>
      <c r="AX33" s="928"/>
      <c r="AY33" s="928"/>
      <c r="AZ33" s="928"/>
      <c r="BA33" s="928"/>
      <c r="BB33" s="928"/>
      <c r="BC33" s="928"/>
      <c r="BD33" s="928"/>
      <c r="BE33" s="928"/>
      <c r="BF33" s="928"/>
      <c r="BG33" s="928"/>
      <c r="BH33" s="928"/>
      <c r="BI33" s="928"/>
      <c r="BJ33" s="928"/>
      <c r="BK33" s="928"/>
      <c r="BL33" s="928"/>
      <c r="BM33" s="928"/>
      <c r="BN33" s="928"/>
      <c r="BO33" s="928"/>
      <c r="BP33" s="928"/>
      <c r="BQ33" s="928"/>
      <c r="BR33" s="928"/>
      <c r="BS33" s="928"/>
      <c r="BT33" s="928"/>
      <c r="BU33" s="928"/>
      <c r="BV33" s="928"/>
      <c r="BW33" s="928"/>
      <c r="BX33" s="928"/>
      <c r="BY33" s="928"/>
      <c r="BZ33" s="928"/>
      <c r="CA33" s="928"/>
      <c r="CB33" s="928"/>
      <c r="CC33" s="928"/>
      <c r="CD33" s="928"/>
      <c r="CE33" s="928"/>
      <c r="CF33" s="928"/>
      <c r="CG33" s="928"/>
      <c r="CH33" s="928"/>
      <c r="CI33" s="928"/>
      <c r="CJ33" s="928"/>
      <c r="CK33" s="928"/>
      <c r="CL33" s="928"/>
      <c r="CM33" s="928"/>
      <c r="CN33" s="928"/>
      <c r="CO33" s="928"/>
      <c r="CP33" s="928"/>
      <c r="CQ33" s="928"/>
      <c r="CR33" s="928"/>
      <c r="CS33" s="928"/>
      <c r="CT33" s="928"/>
      <c r="CU33" s="928"/>
      <c r="CV33" s="928"/>
      <c r="CW33" s="928"/>
      <c r="CX33" s="928"/>
      <c r="CY33" s="928"/>
      <c r="CZ33" s="928"/>
      <c r="DA33" s="928"/>
      <c r="DB33" s="928"/>
      <c r="DC33" s="928"/>
      <c r="DD33" s="928"/>
      <c r="DE33" s="928"/>
      <c r="DF33" s="928"/>
      <c r="DG33" s="928"/>
      <c r="DH33" s="928"/>
      <c r="DI33" s="928"/>
      <c r="DJ33" s="928"/>
      <c r="DK33" s="928"/>
      <c r="DL33" s="928"/>
      <c r="DM33" s="928"/>
      <c r="DN33" s="928"/>
      <c r="DO33" s="928"/>
    </row>
    <row r="34" spans="1:119">
      <c r="A34" s="1454" t="s">
        <v>286</v>
      </c>
      <c r="B34" s="919">
        <f>SUM(B12:B33)</f>
        <v>0</v>
      </c>
      <c r="C34" s="920">
        <f>SUM(C12:C33)</f>
        <v>0</v>
      </c>
      <c r="D34" s="921">
        <f>+D12+D16+D18+D21+D23+D24+D29+D32</f>
        <v>423595</v>
      </c>
      <c r="E34" s="919">
        <f>SUM(E12:E33)</f>
        <v>0</v>
      </c>
      <c r="F34" s="920">
        <f>SUM(F12:F33)</f>
        <v>0</v>
      </c>
      <c r="G34" s="921">
        <f>SUM(G12:G33)</f>
        <v>-8008</v>
      </c>
      <c r="H34" s="919">
        <f>SUM(H12:H33)</f>
        <v>0</v>
      </c>
      <c r="I34" s="920">
        <f>SUM(I11:I33)</f>
        <v>0</v>
      </c>
      <c r="J34" s="950">
        <f>SUM(J11:J33)</f>
        <v>-5122</v>
      </c>
      <c r="K34" s="951">
        <f>SUM(K11:K33)</f>
        <v>7141</v>
      </c>
      <c r="L34" s="921">
        <f>SUM(L11:L33)</f>
        <v>9225</v>
      </c>
      <c r="M34" s="919">
        <f>SUM(M12:M33)</f>
        <v>0</v>
      </c>
      <c r="N34" s="920">
        <f>SUM(N12:N33)</f>
        <v>0</v>
      </c>
      <c r="O34" s="950">
        <f>SUM(O12:O33)</f>
        <v>426831</v>
      </c>
      <c r="P34" s="904" t="s">
        <v>0</v>
      </c>
    </row>
    <row r="35" spans="1:119">
      <c r="A35" s="927" t="s">
        <v>263</v>
      </c>
      <c r="B35" s="735" t="s">
        <v>278</v>
      </c>
      <c r="C35" s="736"/>
      <c r="D35" s="736"/>
      <c r="E35" s="735"/>
      <c r="F35" s="736"/>
      <c r="G35" s="736"/>
      <c r="H35" s="735"/>
      <c r="I35" s="736"/>
      <c r="J35" s="736"/>
      <c r="K35" s="682"/>
      <c r="L35" s="736"/>
      <c r="M35" s="735"/>
      <c r="N35" s="736"/>
      <c r="O35" s="737"/>
      <c r="P35" s="904" t="s">
        <v>0</v>
      </c>
      <c r="Q35" s="928"/>
      <c r="R35" s="928"/>
      <c r="S35" s="928"/>
      <c r="T35" s="928"/>
      <c r="U35" s="928"/>
      <c r="V35" s="928"/>
      <c r="W35" s="928"/>
      <c r="X35" s="928"/>
      <c r="Y35" s="928"/>
      <c r="Z35" s="928"/>
      <c r="AA35" s="928"/>
      <c r="AB35" s="928"/>
      <c r="AC35" s="928"/>
    </row>
    <row r="36" spans="1:119">
      <c r="A36" s="927" t="s">
        <v>262</v>
      </c>
      <c r="B36" s="929"/>
      <c r="C36" s="930">
        <f>SUM(C34:C35)</f>
        <v>0</v>
      </c>
      <c r="D36" s="930"/>
      <c r="E36" s="929"/>
      <c r="F36" s="930">
        <f>+F34+F35</f>
        <v>0</v>
      </c>
      <c r="G36" s="930"/>
      <c r="H36" s="929"/>
      <c r="I36" s="930">
        <f>+I34+I35</f>
        <v>0</v>
      </c>
      <c r="J36" s="930"/>
      <c r="K36" s="931"/>
      <c r="L36" s="930"/>
      <c r="M36" s="929"/>
      <c r="N36" s="930">
        <f>SUM(N34:N35)</f>
        <v>0</v>
      </c>
      <c r="O36" s="932"/>
      <c r="P36" s="904" t="s">
        <v>0</v>
      </c>
    </row>
    <row r="37" spans="1:119">
      <c r="A37" s="933" t="s">
        <v>264</v>
      </c>
      <c r="B37" s="738"/>
      <c r="C37" s="697"/>
      <c r="D37" s="697"/>
      <c r="E37" s="738"/>
      <c r="F37" s="697"/>
      <c r="G37" s="697"/>
      <c r="H37" s="738"/>
      <c r="I37" s="697"/>
      <c r="J37" s="697"/>
      <c r="K37" s="676"/>
      <c r="L37" s="697"/>
      <c r="M37" s="738"/>
      <c r="N37" s="697"/>
      <c r="O37" s="667"/>
      <c r="P37" s="904" t="s">
        <v>0</v>
      </c>
    </row>
    <row r="38" spans="1:119">
      <c r="A38" s="934" t="s">
        <v>55</v>
      </c>
      <c r="B38" s="738"/>
      <c r="C38" s="697"/>
      <c r="D38" s="697"/>
      <c r="E38" s="738"/>
      <c r="F38" s="697"/>
      <c r="G38" s="697"/>
      <c r="H38" s="738"/>
      <c r="I38" s="697"/>
      <c r="J38" s="697"/>
      <c r="K38" s="676"/>
      <c r="L38" s="697"/>
      <c r="M38" s="738"/>
      <c r="N38" s="697"/>
      <c r="O38" s="667"/>
      <c r="P38" s="904" t="s">
        <v>0</v>
      </c>
    </row>
    <row r="39" spans="1:119">
      <c r="A39" s="935" t="s">
        <v>103</v>
      </c>
      <c r="B39" s="735"/>
      <c r="C39" s="736"/>
      <c r="D39" s="736"/>
      <c r="E39" s="735"/>
      <c r="F39" s="736"/>
      <c r="G39" s="736"/>
      <c r="H39" s="735"/>
      <c r="I39" s="736"/>
      <c r="J39" s="736"/>
      <c r="K39" s="682"/>
      <c r="L39" s="736"/>
      <c r="M39" s="735"/>
      <c r="N39" s="736"/>
      <c r="O39" s="737"/>
      <c r="P39" s="904" t="s">
        <v>0</v>
      </c>
    </row>
    <row r="40" spans="1:119">
      <c r="A40" s="927" t="s">
        <v>265</v>
      </c>
      <c r="B40" s="735"/>
      <c r="C40" s="736">
        <f>C39+C38+C36</f>
        <v>0</v>
      </c>
      <c r="D40" s="936"/>
      <c r="E40" s="735"/>
      <c r="F40" s="736">
        <f>F39+F38+F36</f>
        <v>0</v>
      </c>
      <c r="G40" s="936"/>
      <c r="H40" s="735"/>
      <c r="I40" s="736">
        <f>I39+I38+I36</f>
        <v>0</v>
      </c>
      <c r="J40" s="936"/>
      <c r="K40" s="937"/>
      <c r="L40" s="936"/>
      <c r="M40" s="735"/>
      <c r="N40" s="736">
        <f>N39+N38+N36</f>
        <v>0</v>
      </c>
      <c r="O40" s="938"/>
      <c r="P40" s="904" t="s">
        <v>0</v>
      </c>
    </row>
    <row r="41" spans="1:119">
      <c r="A41" s="1133"/>
      <c r="B41" s="730"/>
      <c r="C41" s="730"/>
      <c r="D41" s="1455"/>
      <c r="E41" s="730"/>
      <c r="F41" s="730"/>
      <c r="G41" s="1455"/>
      <c r="H41" s="730"/>
      <c r="I41" s="730"/>
      <c r="J41" s="1455"/>
      <c r="K41" s="1455"/>
      <c r="L41" s="1455"/>
      <c r="M41" s="730"/>
      <c r="N41" s="730"/>
      <c r="O41" s="1455"/>
      <c r="P41" s="904" t="s">
        <v>0</v>
      </c>
    </row>
    <row r="42" spans="1:119">
      <c r="A42" s="684" t="s">
        <v>674</v>
      </c>
      <c r="B42" s="939"/>
      <c r="C42" s="939"/>
      <c r="D42" s="939"/>
      <c r="E42" s="939"/>
      <c r="F42" s="939"/>
      <c r="G42" s="939"/>
      <c r="H42" s="939"/>
      <c r="I42" s="939"/>
      <c r="J42" s="939"/>
      <c r="K42" s="939"/>
      <c r="L42" s="939"/>
      <c r="M42" s="939"/>
      <c r="N42" s="939"/>
      <c r="O42" s="939"/>
      <c r="P42" s="2581" t="s">
        <v>0</v>
      </c>
      <c r="Q42" s="2581"/>
    </row>
    <row r="43" spans="1:119">
      <c r="A43" s="939"/>
      <c r="C43" s="939"/>
      <c r="D43" s="939"/>
      <c r="E43" s="939"/>
      <c r="F43" s="939"/>
      <c r="G43" s="939"/>
      <c r="H43" s="939"/>
      <c r="I43" s="939"/>
      <c r="J43" s="939"/>
      <c r="K43" s="939"/>
      <c r="L43" s="939"/>
      <c r="M43" s="939"/>
      <c r="N43" s="939"/>
      <c r="O43" s="939"/>
      <c r="P43" s="2580" t="s">
        <v>0</v>
      </c>
      <c r="Q43" s="2581"/>
    </row>
    <row r="44" spans="1:119">
      <c r="A44" s="684" t="s">
        <v>675</v>
      </c>
      <c r="B44" s="939"/>
      <c r="C44" s="939"/>
      <c r="D44" s="939"/>
      <c r="E44" s="939"/>
      <c r="F44" s="939"/>
      <c r="G44" s="939"/>
      <c r="H44" s="939"/>
      <c r="I44" s="939"/>
      <c r="J44" s="939"/>
      <c r="K44" s="939"/>
      <c r="L44" s="939"/>
      <c r="M44" s="939"/>
      <c r="N44" s="939"/>
      <c r="O44" s="939"/>
      <c r="P44" s="2581" t="s">
        <v>0</v>
      </c>
      <c r="Q44" s="2581"/>
    </row>
    <row r="45" spans="1:119">
      <c r="A45" s="939"/>
      <c r="C45" s="939"/>
      <c r="D45" s="939"/>
      <c r="E45" s="939"/>
      <c r="F45" s="939"/>
      <c r="G45" s="939"/>
      <c r="H45" s="939"/>
      <c r="I45" s="939"/>
      <c r="J45" s="939"/>
      <c r="K45" s="939"/>
      <c r="L45" s="939"/>
      <c r="M45" s="939"/>
      <c r="N45" s="939"/>
      <c r="O45" s="939"/>
      <c r="P45" s="2580" t="s">
        <v>0</v>
      </c>
      <c r="Q45" s="2581"/>
    </row>
    <row r="46" spans="1:119">
      <c r="A46" s="939"/>
      <c r="C46" s="939"/>
      <c r="D46" s="939"/>
      <c r="E46" s="939"/>
      <c r="F46" s="939"/>
      <c r="G46" s="939"/>
      <c r="H46" s="939"/>
      <c r="I46" s="939"/>
      <c r="J46" s="939"/>
      <c r="K46" s="939"/>
      <c r="L46" s="939"/>
      <c r="M46" s="939"/>
      <c r="N46" s="939"/>
      <c r="O46" s="939"/>
      <c r="P46" s="2580" t="s">
        <v>0</v>
      </c>
      <c r="Q46" s="2581"/>
    </row>
    <row r="47" spans="1:119">
      <c r="A47" s="939"/>
      <c r="C47" s="939"/>
      <c r="D47" s="939"/>
      <c r="E47" s="939"/>
      <c r="F47" s="939"/>
      <c r="G47" s="939"/>
      <c r="H47" s="939"/>
      <c r="I47" s="939"/>
      <c r="J47" s="939"/>
      <c r="K47" s="939"/>
      <c r="L47" s="939"/>
      <c r="M47" s="939"/>
      <c r="N47" s="939"/>
      <c r="O47" s="939"/>
      <c r="P47" s="2580" t="s">
        <v>0</v>
      </c>
      <c r="Q47" s="2581"/>
    </row>
    <row r="48" spans="1:119">
      <c r="A48" s="939"/>
      <c r="C48" s="939"/>
      <c r="D48" s="939"/>
      <c r="E48" s="939"/>
      <c r="F48" s="939"/>
      <c r="G48" s="939"/>
      <c r="H48" s="939"/>
      <c r="I48" s="939"/>
      <c r="J48" s="939"/>
      <c r="K48" s="939"/>
      <c r="L48" s="939"/>
      <c r="M48" s="939"/>
      <c r="N48" s="939"/>
      <c r="O48" s="939"/>
      <c r="P48" s="2580" t="s">
        <v>0</v>
      </c>
      <c r="Q48" s="2581"/>
    </row>
    <row r="49" spans="1:17" ht="14.45" customHeight="1">
      <c r="A49" s="939"/>
      <c r="B49" s="940"/>
      <c r="C49" s="940"/>
      <c r="D49" s="940"/>
      <c r="E49" s="940"/>
      <c r="F49" s="940"/>
      <c r="G49" s="940"/>
      <c r="H49" s="940"/>
      <c r="I49" s="940"/>
      <c r="J49" s="940"/>
      <c r="K49" s="940"/>
      <c r="L49" s="940"/>
      <c r="M49" s="939"/>
      <c r="N49" s="939"/>
      <c r="O49" s="939"/>
      <c r="P49" s="2580" t="s">
        <v>0</v>
      </c>
      <c r="Q49" s="2581"/>
    </row>
    <row r="50" spans="1:17">
      <c r="A50" s="941"/>
      <c r="B50" s="939"/>
      <c r="C50" s="939"/>
      <c r="D50" s="939"/>
      <c r="E50" s="939"/>
      <c r="F50" s="939"/>
      <c r="G50" s="939"/>
      <c r="H50" s="939"/>
      <c r="I50" s="939"/>
      <c r="J50" s="939"/>
      <c r="K50" s="939"/>
      <c r="L50" s="939"/>
      <c r="M50" s="939"/>
      <c r="N50" s="939"/>
      <c r="O50" s="939"/>
      <c r="P50" s="2580" t="s">
        <v>0</v>
      </c>
      <c r="Q50" s="2581"/>
    </row>
    <row r="51" spans="1:17">
      <c r="A51" s="942"/>
      <c r="B51" s="942"/>
      <c r="C51" s="942"/>
      <c r="D51" s="942"/>
      <c r="E51" s="942"/>
      <c r="F51" s="942"/>
      <c r="G51" s="942"/>
      <c r="H51" s="939"/>
      <c r="I51" s="939"/>
      <c r="J51" s="939"/>
      <c r="K51" s="939"/>
      <c r="L51" s="939"/>
      <c r="M51" s="939"/>
      <c r="N51" s="939"/>
      <c r="O51" s="939"/>
      <c r="P51" s="2580" t="s">
        <v>24</v>
      </c>
      <c r="Q51" s="2581"/>
    </row>
    <row r="52" spans="1:17">
      <c r="A52" s="2233"/>
      <c r="B52" s="2232"/>
      <c r="C52" s="2232"/>
      <c r="D52" s="2232"/>
      <c r="E52" s="2232"/>
      <c r="F52" s="2232"/>
      <c r="G52" s="2232"/>
      <c r="H52" s="2232"/>
      <c r="I52" s="2232"/>
      <c r="J52" s="2232"/>
      <c r="K52" s="2232"/>
      <c r="L52" s="2232"/>
      <c r="M52" s="2232"/>
      <c r="N52" s="2232"/>
      <c r="O52" s="2232"/>
      <c r="P52" s="684"/>
    </row>
    <row r="53" spans="1:17">
      <c r="A53" s="943"/>
      <c r="B53" s="944"/>
      <c r="C53" s="944"/>
      <c r="D53" s="944"/>
      <c r="E53" s="944"/>
      <c r="F53" s="944"/>
      <c r="G53" s="944"/>
      <c r="H53" s="944"/>
      <c r="I53" s="944"/>
      <c r="J53" s="944"/>
      <c r="K53" s="944"/>
      <c r="L53" s="944"/>
      <c r="M53" s="944"/>
      <c r="N53" s="944"/>
      <c r="O53" s="944"/>
      <c r="P53" s="684"/>
    </row>
    <row r="54" spans="1:17">
      <c r="A54" s="2234"/>
      <c r="B54" s="2235"/>
      <c r="C54" s="2235"/>
      <c r="D54" s="2235"/>
      <c r="E54" s="2235"/>
      <c r="F54" s="2235"/>
      <c r="G54" s="2235"/>
      <c r="H54" s="2235"/>
      <c r="I54" s="2235"/>
      <c r="J54" s="2235"/>
      <c r="K54" s="2235"/>
      <c r="L54" s="2235"/>
      <c r="M54" s="2235"/>
      <c r="N54" s="2235"/>
      <c r="O54" s="2235"/>
      <c r="P54" s="684"/>
    </row>
    <row r="55" spans="1:17" ht="24" customHeight="1">
      <c r="A55" s="2236"/>
      <c r="B55" s="2235"/>
      <c r="C55" s="2235"/>
      <c r="D55" s="2235"/>
      <c r="E55" s="2235"/>
      <c r="F55" s="2235"/>
      <c r="G55" s="2235"/>
      <c r="H55" s="2235"/>
      <c r="I55" s="2235"/>
      <c r="J55" s="2235"/>
      <c r="K55" s="2235"/>
      <c r="L55" s="2235"/>
      <c r="M55" s="2235"/>
      <c r="N55" s="2235"/>
      <c r="O55" s="2235"/>
      <c r="P55" s="684"/>
    </row>
    <row r="56" spans="1:17" ht="23.25" customHeight="1">
      <c r="A56" s="2234"/>
      <c r="B56" s="2236"/>
      <c r="C56" s="2236"/>
      <c r="D56" s="2236"/>
      <c r="E56" s="2236"/>
      <c r="F56" s="2236"/>
      <c r="G56" s="2236"/>
      <c r="H56" s="2236"/>
      <c r="I56" s="2236"/>
      <c r="J56" s="2236"/>
      <c r="K56" s="2236"/>
      <c r="L56" s="2236"/>
      <c r="M56" s="2236"/>
      <c r="N56" s="2236"/>
      <c r="O56" s="2236"/>
      <c r="P56" s="684"/>
    </row>
    <row r="57" spans="1:17" ht="9.75" customHeight="1">
      <c r="A57" s="752"/>
      <c r="B57" s="752"/>
      <c r="C57" s="752"/>
      <c r="D57" s="752"/>
      <c r="E57" s="752"/>
      <c r="F57" s="752"/>
      <c r="G57" s="752"/>
      <c r="H57" s="752"/>
      <c r="I57" s="752"/>
      <c r="J57" s="752"/>
      <c r="K57" s="752"/>
      <c r="L57" s="752"/>
      <c r="M57" s="752"/>
      <c r="N57" s="752"/>
      <c r="O57" s="752"/>
      <c r="P57" s="684"/>
    </row>
    <row r="58" spans="1:17" ht="11.25" customHeight="1">
      <c r="A58" s="752"/>
      <c r="B58" s="752"/>
      <c r="C58" s="752"/>
      <c r="D58" s="752"/>
      <c r="E58" s="752"/>
      <c r="F58" s="752"/>
      <c r="G58" s="752"/>
      <c r="H58" s="752"/>
      <c r="I58" s="752"/>
      <c r="J58" s="752"/>
      <c r="K58" s="752"/>
      <c r="L58" s="752"/>
      <c r="M58" s="752"/>
      <c r="N58" s="752"/>
      <c r="O58" s="752"/>
      <c r="P58" s="684"/>
    </row>
    <row r="59" spans="1:17">
      <c r="A59" s="2236"/>
      <c r="B59" s="2236"/>
      <c r="C59" s="2236"/>
      <c r="D59" s="2236"/>
      <c r="E59" s="2236"/>
      <c r="F59" s="2236"/>
      <c r="G59" s="2236"/>
      <c r="H59" s="2236"/>
      <c r="I59" s="2236"/>
      <c r="J59" s="2236"/>
      <c r="K59" s="2236"/>
      <c r="L59" s="2236"/>
      <c r="M59" s="2236"/>
      <c r="N59" s="2236"/>
      <c r="O59" s="2236"/>
      <c r="P59" s="684"/>
    </row>
    <row r="60" spans="1:17" ht="7.5" customHeight="1">
      <c r="A60" s="945"/>
      <c r="B60" s="945"/>
      <c r="C60" s="945"/>
      <c r="D60" s="945"/>
      <c r="E60" s="945"/>
      <c r="F60" s="945"/>
      <c r="G60" s="945"/>
      <c r="H60" s="945"/>
      <c r="I60" s="945"/>
      <c r="J60" s="945"/>
      <c r="K60" s="945"/>
      <c r="L60" s="945"/>
      <c r="M60" s="945"/>
      <c r="N60" s="945"/>
      <c r="O60" s="945"/>
      <c r="P60" s="684"/>
    </row>
    <row r="61" spans="1:17">
      <c r="A61" s="946"/>
      <c r="B61" s="945"/>
      <c r="C61" s="945"/>
      <c r="D61" s="945"/>
      <c r="E61" s="945"/>
      <c r="F61" s="945"/>
      <c r="G61" s="945"/>
      <c r="H61" s="945"/>
      <c r="I61" s="945"/>
      <c r="J61" s="945"/>
      <c r="K61" s="945"/>
      <c r="L61" s="945"/>
      <c r="M61" s="945"/>
      <c r="N61" s="945"/>
      <c r="O61" s="945"/>
      <c r="P61" s="684"/>
    </row>
    <row r="62" spans="1:17" ht="11.25" customHeight="1">
      <c r="A62" s="752"/>
      <c r="B62" s="752"/>
      <c r="C62" s="752"/>
      <c r="D62" s="752"/>
      <c r="E62" s="752"/>
      <c r="F62" s="752"/>
      <c r="G62" s="752"/>
      <c r="H62" s="752"/>
      <c r="I62" s="752"/>
      <c r="J62" s="752"/>
      <c r="K62" s="752"/>
      <c r="L62" s="752"/>
      <c r="M62" s="752"/>
      <c r="N62" s="752"/>
      <c r="O62" s="752"/>
      <c r="P62" s="684"/>
    </row>
    <row r="63" spans="1:17" ht="15" customHeight="1">
      <c r="A63" s="2236"/>
      <c r="B63" s="2235"/>
      <c r="C63" s="2235"/>
      <c r="D63" s="2235"/>
      <c r="E63" s="2235"/>
      <c r="F63" s="2235"/>
      <c r="G63" s="2235"/>
      <c r="H63" s="2235"/>
      <c r="I63" s="2235"/>
      <c r="J63" s="2235"/>
      <c r="K63" s="2235"/>
      <c r="L63" s="2235"/>
      <c r="M63" s="2235"/>
      <c r="N63" s="2235"/>
      <c r="O63" s="2235"/>
      <c r="P63" s="684"/>
    </row>
    <row r="64" spans="1:17" ht="12" customHeight="1">
      <c r="A64" s="747"/>
      <c r="B64" s="747"/>
      <c r="C64" s="747"/>
      <c r="D64" s="747"/>
      <c r="E64" s="747"/>
      <c r="F64" s="747"/>
      <c r="G64" s="747"/>
      <c r="H64" s="747"/>
      <c r="I64" s="747"/>
      <c r="J64" s="747"/>
      <c r="K64" s="747"/>
      <c r="L64" s="747"/>
      <c r="M64" s="747"/>
      <c r="N64" s="747"/>
      <c r="O64" s="947"/>
      <c r="P64" s="684"/>
    </row>
    <row r="65" spans="1:16" ht="36" customHeight="1">
      <c r="A65" s="2231"/>
      <c r="B65" s="2232"/>
      <c r="C65" s="2232"/>
      <c r="D65" s="2232"/>
      <c r="E65" s="2232"/>
      <c r="F65" s="2232"/>
      <c r="G65" s="2232"/>
      <c r="H65" s="2232"/>
      <c r="I65" s="2232"/>
      <c r="J65" s="2232"/>
      <c r="K65" s="2232"/>
      <c r="L65" s="2232"/>
      <c r="M65" s="2232"/>
      <c r="N65" s="2232"/>
      <c r="O65" s="2232"/>
      <c r="P65" s="2232"/>
    </row>
    <row r="66" spans="1:16">
      <c r="P66" s="684"/>
    </row>
  </sheetData>
  <mergeCells count="21">
    <mergeCell ref="A65:P65"/>
    <mergeCell ref="A52:O52"/>
    <mergeCell ref="A54:O54"/>
    <mergeCell ref="A55:O55"/>
    <mergeCell ref="A56:O56"/>
    <mergeCell ref="A59:O59"/>
    <mergeCell ref="A63:O63"/>
    <mergeCell ref="A7:O7"/>
    <mergeCell ref="A8:A10"/>
    <mergeCell ref="B8:D9"/>
    <mergeCell ref="E8:G9"/>
    <mergeCell ref="H8:J9"/>
    <mergeCell ref="K8:K9"/>
    <mergeCell ref="L8:L9"/>
    <mergeCell ref="M8:O9"/>
    <mergeCell ref="A6:O6"/>
    <mergeCell ref="A1:O1"/>
    <mergeCell ref="A2:O2"/>
    <mergeCell ref="A3:O3"/>
    <mergeCell ref="A4:O4"/>
    <mergeCell ref="A5:O5"/>
  </mergeCells>
  <printOptions horizontalCentered="1"/>
  <pageMargins left="0.5" right="0.4" top="0.5" bottom="0.25" header="0" footer="0"/>
  <pageSetup scale="63" firstPageNumber="8" fitToHeight="0" orientation="landscape" useFirstPageNumber="1" r:id="rId1"/>
  <headerFooter alignWithMargins="0">
    <oddFooter>&amp;C&amp;"Times New Roman,Regular"Exhibit F - Crosswalk of 2010 Availability&amp;R&amp;"Times New Roman,Regular"Juvenile Justice Programs</oddFooter>
  </headerFooter>
</worksheet>
</file>

<file path=xl/worksheets/sheet42.xml><?xml version="1.0" encoding="utf-8"?>
<worksheet xmlns="http://schemas.openxmlformats.org/spreadsheetml/2006/main" xmlns:r="http://schemas.openxmlformats.org/officeDocument/2006/relationships">
  <sheetPr>
    <pageSetUpPr fitToPage="1"/>
  </sheetPr>
  <dimension ref="A1:Q59"/>
  <sheetViews>
    <sheetView view="pageBreakPreview" zoomScale="70" zoomScaleNormal="100" zoomScaleSheetLayoutView="70" workbookViewId="0">
      <selection activeCell="F22" sqref="F22"/>
    </sheetView>
  </sheetViews>
  <sheetFormatPr defaultRowHeight="15.75"/>
  <cols>
    <col min="1" max="1" width="62.6640625" style="949" customWidth="1"/>
    <col min="2" max="10" width="8.88671875" style="949"/>
    <col min="11" max="11" width="9.44140625" style="684" customWidth="1"/>
    <col min="12" max="12" width="10" style="684" customWidth="1"/>
    <col min="13" max="16384" width="8.88671875" style="949"/>
  </cols>
  <sheetData>
    <row r="1" spans="1:17" ht="20.25">
      <c r="A1" s="2156" t="s">
        <v>613</v>
      </c>
      <c r="B1" s="2157"/>
      <c r="C1" s="2157"/>
      <c r="D1" s="2157"/>
      <c r="E1" s="2157"/>
      <c r="F1" s="2157"/>
      <c r="G1" s="2157"/>
      <c r="H1" s="2157"/>
      <c r="I1" s="2157"/>
      <c r="J1" s="2157"/>
      <c r="K1" s="2157"/>
      <c r="L1" s="2157"/>
      <c r="M1" s="2157"/>
      <c r="N1" s="2157"/>
      <c r="O1" s="2157"/>
      <c r="P1" s="904" t="s">
        <v>0</v>
      </c>
      <c r="Q1" s="684"/>
    </row>
    <row r="2" spans="1:17">
      <c r="A2" s="2209"/>
      <c r="B2" s="2209"/>
      <c r="C2" s="2209"/>
      <c r="D2" s="2209"/>
      <c r="E2" s="2209"/>
      <c r="F2" s="2209"/>
      <c r="G2" s="2209"/>
      <c r="H2" s="2209"/>
      <c r="I2" s="2209"/>
      <c r="J2" s="2209"/>
      <c r="K2" s="2209"/>
      <c r="L2" s="2209"/>
      <c r="M2" s="2209"/>
      <c r="N2" s="2209"/>
      <c r="O2" s="2209"/>
      <c r="P2" s="904" t="s">
        <v>0</v>
      </c>
      <c r="Q2" s="684"/>
    </row>
    <row r="3" spans="1:17" ht="18.75">
      <c r="A3" s="2210" t="s">
        <v>329</v>
      </c>
      <c r="B3" s="2211"/>
      <c r="C3" s="2211"/>
      <c r="D3" s="2211"/>
      <c r="E3" s="2211"/>
      <c r="F3" s="2211"/>
      <c r="G3" s="2211"/>
      <c r="H3" s="2211"/>
      <c r="I3" s="2211"/>
      <c r="J3" s="2211"/>
      <c r="K3" s="2211"/>
      <c r="L3" s="2211"/>
      <c r="M3" s="2211"/>
      <c r="N3" s="2211"/>
      <c r="O3" s="2211"/>
      <c r="P3" s="904" t="s">
        <v>0</v>
      </c>
      <c r="Q3" s="684"/>
    </row>
    <row r="4" spans="1:17" ht="16.5">
      <c r="A4" s="2212" t="str">
        <f>+'B. Summ of Reqs - JJ'!A6</f>
        <v>Office of Justice Programs</v>
      </c>
      <c r="B4" s="2208"/>
      <c r="C4" s="2208"/>
      <c r="D4" s="2208"/>
      <c r="E4" s="2208"/>
      <c r="F4" s="2208"/>
      <c r="G4" s="2208"/>
      <c r="H4" s="2208"/>
      <c r="I4" s="2208"/>
      <c r="J4" s="2208"/>
      <c r="K4" s="2208"/>
      <c r="L4" s="2208"/>
      <c r="M4" s="2208"/>
      <c r="N4" s="2208"/>
      <c r="O4" s="2208"/>
      <c r="P4" s="904" t="s">
        <v>0</v>
      </c>
      <c r="Q4" s="684"/>
    </row>
    <row r="5" spans="1:17" ht="16.5">
      <c r="A5" s="2212" t="str">
        <f>+'B. Summ of Reqs - JJ'!A7</f>
        <v>Juvenile Justice Programs</v>
      </c>
      <c r="B5" s="2211"/>
      <c r="C5" s="2211"/>
      <c r="D5" s="2211"/>
      <c r="E5" s="2211"/>
      <c r="F5" s="2211"/>
      <c r="G5" s="2211"/>
      <c r="H5" s="2211"/>
      <c r="I5" s="2211"/>
      <c r="J5" s="2211"/>
      <c r="K5" s="2211"/>
      <c r="L5" s="2211"/>
      <c r="M5" s="2211"/>
      <c r="N5" s="2211"/>
      <c r="O5" s="2211"/>
      <c r="P5" s="904" t="s">
        <v>0</v>
      </c>
      <c r="Q5" s="684"/>
    </row>
    <row r="6" spans="1:17">
      <c r="A6" s="2207" t="s">
        <v>257</v>
      </c>
      <c r="B6" s="2208"/>
      <c r="C6" s="2208"/>
      <c r="D6" s="2208"/>
      <c r="E6" s="2208"/>
      <c r="F6" s="2208"/>
      <c r="G6" s="2208"/>
      <c r="H6" s="2208"/>
      <c r="I6" s="2208"/>
      <c r="J6" s="2208"/>
      <c r="K6" s="2208"/>
      <c r="L6" s="2208"/>
      <c r="M6" s="2208"/>
      <c r="N6" s="2208"/>
      <c r="O6" s="2208"/>
      <c r="P6" s="904" t="s">
        <v>0</v>
      </c>
      <c r="Q6" s="684"/>
    </row>
    <row r="7" spans="1:17">
      <c r="A7" s="2209"/>
      <c r="B7" s="2209"/>
      <c r="C7" s="2209"/>
      <c r="D7" s="2209"/>
      <c r="E7" s="2209"/>
      <c r="F7" s="2209"/>
      <c r="G7" s="2209"/>
      <c r="H7" s="2209"/>
      <c r="I7" s="2209"/>
      <c r="J7" s="2209"/>
      <c r="K7" s="2209"/>
      <c r="L7" s="2209"/>
      <c r="M7" s="2209"/>
      <c r="N7" s="2209"/>
      <c r="O7" s="2209"/>
      <c r="P7" s="904" t="s">
        <v>0</v>
      </c>
      <c r="Q7" s="684"/>
    </row>
    <row r="8" spans="1:17">
      <c r="A8" s="2213"/>
      <c r="B8" s="2213"/>
      <c r="C8" s="2213"/>
      <c r="D8" s="2213"/>
      <c r="E8" s="2213"/>
      <c r="F8" s="2213"/>
      <c r="G8" s="2213"/>
      <c r="H8" s="2213"/>
      <c r="I8" s="2213"/>
      <c r="J8" s="2213"/>
      <c r="K8" s="2213"/>
      <c r="L8" s="2213"/>
      <c r="M8" s="2213"/>
      <c r="N8" s="2213"/>
      <c r="O8" s="2213"/>
      <c r="P8" s="904" t="s">
        <v>0</v>
      </c>
      <c r="Q8" s="684"/>
    </row>
    <row r="9" spans="1:17" ht="15.75" customHeight="1">
      <c r="A9" s="2214" t="s">
        <v>45</v>
      </c>
      <c r="B9" s="2217" t="s">
        <v>359</v>
      </c>
      <c r="C9" s="2218"/>
      <c r="D9" s="2219"/>
      <c r="E9" s="2223" t="s">
        <v>269</v>
      </c>
      <c r="F9" s="2224"/>
      <c r="G9" s="2225"/>
      <c r="H9" s="2217" t="s">
        <v>23</v>
      </c>
      <c r="I9" s="2218"/>
      <c r="J9" s="2219"/>
      <c r="K9" s="2229" t="s">
        <v>356</v>
      </c>
      <c r="L9" s="2237" t="s">
        <v>357</v>
      </c>
      <c r="M9" s="2217" t="s">
        <v>330</v>
      </c>
      <c r="N9" s="2218"/>
      <c r="O9" s="2219"/>
      <c r="P9" s="904" t="s">
        <v>0</v>
      </c>
      <c r="Q9" s="684"/>
    </row>
    <row r="10" spans="1:17">
      <c r="A10" s="2215"/>
      <c r="B10" s="2220"/>
      <c r="C10" s="2221"/>
      <c r="D10" s="2222"/>
      <c r="E10" s="2226"/>
      <c r="F10" s="2227"/>
      <c r="G10" s="2228"/>
      <c r="H10" s="2220"/>
      <c r="I10" s="2221"/>
      <c r="J10" s="2222"/>
      <c r="K10" s="2230"/>
      <c r="L10" s="2238"/>
      <c r="M10" s="2220"/>
      <c r="N10" s="2221"/>
      <c r="O10" s="2222"/>
      <c r="P10" s="904" t="s">
        <v>0</v>
      </c>
      <c r="Q10" s="684"/>
    </row>
    <row r="11" spans="1:17"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c r="Q11" s="684"/>
    </row>
    <row r="12" spans="1:17">
      <c r="A12" s="1445" t="s">
        <v>638</v>
      </c>
      <c r="B12" s="738"/>
      <c r="C12" s="697"/>
      <c r="D12" s="697">
        <v>10000</v>
      </c>
      <c r="E12" s="738"/>
      <c r="F12" s="697"/>
      <c r="G12" s="697"/>
      <c r="H12" s="738"/>
      <c r="I12" s="697"/>
      <c r="J12" s="697"/>
      <c r="K12" s="676">
        <v>0</v>
      </c>
      <c r="L12" s="697"/>
      <c r="M12" s="738"/>
      <c r="N12" s="697"/>
      <c r="O12" s="667">
        <f>D12+G12+J12+K12+L12</f>
        <v>10000</v>
      </c>
      <c r="P12" s="904" t="s">
        <v>0</v>
      </c>
      <c r="Q12" s="684"/>
    </row>
    <row r="13" spans="1:17">
      <c r="A13" s="1445" t="s">
        <v>641</v>
      </c>
      <c r="B13" s="738"/>
      <c r="C13" s="697"/>
      <c r="D13" s="697">
        <v>55000</v>
      </c>
      <c r="E13" s="738"/>
      <c r="F13" s="697"/>
      <c r="G13" s="697"/>
      <c r="H13" s="738"/>
      <c r="I13" s="697"/>
      <c r="J13" s="697"/>
      <c r="K13" s="676">
        <v>1010</v>
      </c>
      <c r="L13" s="697"/>
      <c r="M13" s="738"/>
      <c r="N13" s="697"/>
      <c r="O13" s="667">
        <f t="shared" ref="O13:O28" si="0">D13+G13+J13+K13+L13</f>
        <v>56010</v>
      </c>
      <c r="P13" s="904" t="s">
        <v>0</v>
      </c>
      <c r="Q13" s="684"/>
    </row>
    <row r="14" spans="1:17">
      <c r="A14" s="1445" t="s">
        <v>676</v>
      </c>
      <c r="B14" s="738"/>
      <c r="C14" s="697"/>
      <c r="D14" s="697"/>
      <c r="E14" s="738"/>
      <c r="F14" s="697"/>
      <c r="G14" s="697"/>
      <c r="H14" s="738"/>
      <c r="I14" s="697"/>
      <c r="J14" s="697"/>
      <c r="K14" s="676">
        <v>238</v>
      </c>
      <c r="L14" s="697">
        <v>50</v>
      </c>
      <c r="M14" s="738"/>
      <c r="N14" s="697"/>
      <c r="O14" s="667">
        <f t="shared" si="0"/>
        <v>288</v>
      </c>
      <c r="P14" s="904" t="s">
        <v>0</v>
      </c>
      <c r="Q14" s="684"/>
    </row>
    <row r="15" spans="1:17">
      <c r="A15" s="1445" t="s">
        <v>649</v>
      </c>
      <c r="B15" s="738"/>
      <c r="C15" s="697"/>
      <c r="D15" s="697">
        <v>75000</v>
      </c>
      <c r="E15" s="738"/>
      <c r="F15" s="697"/>
      <c r="G15" s="697"/>
      <c r="H15" s="738"/>
      <c r="I15" s="697"/>
      <c r="J15" s="697"/>
      <c r="K15" s="676">
        <v>2394</v>
      </c>
      <c r="L15" s="697">
        <v>17</v>
      </c>
      <c r="M15" s="738"/>
      <c r="N15" s="697"/>
      <c r="O15" s="667">
        <f t="shared" si="0"/>
        <v>77411</v>
      </c>
      <c r="P15" s="904" t="s">
        <v>0</v>
      </c>
      <c r="Q15" s="684"/>
    </row>
    <row r="16" spans="1:17">
      <c r="A16" s="1445" t="s">
        <v>650</v>
      </c>
      <c r="B16" s="738"/>
      <c r="C16" s="697"/>
      <c r="D16" s="697">
        <v>91095</v>
      </c>
      <c r="E16" s="738"/>
      <c r="F16" s="697"/>
      <c r="G16" s="697"/>
      <c r="H16" s="738"/>
      <c r="I16" s="697"/>
      <c r="J16" s="697"/>
      <c r="K16" s="676">
        <v>2547</v>
      </c>
      <c r="L16" s="697">
        <v>274</v>
      </c>
      <c r="M16" s="738"/>
      <c r="N16" s="697"/>
      <c r="O16" s="667">
        <f t="shared" si="0"/>
        <v>93916</v>
      </c>
      <c r="P16" s="904" t="s">
        <v>0</v>
      </c>
      <c r="Q16" s="684"/>
    </row>
    <row r="17" spans="1:17">
      <c r="A17" s="1445" t="s">
        <v>677</v>
      </c>
      <c r="B17" s="738"/>
      <c r="C17" s="697"/>
      <c r="D17" s="697"/>
      <c r="E17" s="738"/>
      <c r="F17" s="697"/>
      <c r="G17" s="697"/>
      <c r="H17" s="738"/>
      <c r="I17" s="697"/>
      <c r="J17" s="697"/>
      <c r="K17" s="676"/>
      <c r="L17" s="697">
        <v>29</v>
      </c>
      <c r="M17" s="738"/>
      <c r="N17" s="697"/>
      <c r="O17" s="667">
        <f t="shared" si="0"/>
        <v>29</v>
      </c>
      <c r="P17" s="904" t="s">
        <v>0</v>
      </c>
      <c r="Q17" s="684"/>
    </row>
    <row r="18" spans="1:17">
      <c r="A18" s="1445" t="s">
        <v>643</v>
      </c>
      <c r="B18" s="738"/>
      <c r="C18" s="697"/>
      <c r="D18" s="697">
        <v>5000</v>
      </c>
      <c r="E18" s="738"/>
      <c r="F18" s="697"/>
      <c r="G18" s="697"/>
      <c r="H18" s="738"/>
      <c r="I18" s="697"/>
      <c r="J18" s="697"/>
      <c r="K18" s="676">
        <v>-211</v>
      </c>
      <c r="L18" s="697"/>
      <c r="M18" s="738"/>
      <c r="N18" s="697"/>
      <c r="O18" s="667">
        <f t="shared" si="0"/>
        <v>4789</v>
      </c>
      <c r="P18" s="904" t="s">
        <v>0</v>
      </c>
      <c r="Q18" s="684"/>
    </row>
    <row r="19" spans="1:17">
      <c r="A19" s="1445" t="s">
        <v>651</v>
      </c>
      <c r="B19" s="738"/>
      <c r="C19" s="697"/>
      <c r="D19" s="697">
        <v>65000</v>
      </c>
      <c r="E19" s="738"/>
      <c r="F19" s="697"/>
      <c r="G19" s="697"/>
      <c r="H19" s="738"/>
      <c r="I19" s="697"/>
      <c r="J19" s="697"/>
      <c r="K19" s="676"/>
      <c r="L19" s="697"/>
      <c r="M19" s="738"/>
      <c r="N19" s="697"/>
      <c r="O19" s="667">
        <f t="shared" si="0"/>
        <v>65000</v>
      </c>
      <c r="P19" s="904" t="s">
        <v>0</v>
      </c>
      <c r="Q19" s="684"/>
    </row>
    <row r="20" spans="1:17">
      <c r="A20" s="1445" t="s">
        <v>667</v>
      </c>
      <c r="B20" s="738"/>
      <c r="C20" s="697"/>
      <c r="D20" s="1123" t="s">
        <v>549</v>
      </c>
      <c r="E20" s="738"/>
      <c r="F20" s="697"/>
      <c r="G20" s="697"/>
      <c r="H20" s="738"/>
      <c r="I20" s="697"/>
      <c r="J20" s="697"/>
      <c r="K20" s="676">
        <v>583</v>
      </c>
      <c r="L20" s="697">
        <v>77</v>
      </c>
      <c r="M20" s="738"/>
      <c r="N20" s="697"/>
      <c r="O20" s="667">
        <f>G20+J20+K20+L20</f>
        <v>660</v>
      </c>
      <c r="P20" s="904" t="s">
        <v>0</v>
      </c>
      <c r="Q20" s="684"/>
    </row>
    <row r="21" spans="1:17">
      <c r="A21" s="1445" t="s">
        <v>668</v>
      </c>
      <c r="B21" s="738"/>
      <c r="C21" s="697"/>
      <c r="D21" s="1123" t="s">
        <v>420</v>
      </c>
      <c r="E21" s="738"/>
      <c r="F21" s="697"/>
      <c r="G21" s="697"/>
      <c r="H21" s="738"/>
      <c r="I21" s="697"/>
      <c r="J21" s="697"/>
      <c r="K21" s="676">
        <v>576</v>
      </c>
      <c r="L21" s="697">
        <v>136</v>
      </c>
      <c r="M21" s="738"/>
      <c r="N21" s="697"/>
      <c r="O21" s="667">
        <f t="shared" ref="O21:O23" si="1">G21+J21+K21+L21</f>
        <v>712</v>
      </c>
      <c r="P21" s="904" t="s">
        <v>0</v>
      </c>
      <c r="Q21" s="684"/>
    </row>
    <row r="22" spans="1:17">
      <c r="A22" s="1445" t="s">
        <v>669</v>
      </c>
      <c r="B22" s="738"/>
      <c r="C22" s="697"/>
      <c r="D22" s="1123" t="s">
        <v>554</v>
      </c>
      <c r="E22" s="738"/>
      <c r="F22" s="697"/>
      <c r="G22" s="697"/>
      <c r="H22" s="738"/>
      <c r="I22" s="697"/>
      <c r="J22" s="697"/>
      <c r="K22" s="676">
        <v>-7</v>
      </c>
      <c r="L22" s="697">
        <v>13</v>
      </c>
      <c r="M22" s="738"/>
      <c r="N22" s="697"/>
      <c r="O22" s="667">
        <f t="shared" si="1"/>
        <v>6</v>
      </c>
      <c r="P22" s="904" t="s">
        <v>0</v>
      </c>
      <c r="Q22" s="684"/>
    </row>
    <row r="23" spans="1:17">
      <c r="A23" s="911" t="s">
        <v>670</v>
      </c>
      <c r="B23" s="738"/>
      <c r="C23" s="697"/>
      <c r="D23" s="1123" t="s">
        <v>549</v>
      </c>
      <c r="E23" s="738"/>
      <c r="F23" s="697"/>
      <c r="G23" s="697"/>
      <c r="H23" s="738"/>
      <c r="I23" s="697"/>
      <c r="J23" s="697"/>
      <c r="K23" s="676">
        <v>430</v>
      </c>
      <c r="L23" s="697">
        <v>8</v>
      </c>
      <c r="M23" s="738"/>
      <c r="N23" s="697"/>
      <c r="O23" s="667">
        <f t="shared" si="1"/>
        <v>438</v>
      </c>
      <c r="P23" s="904" t="s">
        <v>0</v>
      </c>
      <c r="Q23" s="684"/>
    </row>
    <row r="24" spans="1:17">
      <c r="A24" s="911" t="s">
        <v>678</v>
      </c>
      <c r="B24" s="738"/>
      <c r="C24" s="697"/>
      <c r="D24" s="1123"/>
      <c r="E24" s="738"/>
      <c r="F24" s="697"/>
      <c r="G24" s="697"/>
      <c r="H24" s="738"/>
      <c r="I24" s="697"/>
      <c r="J24" s="697"/>
      <c r="K24" s="676">
        <v>1188</v>
      </c>
      <c r="L24" s="697"/>
      <c r="M24" s="738"/>
      <c r="N24" s="697"/>
      <c r="O24" s="667">
        <f t="shared" si="0"/>
        <v>1188</v>
      </c>
      <c r="P24" s="904" t="s">
        <v>0</v>
      </c>
      <c r="Q24" s="684"/>
    </row>
    <row r="25" spans="1:17">
      <c r="A25" s="911" t="s">
        <v>645</v>
      </c>
      <c r="B25" s="738"/>
      <c r="C25" s="697"/>
      <c r="D25" s="1123">
        <v>22500</v>
      </c>
      <c r="E25" s="738"/>
      <c r="F25" s="697"/>
      <c r="G25" s="697"/>
      <c r="H25" s="738"/>
      <c r="I25" s="697"/>
      <c r="J25" s="697"/>
      <c r="K25" s="676">
        <v>159</v>
      </c>
      <c r="L25" s="697"/>
      <c r="M25" s="738"/>
      <c r="N25" s="697"/>
      <c r="O25" s="667">
        <f t="shared" si="0"/>
        <v>22659</v>
      </c>
      <c r="P25" s="904" t="s">
        <v>0</v>
      </c>
      <c r="Q25" s="684"/>
    </row>
    <row r="26" spans="1:17">
      <c r="A26" s="911" t="s">
        <v>671</v>
      </c>
      <c r="B26" s="738"/>
      <c r="C26" s="697"/>
      <c r="D26" s="1123" t="s">
        <v>554</v>
      </c>
      <c r="E26" s="738"/>
      <c r="F26" s="697"/>
      <c r="G26" s="697"/>
      <c r="H26" s="738"/>
      <c r="I26" s="697"/>
      <c r="J26" s="697"/>
      <c r="K26" s="676"/>
      <c r="L26" s="697"/>
      <c r="M26" s="738"/>
      <c r="N26" s="697"/>
      <c r="O26" s="667">
        <f>G26+J26+K26+L26</f>
        <v>0</v>
      </c>
      <c r="P26" s="904" t="s">
        <v>0</v>
      </c>
      <c r="Q26" s="684"/>
    </row>
    <row r="27" spans="1:17">
      <c r="A27" s="911" t="s">
        <v>672</v>
      </c>
      <c r="B27" s="738"/>
      <c r="C27" s="697"/>
      <c r="D27" s="697">
        <v>100000</v>
      </c>
      <c r="E27" s="738"/>
      <c r="F27" s="697"/>
      <c r="G27" s="697"/>
      <c r="H27" s="738"/>
      <c r="I27" s="697"/>
      <c r="J27" s="697"/>
      <c r="K27" s="676">
        <v>1014</v>
      </c>
      <c r="L27" s="697">
        <v>32</v>
      </c>
      <c r="M27" s="738"/>
      <c r="N27" s="697"/>
      <c r="O27" s="667">
        <f t="shared" si="0"/>
        <v>101046</v>
      </c>
      <c r="P27" s="904" t="s">
        <v>0</v>
      </c>
      <c r="Q27" s="684"/>
    </row>
    <row r="28" spans="1:17">
      <c r="A28" s="911" t="s">
        <v>673</v>
      </c>
      <c r="B28" s="738"/>
      <c r="C28" s="697"/>
      <c r="D28" s="697"/>
      <c r="E28" s="738"/>
      <c r="F28" s="697"/>
      <c r="G28" s="697"/>
      <c r="H28" s="738"/>
      <c r="I28" s="697"/>
      <c r="J28" s="697"/>
      <c r="K28" s="676">
        <v>246</v>
      </c>
      <c r="L28" s="697">
        <v>24</v>
      </c>
      <c r="M28" s="738"/>
      <c r="N28" s="697"/>
      <c r="O28" s="667">
        <f t="shared" si="0"/>
        <v>270</v>
      </c>
      <c r="P28" s="904" t="s">
        <v>0</v>
      </c>
      <c r="Q28" s="684"/>
    </row>
    <row r="29" spans="1:17">
      <c r="A29" s="1456" t="s">
        <v>448</v>
      </c>
      <c r="B29" s="1000"/>
      <c r="C29" s="1001"/>
      <c r="D29" s="1001">
        <v>0</v>
      </c>
      <c r="E29" s="1000"/>
      <c r="F29" s="1001"/>
      <c r="G29" s="1001">
        <v>-6000</v>
      </c>
      <c r="H29" s="1000"/>
      <c r="I29" s="1001"/>
      <c r="J29" s="1001"/>
      <c r="K29" s="681"/>
      <c r="L29" s="1001"/>
      <c r="M29" s="1000"/>
      <c r="N29" s="1001"/>
      <c r="O29" s="1457">
        <f t="shared" ref="O29" si="2">G29+J29+K29+L29</f>
        <v>-6000</v>
      </c>
      <c r="P29" s="904" t="s">
        <v>0</v>
      </c>
      <c r="Q29" s="684"/>
    </row>
    <row r="30" spans="1:17">
      <c r="A30" s="1454" t="s">
        <v>286</v>
      </c>
      <c r="B30" s="919">
        <f>SUM(B12:B29)</f>
        <v>0</v>
      </c>
      <c r="C30" s="920">
        <f>SUM(C12:C29)</f>
        <v>0</v>
      </c>
      <c r="D30" s="921">
        <f>+D12+D13+D15+D16+D18+D19+D25+D27+D29</f>
        <v>423595</v>
      </c>
      <c r="E30" s="919">
        <f t="shared" ref="E30:N30" si="3">SUM(E12:E29)</f>
        <v>0</v>
      </c>
      <c r="F30" s="920">
        <f t="shared" si="3"/>
        <v>0</v>
      </c>
      <c r="G30" s="921">
        <f t="shared" si="3"/>
        <v>-6000</v>
      </c>
      <c r="H30" s="919">
        <f t="shared" si="3"/>
        <v>0</v>
      </c>
      <c r="I30" s="920">
        <f t="shared" si="3"/>
        <v>0</v>
      </c>
      <c r="J30" s="921">
        <f t="shared" si="3"/>
        <v>0</v>
      </c>
      <c r="K30" s="923">
        <f t="shared" si="3"/>
        <v>10167</v>
      </c>
      <c r="L30" s="921">
        <f t="shared" si="3"/>
        <v>660</v>
      </c>
      <c r="M30" s="919">
        <f t="shared" si="3"/>
        <v>0</v>
      </c>
      <c r="N30" s="920">
        <f t="shared" si="3"/>
        <v>0</v>
      </c>
      <c r="O30" s="926">
        <f>SUM(O12:O29)</f>
        <v>428422</v>
      </c>
      <c r="P30" s="904" t="s">
        <v>0</v>
      </c>
      <c r="Q30" s="684"/>
    </row>
    <row r="31" spans="1:17">
      <c r="A31" s="927" t="s">
        <v>263</v>
      </c>
      <c r="B31" s="735" t="s">
        <v>278</v>
      </c>
      <c r="C31" s="736"/>
      <c r="D31" s="736"/>
      <c r="E31" s="735"/>
      <c r="F31" s="736"/>
      <c r="G31" s="736"/>
      <c r="H31" s="735"/>
      <c r="I31" s="736"/>
      <c r="J31" s="736"/>
      <c r="K31" s="682"/>
      <c r="L31" s="736"/>
      <c r="M31" s="735"/>
      <c r="N31" s="736"/>
      <c r="O31" s="737"/>
      <c r="P31" s="904" t="s">
        <v>0</v>
      </c>
      <c r="Q31" s="928"/>
    </row>
    <row r="32" spans="1:17">
      <c r="A32" s="927" t="s">
        <v>262</v>
      </c>
      <c r="B32" s="929"/>
      <c r="C32" s="930">
        <f>SUM(C30:C31)</f>
        <v>0</v>
      </c>
      <c r="D32" s="930"/>
      <c r="E32" s="929"/>
      <c r="F32" s="930">
        <f>+F30+F31</f>
        <v>0</v>
      </c>
      <c r="G32" s="930"/>
      <c r="H32" s="929"/>
      <c r="I32" s="930">
        <f>+I30+I31</f>
        <v>0</v>
      </c>
      <c r="J32" s="930"/>
      <c r="K32" s="931"/>
      <c r="L32" s="930"/>
      <c r="M32" s="929"/>
      <c r="N32" s="930">
        <f>SUM(N30:N31)</f>
        <v>0</v>
      </c>
      <c r="O32" s="932"/>
      <c r="P32" s="904" t="s">
        <v>0</v>
      </c>
      <c r="Q32" s="684"/>
    </row>
    <row r="33" spans="1:17">
      <c r="A33" s="933" t="s">
        <v>264</v>
      </c>
      <c r="B33" s="738"/>
      <c r="C33" s="697"/>
      <c r="D33" s="697"/>
      <c r="E33" s="738"/>
      <c r="F33" s="697"/>
      <c r="G33" s="697"/>
      <c r="H33" s="738"/>
      <c r="I33" s="697"/>
      <c r="J33" s="697"/>
      <c r="K33" s="676"/>
      <c r="L33" s="697"/>
      <c r="M33" s="738"/>
      <c r="N33" s="697"/>
      <c r="O33" s="667"/>
      <c r="P33" s="904" t="s">
        <v>0</v>
      </c>
      <c r="Q33" s="684"/>
    </row>
    <row r="34" spans="1:17">
      <c r="A34" s="934" t="s">
        <v>55</v>
      </c>
      <c r="B34" s="738"/>
      <c r="C34" s="697"/>
      <c r="D34" s="697"/>
      <c r="E34" s="738"/>
      <c r="F34" s="697"/>
      <c r="G34" s="697"/>
      <c r="H34" s="738"/>
      <c r="I34" s="697"/>
      <c r="J34" s="697"/>
      <c r="K34" s="676"/>
      <c r="L34" s="697"/>
      <c r="M34" s="738"/>
      <c r="N34" s="697"/>
      <c r="O34" s="667"/>
      <c r="P34" s="904" t="s">
        <v>0</v>
      </c>
      <c r="Q34" s="684"/>
    </row>
    <row r="35" spans="1:17">
      <c r="A35" s="935" t="s">
        <v>103</v>
      </c>
      <c r="B35" s="735"/>
      <c r="C35" s="736"/>
      <c r="D35" s="736"/>
      <c r="E35" s="735"/>
      <c r="F35" s="736"/>
      <c r="G35" s="736"/>
      <c r="H35" s="735"/>
      <c r="I35" s="736"/>
      <c r="J35" s="736"/>
      <c r="K35" s="682"/>
      <c r="L35" s="736"/>
      <c r="M35" s="735"/>
      <c r="N35" s="736"/>
      <c r="O35" s="737"/>
      <c r="P35" s="904" t="s">
        <v>0</v>
      </c>
      <c r="Q35" s="684"/>
    </row>
    <row r="36" spans="1:17">
      <c r="A36" s="927" t="s">
        <v>265</v>
      </c>
      <c r="B36" s="929"/>
      <c r="C36" s="930">
        <f>C35+C34+C32</f>
        <v>0</v>
      </c>
      <c r="D36" s="1458"/>
      <c r="E36" s="929"/>
      <c r="F36" s="930">
        <f>F35+F34+F32</f>
        <v>0</v>
      </c>
      <c r="G36" s="1458"/>
      <c r="H36" s="929"/>
      <c r="I36" s="930">
        <f>I35+I34+I32</f>
        <v>0</v>
      </c>
      <c r="J36" s="1458"/>
      <c r="K36" s="1459"/>
      <c r="L36" s="1458"/>
      <c r="M36" s="929"/>
      <c r="N36" s="930">
        <f>N35+N34+N32</f>
        <v>0</v>
      </c>
      <c r="O36" s="1460"/>
      <c r="P36" s="904" t="s">
        <v>0</v>
      </c>
      <c r="Q36" s="684"/>
    </row>
    <row r="37" spans="1:17">
      <c r="A37" s="684"/>
      <c r="B37" s="939"/>
      <c r="C37" s="939"/>
      <c r="D37" s="939"/>
      <c r="E37" s="939"/>
      <c r="F37" s="939"/>
      <c r="G37" s="939"/>
      <c r="H37" s="939"/>
      <c r="I37" s="939"/>
      <c r="J37" s="939"/>
      <c r="K37" s="939"/>
      <c r="L37" s="939"/>
      <c r="M37" s="939"/>
      <c r="N37" s="939"/>
      <c r="O37" s="939"/>
      <c r="P37" s="948" t="s">
        <v>0</v>
      </c>
      <c r="Q37" s="684"/>
    </row>
    <row r="38" spans="1:17">
      <c r="A38" s="684" t="s">
        <v>674</v>
      </c>
      <c r="B38" s="684"/>
      <c r="C38" s="939"/>
      <c r="D38" s="939"/>
      <c r="E38" s="939"/>
      <c r="F38" s="939"/>
      <c r="G38" s="939"/>
      <c r="H38" s="939"/>
      <c r="I38" s="939"/>
      <c r="J38" s="939"/>
      <c r="K38" s="939"/>
      <c r="L38" s="939"/>
      <c r="M38" s="939"/>
      <c r="N38" s="939"/>
      <c r="O38" s="939"/>
      <c r="P38" s="904" t="s">
        <v>0</v>
      </c>
      <c r="Q38" s="684"/>
    </row>
    <row r="39" spans="1:17" s="1644" customFormat="1">
      <c r="A39" s="684"/>
      <c r="B39" s="939"/>
      <c r="C39" s="939"/>
      <c r="D39" s="939"/>
      <c r="E39" s="939"/>
      <c r="F39" s="939"/>
      <c r="G39" s="939"/>
      <c r="H39" s="939"/>
      <c r="I39" s="939"/>
      <c r="J39" s="939"/>
      <c r="K39" s="939"/>
      <c r="L39" s="939"/>
      <c r="M39" s="939"/>
      <c r="N39" s="939"/>
      <c r="O39" s="939"/>
      <c r="P39" s="948" t="s">
        <v>0</v>
      </c>
      <c r="Q39" s="684"/>
    </row>
    <row r="40" spans="1:17">
      <c r="A40" s="684" t="s">
        <v>675</v>
      </c>
      <c r="B40" s="684"/>
      <c r="C40" s="939"/>
      <c r="D40" s="939"/>
      <c r="E40" s="939"/>
      <c r="F40" s="939"/>
      <c r="G40" s="939"/>
      <c r="H40" s="939"/>
      <c r="I40" s="939"/>
      <c r="J40" s="939"/>
      <c r="K40" s="939"/>
      <c r="L40" s="939"/>
      <c r="M40" s="939"/>
      <c r="N40" s="939"/>
      <c r="O40" s="939"/>
      <c r="P40" s="904" t="s">
        <v>0</v>
      </c>
      <c r="Q40" s="684"/>
    </row>
    <row r="41" spans="1:17">
      <c r="A41" s="939"/>
      <c r="B41" s="940"/>
      <c r="C41" s="940"/>
      <c r="D41" s="940"/>
      <c r="E41" s="940"/>
      <c r="F41" s="940"/>
      <c r="G41" s="940"/>
      <c r="H41" s="940"/>
      <c r="I41" s="940"/>
      <c r="J41" s="940"/>
      <c r="K41" s="940"/>
      <c r="L41" s="940"/>
      <c r="M41" s="939"/>
      <c r="N41" s="939"/>
      <c r="O41" s="939"/>
      <c r="P41" s="904" t="s">
        <v>24</v>
      </c>
      <c r="Q41" s="684"/>
    </row>
    <row r="42" spans="1:17">
      <c r="A42" s="941"/>
      <c r="B42" s="939"/>
      <c r="C42" s="939"/>
      <c r="D42" s="939"/>
      <c r="E42" s="939"/>
      <c r="F42" s="939"/>
      <c r="G42" s="939"/>
      <c r="H42" s="939"/>
      <c r="I42" s="939"/>
      <c r="J42" s="939"/>
      <c r="K42" s="939"/>
      <c r="L42" s="939"/>
      <c r="M42" s="939"/>
      <c r="N42" s="939"/>
      <c r="O42" s="939"/>
      <c r="P42" s="948"/>
      <c r="Q42" s="684"/>
    </row>
    <row r="43" spans="1:17">
      <c r="A43" s="942"/>
      <c r="B43" s="942"/>
      <c r="C43" s="942"/>
      <c r="D43" s="942"/>
      <c r="E43" s="942"/>
      <c r="F43" s="942"/>
      <c r="G43" s="942"/>
      <c r="H43" s="939"/>
      <c r="I43" s="939"/>
      <c r="J43" s="939"/>
      <c r="K43" s="939"/>
      <c r="L43" s="939"/>
      <c r="M43" s="939"/>
      <c r="N43" s="939"/>
      <c r="O43" s="939"/>
      <c r="P43" s="948"/>
      <c r="Q43" s="684"/>
    </row>
    <row r="44" spans="1:17">
      <c r="A44" s="2233"/>
      <c r="B44" s="2232"/>
      <c r="C44" s="2232"/>
      <c r="D44" s="2232"/>
      <c r="E44" s="2232"/>
      <c r="F44" s="2232"/>
      <c r="G44" s="2232"/>
      <c r="H44" s="2232"/>
      <c r="I44" s="2232"/>
      <c r="J44" s="2232"/>
      <c r="K44" s="2232"/>
      <c r="L44" s="2232"/>
      <c r="M44" s="2232"/>
      <c r="N44" s="2232"/>
      <c r="O44" s="2232"/>
      <c r="P44" s="684"/>
      <c r="Q44" s="684"/>
    </row>
    <row r="45" spans="1:17">
      <c r="A45" s="943"/>
      <c r="B45" s="944"/>
      <c r="C45" s="944"/>
      <c r="D45" s="944"/>
      <c r="E45" s="944"/>
      <c r="F45" s="944"/>
      <c r="G45" s="944"/>
      <c r="H45" s="944"/>
      <c r="I45" s="944"/>
      <c r="J45" s="944"/>
      <c r="K45" s="944"/>
      <c r="L45" s="944"/>
      <c r="M45" s="944"/>
      <c r="N45" s="944"/>
      <c r="O45" s="944"/>
      <c r="P45" s="684"/>
      <c r="Q45" s="684"/>
    </row>
    <row r="46" spans="1:17">
      <c r="A46" s="2234"/>
      <c r="B46" s="2235"/>
      <c r="C46" s="2235"/>
      <c r="D46" s="2235"/>
      <c r="E46" s="2235"/>
      <c r="F46" s="2235"/>
      <c r="G46" s="2235"/>
      <c r="H46" s="2235"/>
      <c r="I46" s="2235"/>
      <c r="J46" s="2235"/>
      <c r="K46" s="2235"/>
      <c r="L46" s="2235"/>
      <c r="M46" s="2235"/>
      <c r="N46" s="2235"/>
      <c r="O46" s="2235"/>
      <c r="P46" s="684"/>
      <c r="Q46" s="684"/>
    </row>
    <row r="47" spans="1:17">
      <c r="A47" s="2236"/>
      <c r="B47" s="2235"/>
      <c r="C47" s="2235"/>
      <c r="D47" s="2235"/>
      <c r="E47" s="2235"/>
      <c r="F47" s="2235"/>
      <c r="G47" s="2235"/>
      <c r="H47" s="2235"/>
      <c r="I47" s="2235"/>
      <c r="J47" s="2235"/>
      <c r="K47" s="2235"/>
      <c r="L47" s="2235"/>
      <c r="M47" s="2235"/>
      <c r="N47" s="2235"/>
      <c r="O47" s="2235"/>
      <c r="P47" s="684"/>
      <c r="Q47" s="684"/>
    </row>
    <row r="48" spans="1:17" ht="18" customHeight="1">
      <c r="A48" s="2234"/>
      <c r="B48" s="2236"/>
      <c r="C48" s="2236"/>
      <c r="D48" s="2236"/>
      <c r="E48" s="2236"/>
      <c r="F48" s="2236"/>
      <c r="G48" s="2236"/>
      <c r="H48" s="2236"/>
      <c r="I48" s="2236"/>
      <c r="J48" s="2236"/>
      <c r="K48" s="2236"/>
      <c r="L48" s="2236"/>
      <c r="M48" s="2236"/>
      <c r="N48" s="2236"/>
      <c r="O48" s="2236"/>
      <c r="P48" s="684"/>
      <c r="Q48" s="684"/>
    </row>
    <row r="49" spans="1:17" ht="18" customHeight="1">
      <c r="A49" s="752"/>
      <c r="B49" s="752"/>
      <c r="C49" s="752"/>
      <c r="D49" s="752"/>
      <c r="E49" s="752"/>
      <c r="F49" s="752"/>
      <c r="G49" s="752"/>
      <c r="H49" s="752"/>
      <c r="I49" s="752"/>
      <c r="J49" s="752"/>
      <c r="K49" s="752"/>
      <c r="L49" s="752"/>
      <c r="M49" s="752"/>
      <c r="N49" s="752"/>
      <c r="O49" s="752"/>
      <c r="P49" s="684"/>
      <c r="Q49" s="684"/>
    </row>
    <row r="50" spans="1:17">
      <c r="A50" s="752"/>
      <c r="B50" s="752"/>
      <c r="C50" s="752"/>
      <c r="D50" s="752"/>
      <c r="E50" s="752"/>
      <c r="F50" s="752"/>
      <c r="G50" s="752"/>
      <c r="H50" s="752"/>
      <c r="I50" s="752"/>
      <c r="J50" s="752"/>
      <c r="K50" s="752"/>
      <c r="L50" s="752"/>
      <c r="M50" s="752"/>
      <c r="N50" s="752"/>
      <c r="O50" s="752"/>
      <c r="P50" s="684"/>
      <c r="Q50" s="684"/>
    </row>
    <row r="51" spans="1:17" s="684" customFormat="1">
      <c r="A51" s="2236"/>
      <c r="B51" s="2236"/>
      <c r="C51" s="2236"/>
      <c r="D51" s="2236"/>
      <c r="E51" s="2236"/>
      <c r="F51" s="2236"/>
      <c r="G51" s="2236"/>
      <c r="H51" s="2236"/>
      <c r="I51" s="2236"/>
      <c r="J51" s="2236"/>
      <c r="K51" s="2236"/>
      <c r="L51" s="2236"/>
      <c r="M51" s="2236"/>
      <c r="N51" s="2236"/>
      <c r="O51" s="2236"/>
    </row>
    <row r="52" spans="1:17" s="684" customFormat="1" ht="7.5" customHeight="1">
      <c r="A52" s="945"/>
      <c r="B52" s="945"/>
      <c r="C52" s="945"/>
      <c r="D52" s="945"/>
      <c r="E52" s="945"/>
      <c r="F52" s="945"/>
      <c r="G52" s="945"/>
      <c r="H52" s="945"/>
      <c r="I52" s="945"/>
      <c r="J52" s="945"/>
      <c r="K52" s="945"/>
      <c r="L52" s="945"/>
      <c r="M52" s="945"/>
      <c r="N52" s="945"/>
      <c r="O52" s="945"/>
    </row>
    <row r="53" spans="1:17" s="684" customFormat="1">
      <c r="A53" s="946"/>
      <c r="B53" s="945"/>
      <c r="C53" s="945"/>
      <c r="D53" s="945"/>
      <c r="E53" s="945"/>
      <c r="F53" s="945"/>
      <c r="G53" s="945"/>
      <c r="H53" s="945"/>
      <c r="I53" s="945"/>
      <c r="J53" s="945"/>
      <c r="K53" s="945"/>
      <c r="L53" s="945"/>
      <c r="M53" s="945"/>
      <c r="N53" s="945"/>
      <c r="O53" s="945"/>
    </row>
    <row r="54" spans="1:17" s="684" customFormat="1" ht="11.25" customHeight="1">
      <c r="A54" s="752"/>
      <c r="B54" s="752"/>
      <c r="C54" s="752"/>
      <c r="D54" s="752"/>
      <c r="E54" s="752"/>
      <c r="F54" s="752"/>
      <c r="G54" s="752"/>
      <c r="H54" s="752"/>
      <c r="I54" s="752"/>
      <c r="J54" s="752"/>
      <c r="K54" s="752"/>
      <c r="L54" s="752"/>
      <c r="M54" s="752"/>
      <c r="N54" s="752"/>
      <c r="O54" s="752"/>
    </row>
    <row r="55" spans="1:17" s="684" customFormat="1" ht="15" customHeight="1">
      <c r="A55" s="2236"/>
      <c r="B55" s="2235"/>
      <c r="C55" s="2235"/>
      <c r="D55" s="2235"/>
      <c r="E55" s="2235"/>
      <c r="F55" s="2235"/>
      <c r="G55" s="2235"/>
      <c r="H55" s="2235"/>
      <c r="I55" s="2235"/>
      <c r="J55" s="2235"/>
      <c r="K55" s="2235"/>
      <c r="L55" s="2235"/>
      <c r="M55" s="2235"/>
      <c r="N55" s="2235"/>
      <c r="O55" s="2235"/>
    </row>
    <row r="56" spans="1:17">
      <c r="A56" s="747"/>
      <c r="B56" s="747"/>
      <c r="C56" s="747"/>
      <c r="D56" s="747"/>
      <c r="E56" s="747"/>
      <c r="F56" s="747"/>
      <c r="G56" s="747"/>
      <c r="H56" s="747"/>
      <c r="I56" s="747"/>
      <c r="J56" s="747"/>
      <c r="K56" s="747"/>
      <c r="L56" s="747"/>
      <c r="M56" s="747"/>
      <c r="N56" s="747"/>
      <c r="O56" s="947"/>
      <c r="P56" s="684"/>
      <c r="Q56" s="684"/>
    </row>
    <row r="57" spans="1:17" ht="18" customHeight="1">
      <c r="A57" s="2231"/>
      <c r="B57" s="2232"/>
      <c r="C57" s="2232"/>
      <c r="D57" s="2232"/>
      <c r="E57" s="2232"/>
      <c r="F57" s="2232"/>
      <c r="G57" s="2232"/>
      <c r="H57" s="2232"/>
      <c r="I57" s="2232"/>
      <c r="J57" s="2232"/>
      <c r="K57" s="2232"/>
      <c r="L57" s="2232"/>
      <c r="M57" s="2232"/>
      <c r="N57" s="2232"/>
      <c r="O57" s="2232"/>
      <c r="P57" s="2232"/>
      <c r="Q57" s="684"/>
    </row>
    <row r="58" spans="1:17">
      <c r="A58" s="747"/>
      <c r="B58" s="747"/>
      <c r="C58" s="747"/>
      <c r="D58" s="747"/>
      <c r="E58" s="747"/>
      <c r="F58" s="747"/>
      <c r="G58" s="747"/>
      <c r="H58" s="747"/>
      <c r="I58" s="747"/>
      <c r="J58" s="747"/>
      <c r="M58" s="747"/>
      <c r="N58" s="747"/>
      <c r="O58" s="747"/>
      <c r="P58" s="947"/>
      <c r="Q58" s="948"/>
    </row>
    <row r="59" spans="1:17" ht="18">
      <c r="A59" s="952"/>
      <c r="B59" s="684"/>
      <c r="C59" s="684"/>
      <c r="D59" s="684"/>
      <c r="E59" s="684"/>
      <c r="F59" s="684"/>
      <c r="G59" s="684"/>
      <c r="H59" s="684"/>
      <c r="I59" s="684"/>
      <c r="J59" s="684"/>
      <c r="M59" s="684"/>
      <c r="N59" s="684"/>
      <c r="O59" s="684"/>
      <c r="P59" s="684"/>
      <c r="Q59" s="948"/>
    </row>
  </sheetData>
  <mergeCells count="22">
    <mergeCell ref="A57:P57"/>
    <mergeCell ref="A44:O44"/>
    <mergeCell ref="A46:O46"/>
    <mergeCell ref="A47:O47"/>
    <mergeCell ref="A48:O48"/>
    <mergeCell ref="A51:O51"/>
    <mergeCell ref="A55:O55"/>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4" top="0.5" bottom="0.25" header="0" footer="0"/>
  <pageSetup scale="57" firstPageNumber="8" fitToHeight="0" orientation="landscape" useFirstPageNumber="1" r:id="rId1"/>
  <headerFooter alignWithMargins="0">
    <oddFooter>&amp;C&amp;"Times New Roman,Regular"Exhibit G - Crosswalk of 2011 Availability&amp;R&amp;"Times New Roman,Regular"Juvenile Justice Programs</oddFooter>
  </headerFooter>
</worksheet>
</file>

<file path=xl/worksheets/sheet43.xml><?xml version="1.0" encoding="utf-8"?>
<worksheet xmlns="http://schemas.openxmlformats.org/spreadsheetml/2006/main" xmlns:r="http://schemas.openxmlformats.org/officeDocument/2006/relationships">
  <sheetPr>
    <pageSetUpPr fitToPage="1"/>
  </sheetPr>
  <dimension ref="A1:AF31"/>
  <sheetViews>
    <sheetView showGridLines="0" showOutlineSymbols="0" view="pageBreakPreview" zoomScale="75" zoomScaleNormal="100" zoomScaleSheetLayoutView="75" workbookViewId="0">
      <selection activeCell="B45" sqref="B45"/>
    </sheetView>
  </sheetViews>
  <sheetFormatPr defaultColWidth="9.6640625" defaultRowHeight="15.75"/>
  <cols>
    <col min="1" max="1" width="4.44140625" style="684" customWidth="1"/>
    <col min="2" max="2" width="45.6640625" style="684" customWidth="1"/>
    <col min="3" max="3" width="6.5546875" style="684" customWidth="1"/>
    <col min="4" max="4" width="5.6640625" style="684" customWidth="1"/>
    <col min="5" max="5" width="10.44140625" style="684" bestFit="1" customWidth="1"/>
    <col min="6" max="7" width="5.6640625" style="684" customWidth="1"/>
    <col min="8" max="8" width="11.77734375" style="684" customWidth="1"/>
    <col min="9" max="10" width="5.6640625" style="684" customWidth="1"/>
    <col min="11" max="11" width="10.44140625" style="684" bestFit="1" customWidth="1"/>
    <col min="12" max="13" width="5.6640625" style="684" customWidth="1"/>
    <col min="14" max="14" width="7.6640625" style="684" customWidth="1"/>
    <col min="15" max="15" width="1.21875" style="1012" customWidth="1"/>
    <col min="16" max="16" width="27.5546875" style="684" customWidth="1"/>
    <col min="17" max="20" width="7.6640625" style="684" customWidth="1"/>
    <col min="21" max="21" width="3.6640625" style="684" customWidth="1"/>
    <col min="22" max="24" width="7.6640625" style="684" customWidth="1"/>
    <col min="25" max="25" width="3.6640625" style="684" customWidth="1"/>
    <col min="26" max="28" width="7.6640625" style="684" customWidth="1"/>
    <col min="29" max="29" width="3.6640625" style="684" customWidth="1"/>
    <col min="30" max="32" width="7.6640625" style="684" customWidth="1"/>
    <col min="33" max="16384" width="9.6640625" style="684"/>
  </cols>
  <sheetData>
    <row r="1" spans="1:32" ht="20.25">
      <c r="A1" s="2061" t="s">
        <v>31</v>
      </c>
      <c r="B1" s="2240"/>
      <c r="C1" s="2240"/>
      <c r="D1" s="2240"/>
      <c r="E1" s="2240"/>
      <c r="F1" s="2240"/>
      <c r="G1" s="2240"/>
      <c r="H1" s="2240"/>
      <c r="I1" s="2240"/>
      <c r="J1" s="2240"/>
      <c r="K1" s="2240"/>
      <c r="L1" s="2240"/>
      <c r="M1" s="2240"/>
      <c r="N1" s="2240"/>
      <c r="O1" s="997" t="s">
        <v>0</v>
      </c>
      <c r="P1" s="939"/>
      <c r="Q1" s="939"/>
      <c r="R1" s="939"/>
      <c r="S1" s="939"/>
      <c r="T1" s="939"/>
      <c r="U1" s="939"/>
    </row>
    <row r="2" spans="1:32" ht="13.9" customHeight="1">
      <c r="A2" s="504"/>
      <c r="O2" s="997" t="s">
        <v>0</v>
      </c>
      <c r="P2" s="939"/>
      <c r="Q2" s="939"/>
      <c r="R2" s="939"/>
      <c r="S2" s="939"/>
      <c r="T2" s="939"/>
      <c r="U2" s="939"/>
    </row>
    <row r="3" spans="1:32" ht="18.75">
      <c r="A3" s="2241" t="s">
        <v>101</v>
      </c>
      <c r="B3" s="2242"/>
      <c r="C3" s="2242"/>
      <c r="D3" s="2242"/>
      <c r="E3" s="2242"/>
      <c r="F3" s="2242"/>
      <c r="G3" s="2242"/>
      <c r="H3" s="2242"/>
      <c r="I3" s="2242"/>
      <c r="J3" s="2242"/>
      <c r="K3" s="2242"/>
      <c r="L3" s="2242"/>
      <c r="M3" s="2242"/>
      <c r="N3" s="2242"/>
      <c r="O3" s="997" t="s">
        <v>0</v>
      </c>
      <c r="P3" s="939"/>
      <c r="Q3" s="939"/>
      <c r="R3" s="939"/>
      <c r="S3" s="939"/>
      <c r="T3" s="939"/>
      <c r="U3" s="939"/>
    </row>
    <row r="4" spans="1:32" ht="16.5">
      <c r="A4" s="2243" t="str">
        <f>+'B. Summ of Reqs - JJ'!A6</f>
        <v>Office of Justice Programs</v>
      </c>
      <c r="B4" s="2244"/>
      <c r="C4" s="2244"/>
      <c r="D4" s="2244"/>
      <c r="E4" s="2244"/>
      <c r="F4" s="2244"/>
      <c r="G4" s="2244"/>
      <c r="H4" s="2244"/>
      <c r="I4" s="2244"/>
      <c r="J4" s="2244"/>
      <c r="K4" s="2244"/>
      <c r="L4" s="2244"/>
      <c r="M4" s="2244"/>
      <c r="N4" s="2244"/>
      <c r="O4" s="997" t="s">
        <v>0</v>
      </c>
      <c r="P4" s="939"/>
      <c r="Q4" s="939"/>
      <c r="R4" s="939"/>
      <c r="S4" s="939"/>
      <c r="T4" s="939"/>
      <c r="U4" s="939"/>
    </row>
    <row r="5" spans="1:32" ht="16.5">
      <c r="A5" s="2243" t="str">
        <f>+'B. Summ of Reqs - JJ'!A7</f>
        <v>Juvenile Justice Programs</v>
      </c>
      <c r="B5" s="2242"/>
      <c r="C5" s="2242"/>
      <c r="D5" s="2242"/>
      <c r="E5" s="2242"/>
      <c r="F5" s="2242"/>
      <c r="G5" s="2242"/>
      <c r="H5" s="2242"/>
      <c r="I5" s="2242"/>
      <c r="J5" s="2242"/>
      <c r="K5" s="2242"/>
      <c r="L5" s="2242"/>
      <c r="M5" s="2242"/>
      <c r="N5" s="2242"/>
      <c r="O5" s="997" t="s">
        <v>0</v>
      </c>
      <c r="P5" s="939"/>
      <c r="Q5" s="939"/>
      <c r="R5" s="939"/>
      <c r="S5" s="939"/>
      <c r="T5" s="939"/>
      <c r="U5" s="939"/>
    </row>
    <row r="6" spans="1:32">
      <c r="A6" s="2245" t="s">
        <v>257</v>
      </c>
      <c r="B6" s="2244"/>
      <c r="C6" s="2244"/>
      <c r="D6" s="2244"/>
      <c r="E6" s="2244"/>
      <c r="F6" s="2244"/>
      <c r="G6" s="2244"/>
      <c r="H6" s="2244"/>
      <c r="I6" s="2244"/>
      <c r="J6" s="2244"/>
      <c r="K6" s="2244"/>
      <c r="L6" s="2244"/>
      <c r="M6" s="2244"/>
      <c r="N6" s="2244"/>
      <c r="O6" s="997" t="s">
        <v>0</v>
      </c>
      <c r="P6" s="939"/>
      <c r="Q6" s="939"/>
      <c r="R6" s="939"/>
      <c r="S6" s="939"/>
      <c r="T6" s="939"/>
      <c r="U6" s="939"/>
    </row>
    <row r="7" spans="1:32">
      <c r="F7" s="998"/>
      <c r="G7" s="998"/>
      <c r="H7" s="998"/>
      <c r="O7" s="997" t="s">
        <v>0</v>
      </c>
      <c r="P7" s="939"/>
      <c r="Q7" s="939"/>
      <c r="R7" s="939"/>
      <c r="S7" s="939"/>
      <c r="T7" s="939"/>
      <c r="U7" s="939"/>
    </row>
    <row r="8" spans="1:32">
      <c r="A8" s="2112" t="s">
        <v>273</v>
      </c>
      <c r="B8" s="2246"/>
      <c r="C8" s="2249" t="s">
        <v>351</v>
      </c>
      <c r="D8" s="2250"/>
      <c r="E8" s="2251"/>
      <c r="F8" s="2249" t="s">
        <v>352</v>
      </c>
      <c r="G8" s="2250"/>
      <c r="H8" s="2251"/>
      <c r="I8" s="2249" t="s">
        <v>42</v>
      </c>
      <c r="J8" s="2250"/>
      <c r="K8" s="2251"/>
      <c r="L8" s="2249" t="s">
        <v>44</v>
      </c>
      <c r="M8" s="2250"/>
      <c r="N8" s="2251"/>
      <c r="O8" s="997" t="s">
        <v>0</v>
      </c>
      <c r="P8" s="939"/>
      <c r="Q8" s="939"/>
      <c r="R8" s="939"/>
      <c r="S8" s="939"/>
      <c r="T8" s="939"/>
      <c r="U8" s="939"/>
    </row>
    <row r="9" spans="1:32" ht="16.5" thickBot="1">
      <c r="A9" s="2247"/>
      <c r="B9" s="2248"/>
      <c r="C9" s="905" t="s">
        <v>277</v>
      </c>
      <c r="D9" s="906" t="s">
        <v>49</v>
      </c>
      <c r="E9" s="909" t="s">
        <v>279</v>
      </c>
      <c r="F9" s="905" t="s">
        <v>277</v>
      </c>
      <c r="G9" s="906" t="s">
        <v>49</v>
      </c>
      <c r="H9" s="906" t="s">
        <v>279</v>
      </c>
      <c r="I9" s="905" t="s">
        <v>277</v>
      </c>
      <c r="J9" s="906" t="s">
        <v>49</v>
      </c>
      <c r="K9" s="906" t="s">
        <v>279</v>
      </c>
      <c r="L9" s="905" t="s">
        <v>277</v>
      </c>
      <c r="M9" s="906" t="s">
        <v>49</v>
      </c>
      <c r="N9" s="909" t="s">
        <v>279</v>
      </c>
      <c r="O9" s="997" t="s">
        <v>0</v>
      </c>
      <c r="P9" s="939"/>
      <c r="Q9" s="939"/>
      <c r="R9" s="939"/>
      <c r="S9" s="939"/>
      <c r="T9" s="939"/>
      <c r="U9" s="939"/>
    </row>
    <row r="10" spans="1:32">
      <c r="A10" s="2497" t="s">
        <v>474</v>
      </c>
      <c r="B10" s="2498"/>
      <c r="C10" s="1461"/>
      <c r="D10" s="1462"/>
      <c r="E10" s="1463"/>
      <c r="F10" s="1461"/>
      <c r="G10" s="1462"/>
      <c r="H10" s="1462"/>
      <c r="I10" s="1461"/>
      <c r="J10" s="1462"/>
      <c r="K10" s="1462"/>
      <c r="L10" s="1461"/>
      <c r="M10" s="1462"/>
      <c r="N10" s="1463">
        <f>K10-E10</f>
        <v>0</v>
      </c>
      <c r="O10" s="997" t="s">
        <v>0</v>
      </c>
      <c r="P10" s="939"/>
      <c r="Q10" s="939"/>
      <c r="R10" s="939"/>
      <c r="S10" s="939"/>
      <c r="T10" s="939"/>
      <c r="U10" s="939"/>
    </row>
    <row r="11" spans="1:32">
      <c r="A11" s="2499" t="s">
        <v>374</v>
      </c>
      <c r="B11" s="2149"/>
      <c r="C11" s="929"/>
      <c r="D11" s="930"/>
      <c r="E11" s="932">
        <v>2344</v>
      </c>
      <c r="F11" s="929"/>
      <c r="G11" s="930"/>
      <c r="H11" s="930"/>
      <c r="I11" s="929"/>
      <c r="J11" s="930"/>
      <c r="K11" s="930"/>
      <c r="L11" s="929"/>
      <c r="M11" s="930"/>
      <c r="N11" s="932">
        <f t="shared" ref="N11" si="0">K11-E11</f>
        <v>-2344</v>
      </c>
      <c r="O11" s="997" t="s">
        <v>0</v>
      </c>
      <c r="P11" s="939"/>
      <c r="Q11" s="939"/>
      <c r="R11" s="939"/>
      <c r="S11" s="939"/>
      <c r="T11" s="939"/>
      <c r="U11" s="939"/>
    </row>
    <row r="12" spans="1:32">
      <c r="A12" s="2500"/>
      <c r="B12" s="2501"/>
      <c r="C12" s="1003"/>
      <c r="D12" s="1004"/>
      <c r="E12" s="1005"/>
      <c r="F12" s="1003"/>
      <c r="G12" s="1006"/>
      <c r="H12" s="1006"/>
      <c r="I12" s="1003"/>
      <c r="J12" s="1006"/>
      <c r="K12" s="1006"/>
      <c r="L12" s="1003"/>
      <c r="M12" s="1006"/>
      <c r="N12" s="1005"/>
      <c r="O12" s="997" t="s">
        <v>0</v>
      </c>
      <c r="P12" s="939"/>
      <c r="Q12" s="939"/>
      <c r="R12" s="939"/>
      <c r="S12" s="939"/>
      <c r="T12" s="939"/>
      <c r="U12" s="939"/>
    </row>
    <row r="13" spans="1:32">
      <c r="A13" s="2258" t="s">
        <v>274</v>
      </c>
      <c r="B13" s="2259"/>
      <c r="C13" s="919">
        <f t="shared" ref="C13:N13" si="1">SUM(C10:C12)</f>
        <v>0</v>
      </c>
      <c r="D13" s="920">
        <f t="shared" si="1"/>
        <v>0</v>
      </c>
      <c r="E13" s="926">
        <f t="shared" si="1"/>
        <v>2344</v>
      </c>
      <c r="F13" s="919">
        <f t="shared" si="1"/>
        <v>0</v>
      </c>
      <c r="G13" s="920">
        <f t="shared" si="1"/>
        <v>0</v>
      </c>
      <c r="H13" s="921">
        <f t="shared" si="1"/>
        <v>0</v>
      </c>
      <c r="I13" s="919">
        <f t="shared" si="1"/>
        <v>0</v>
      </c>
      <c r="J13" s="920">
        <f t="shared" si="1"/>
        <v>0</v>
      </c>
      <c r="K13" s="921">
        <f t="shared" si="1"/>
        <v>0</v>
      </c>
      <c r="L13" s="919">
        <f t="shared" si="1"/>
        <v>0</v>
      </c>
      <c r="M13" s="920">
        <f t="shared" si="1"/>
        <v>0</v>
      </c>
      <c r="N13" s="926">
        <f t="shared" si="1"/>
        <v>-2344</v>
      </c>
      <c r="O13" s="997" t="s">
        <v>0</v>
      </c>
      <c r="P13" s="939"/>
      <c r="Q13" s="939"/>
      <c r="R13" s="939"/>
      <c r="S13" s="939"/>
      <c r="T13" s="939"/>
      <c r="U13" s="939"/>
    </row>
    <row r="14" spans="1:32">
      <c r="A14" s="1007"/>
      <c r="B14" s="1007"/>
      <c r="C14" s="1008"/>
      <c r="D14" s="1008"/>
      <c r="E14" s="1009"/>
      <c r="F14" s="1008"/>
      <c r="G14" s="1008"/>
      <c r="H14" s="1009"/>
      <c r="I14" s="1008"/>
      <c r="J14" s="1008"/>
      <c r="K14" s="1009"/>
      <c r="L14" s="1008"/>
      <c r="M14" s="1008"/>
      <c r="N14" s="1009"/>
      <c r="O14" s="997" t="s">
        <v>0</v>
      </c>
      <c r="P14" s="939"/>
      <c r="Q14" s="939"/>
      <c r="R14" s="939"/>
      <c r="S14" s="939"/>
      <c r="T14" s="939"/>
      <c r="U14" s="939"/>
    </row>
    <row r="15" spans="1:32">
      <c r="A15" s="1007"/>
      <c r="B15" s="1007"/>
      <c r="C15" s="1008"/>
      <c r="D15" s="1008"/>
      <c r="E15" s="1009"/>
      <c r="F15" s="1008"/>
      <c r="G15" s="1008"/>
      <c r="H15" s="1009"/>
      <c r="I15" s="1008"/>
      <c r="J15" s="1008"/>
      <c r="K15" s="1009"/>
      <c r="L15" s="1008"/>
      <c r="M15" s="1008"/>
      <c r="N15" s="1009"/>
      <c r="O15" s="997" t="s">
        <v>0</v>
      </c>
      <c r="P15" s="939"/>
      <c r="Q15" s="939"/>
      <c r="R15" s="939"/>
      <c r="S15" s="939"/>
      <c r="T15" s="939"/>
      <c r="U15" s="939"/>
    </row>
    <row r="16" spans="1:32">
      <c r="A16" s="2260"/>
      <c r="B16" s="2261"/>
      <c r="C16" s="2261"/>
      <c r="D16" s="2261"/>
      <c r="E16" s="2261"/>
      <c r="F16" s="2261"/>
      <c r="G16" s="2261"/>
      <c r="H16" s="2261"/>
      <c r="I16" s="2261"/>
      <c r="J16" s="2261"/>
      <c r="K16" s="2261"/>
      <c r="L16" s="2261"/>
      <c r="M16" s="2261"/>
      <c r="N16" s="2261"/>
      <c r="O16" s="997" t="s">
        <v>24</v>
      </c>
      <c r="P16" s="1010"/>
      <c r="Q16" s="1010"/>
      <c r="R16" s="1010"/>
      <c r="S16" s="1010"/>
      <c r="T16" s="1010"/>
      <c r="U16" s="1010"/>
      <c r="V16" s="1010"/>
      <c r="W16" s="1010"/>
      <c r="X16" s="1010"/>
      <c r="Y16" s="1010"/>
      <c r="Z16" s="1010"/>
      <c r="AA16" s="1010"/>
      <c r="AB16" s="1010"/>
      <c r="AC16" s="1010"/>
      <c r="AD16" s="1010"/>
      <c r="AE16" s="1010"/>
      <c r="AF16" s="1010"/>
    </row>
    <row r="17" spans="1:32">
      <c r="A17" s="939"/>
      <c r="B17" s="939"/>
      <c r="C17" s="1011"/>
      <c r="D17" s="1011"/>
      <c r="E17" s="1011"/>
      <c r="F17" s="1011"/>
      <c r="G17" s="1011"/>
      <c r="H17" s="1011"/>
      <c r="I17" s="1011"/>
      <c r="J17" s="1011"/>
      <c r="K17" s="1011"/>
      <c r="L17" s="1011"/>
      <c r="M17" s="1011"/>
      <c r="N17" s="1011"/>
      <c r="P17" s="1010"/>
      <c r="Q17" s="1010"/>
      <c r="R17" s="1010"/>
      <c r="S17" s="1010"/>
      <c r="T17" s="1010"/>
      <c r="U17" s="1010"/>
      <c r="V17" s="1010"/>
      <c r="W17" s="1010"/>
      <c r="X17" s="1010"/>
      <c r="Y17" s="1010"/>
      <c r="Z17" s="1010"/>
      <c r="AA17" s="1010"/>
      <c r="AB17" s="1010"/>
      <c r="AC17" s="1010"/>
      <c r="AD17" s="1010"/>
      <c r="AE17" s="1010"/>
      <c r="AF17" s="1010"/>
    </row>
    <row r="18" spans="1:32">
      <c r="A18" s="1013"/>
      <c r="B18" s="1013"/>
      <c r="C18" s="1014"/>
      <c r="D18" s="1014"/>
      <c r="E18" s="1014"/>
      <c r="F18" s="1014"/>
      <c r="G18" s="1014"/>
      <c r="H18" s="1014"/>
      <c r="I18" s="1014"/>
      <c r="J18" s="1014"/>
      <c r="K18" s="1014"/>
      <c r="L18" s="1014"/>
      <c r="M18" s="1014"/>
      <c r="N18" s="1014"/>
      <c r="P18" s="1010"/>
      <c r="Q18" s="1010"/>
      <c r="R18" s="1010"/>
      <c r="S18" s="1010"/>
      <c r="T18" s="1010"/>
      <c r="U18" s="1010"/>
      <c r="V18" s="1010"/>
      <c r="W18" s="1010"/>
      <c r="X18" s="1010"/>
      <c r="Y18" s="1010"/>
      <c r="Z18" s="1010"/>
      <c r="AA18" s="1010"/>
      <c r="AB18" s="1010"/>
      <c r="AC18" s="1010"/>
      <c r="AD18" s="1010"/>
      <c r="AE18" s="1010"/>
      <c r="AF18" s="1010"/>
    </row>
    <row r="19" spans="1:32">
      <c r="A19" s="942"/>
      <c r="B19" s="942"/>
      <c r="C19" s="942"/>
      <c r="D19" s="942"/>
      <c r="E19" s="942"/>
      <c r="F19" s="942"/>
      <c r="G19" s="942"/>
      <c r="H19" s="942"/>
      <c r="I19" s="942"/>
      <c r="J19" s="942"/>
      <c r="K19" s="942"/>
      <c r="L19" s="942"/>
      <c r="M19" s="942"/>
      <c r="N19" s="942"/>
      <c r="P19" s="1010"/>
      <c r="Q19" s="1010"/>
      <c r="R19" s="1010"/>
      <c r="S19" s="1010"/>
      <c r="T19" s="1010"/>
      <c r="U19" s="1010"/>
      <c r="V19" s="1010"/>
      <c r="W19" s="1010"/>
      <c r="X19" s="1010"/>
      <c r="Y19" s="1010"/>
      <c r="Z19" s="1010"/>
      <c r="AA19" s="1010"/>
      <c r="AB19" s="1010"/>
      <c r="AC19" s="1010"/>
      <c r="AD19" s="1010"/>
      <c r="AE19" s="1010"/>
      <c r="AF19" s="1010"/>
    </row>
    <row r="20" spans="1:32" ht="18">
      <c r="A20" s="1015"/>
      <c r="B20" s="1016"/>
      <c r="C20" s="1016"/>
      <c r="D20" s="1016"/>
      <c r="E20" s="1016"/>
      <c r="F20" s="1016"/>
      <c r="G20" s="1016"/>
      <c r="H20" s="1016"/>
      <c r="I20" s="1016"/>
      <c r="J20" s="1016"/>
      <c r="K20" s="1016"/>
      <c r="L20" s="1016"/>
      <c r="M20" s="1016"/>
      <c r="N20" s="1016"/>
      <c r="P20" s="1017"/>
      <c r="Q20" s="1018"/>
      <c r="R20" s="1018"/>
      <c r="S20" s="1018"/>
      <c r="T20" s="1018"/>
      <c r="U20" s="1018"/>
      <c r="V20" s="1018"/>
      <c r="W20" s="1018"/>
      <c r="X20" s="1018"/>
      <c r="Y20" s="1018"/>
      <c r="Z20" s="1018"/>
      <c r="AA20" s="1018"/>
      <c r="AB20" s="1018"/>
      <c r="AC20" s="1018"/>
      <c r="AD20" s="1018"/>
      <c r="AE20" s="1018"/>
      <c r="AF20" s="1018"/>
    </row>
    <row r="21" spans="1:32" ht="18">
      <c r="A21" s="1015"/>
      <c r="B21" s="1016"/>
      <c r="C21" s="1016"/>
      <c r="D21" s="1016"/>
      <c r="E21" s="1016"/>
      <c r="F21" s="1016"/>
      <c r="G21" s="1016"/>
      <c r="H21" s="1016"/>
      <c r="I21" s="1016"/>
      <c r="J21" s="1016"/>
      <c r="K21" s="1016"/>
      <c r="L21" s="1016"/>
      <c r="M21" s="1016"/>
      <c r="N21" s="1016"/>
      <c r="P21" s="1017"/>
      <c r="Q21" s="1018"/>
      <c r="R21" s="1018"/>
      <c r="S21" s="1018"/>
      <c r="T21" s="1018"/>
      <c r="U21" s="1018"/>
      <c r="V21" s="1018"/>
      <c r="W21" s="1018"/>
      <c r="X21" s="1018"/>
      <c r="Y21" s="1018"/>
      <c r="Z21" s="1018"/>
      <c r="AA21" s="1018"/>
      <c r="AB21" s="1018"/>
      <c r="AC21" s="1018"/>
      <c r="AD21" s="1018"/>
      <c r="AE21" s="1018"/>
      <c r="AF21" s="1018"/>
    </row>
    <row r="22" spans="1:32" ht="42.75" customHeight="1">
      <c r="A22" s="2256"/>
      <c r="B22" s="2256"/>
      <c r="C22" s="2256"/>
      <c r="D22" s="2256"/>
      <c r="E22" s="2256"/>
      <c r="F22" s="2256"/>
      <c r="G22" s="2256"/>
      <c r="H22" s="2256"/>
      <c r="I22" s="2256"/>
      <c r="J22" s="2256"/>
      <c r="K22" s="2256"/>
      <c r="L22" s="2256"/>
      <c r="M22" s="2256"/>
      <c r="N22" s="2257"/>
      <c r="P22" s="1017"/>
      <c r="Q22" s="1018"/>
      <c r="R22" s="1018"/>
      <c r="S22" s="1018"/>
      <c r="T22" s="1018"/>
      <c r="U22" s="1018"/>
      <c r="V22" s="1018"/>
      <c r="W22" s="1018"/>
      <c r="X22" s="1018"/>
      <c r="Y22" s="1018"/>
      <c r="Z22" s="1018"/>
      <c r="AA22" s="1018"/>
      <c r="AB22" s="1018"/>
      <c r="AC22" s="1018"/>
      <c r="AD22" s="1018"/>
      <c r="AE22" s="1018"/>
      <c r="AF22" s="1018"/>
    </row>
    <row r="23" spans="1:32">
      <c r="A23" s="752"/>
      <c r="B23" s="752"/>
      <c r="C23" s="752"/>
      <c r="D23" s="752"/>
      <c r="E23" s="752"/>
      <c r="F23" s="752"/>
      <c r="G23" s="752"/>
      <c r="H23" s="752"/>
      <c r="I23" s="752"/>
      <c r="J23" s="752"/>
      <c r="K23" s="752"/>
      <c r="L23" s="752"/>
      <c r="M23" s="752"/>
      <c r="N23" s="752"/>
      <c r="P23" s="1010"/>
      <c r="Q23" s="1010"/>
      <c r="R23" s="1010"/>
      <c r="S23" s="1010"/>
      <c r="T23" s="1010"/>
      <c r="U23" s="1010"/>
      <c r="V23" s="1010"/>
      <c r="W23" s="1010"/>
      <c r="X23" s="1010"/>
      <c r="Y23" s="1010"/>
      <c r="Z23" s="1010"/>
      <c r="AA23" s="1010"/>
      <c r="AB23" s="1010"/>
      <c r="AC23" s="1010"/>
      <c r="AD23" s="1010"/>
      <c r="AE23" s="1010"/>
      <c r="AF23" s="1010"/>
    </row>
    <row r="24" spans="1:32" ht="96.75" customHeight="1">
      <c r="A24" s="2262"/>
      <c r="B24" s="2262"/>
      <c r="C24" s="2262"/>
      <c r="D24" s="2262"/>
      <c r="E24" s="2262"/>
      <c r="F24" s="2262"/>
      <c r="G24" s="2262"/>
      <c r="H24" s="2262"/>
      <c r="I24" s="2262"/>
      <c r="J24" s="2262"/>
      <c r="K24" s="2262"/>
      <c r="L24" s="2262"/>
      <c r="M24" s="2262"/>
      <c r="N24" s="2262"/>
      <c r="P24" s="1010"/>
      <c r="Q24" s="1010"/>
      <c r="R24" s="1010"/>
      <c r="S24" s="1010"/>
      <c r="T24" s="1010"/>
      <c r="U24" s="1010"/>
      <c r="V24" s="1010"/>
      <c r="W24" s="1010"/>
      <c r="X24" s="1010"/>
      <c r="Y24" s="1010"/>
      <c r="Z24" s="1010"/>
      <c r="AA24" s="1010"/>
      <c r="AB24" s="1010"/>
      <c r="AC24" s="1010"/>
      <c r="AD24" s="1010"/>
      <c r="AE24" s="1010"/>
      <c r="AF24" s="1010"/>
    </row>
    <row r="25" spans="1:32" ht="18.75" customHeight="1">
      <c r="A25" s="1019"/>
      <c r="B25" s="1019"/>
      <c r="C25" s="1019"/>
      <c r="D25" s="1019"/>
      <c r="E25" s="1019"/>
      <c r="F25" s="1019"/>
      <c r="G25" s="1019"/>
      <c r="H25" s="1019"/>
      <c r="I25" s="1019"/>
      <c r="J25" s="1019"/>
      <c r="K25" s="1019"/>
      <c r="L25" s="1019"/>
      <c r="M25" s="1019"/>
      <c r="N25" s="1019"/>
      <c r="P25" s="1010"/>
      <c r="Q25" s="1010"/>
      <c r="R25" s="1010"/>
      <c r="S25" s="1010"/>
      <c r="T25" s="1010"/>
      <c r="U25" s="1010"/>
      <c r="V25" s="1010"/>
      <c r="W25" s="1010"/>
      <c r="X25" s="1010"/>
      <c r="Y25" s="1010"/>
      <c r="Z25" s="1010"/>
      <c r="AA25" s="1010"/>
      <c r="AB25" s="1010"/>
      <c r="AC25" s="1010"/>
      <c r="AD25" s="1010"/>
      <c r="AE25" s="1010"/>
      <c r="AF25" s="1010"/>
    </row>
    <row r="26" spans="1:32" ht="15.75" customHeight="1">
      <c r="A26" s="2263"/>
      <c r="B26" s="2263"/>
      <c r="C26" s="2263"/>
      <c r="D26" s="2263"/>
      <c r="E26" s="2263"/>
      <c r="F26" s="2263"/>
      <c r="G26" s="2263"/>
      <c r="H26" s="2263"/>
      <c r="I26" s="2263"/>
      <c r="J26" s="2263"/>
      <c r="K26" s="2263"/>
      <c r="L26" s="2263"/>
      <c r="M26" s="2263"/>
      <c r="N26" s="2263"/>
      <c r="P26" s="1010"/>
      <c r="Q26" s="1010"/>
      <c r="R26" s="1010"/>
      <c r="S26" s="1010"/>
      <c r="T26" s="1010"/>
      <c r="U26" s="1010"/>
      <c r="V26" s="1010"/>
      <c r="W26" s="1010"/>
      <c r="X26" s="1010"/>
      <c r="Y26" s="1010"/>
      <c r="Z26" s="1010"/>
      <c r="AA26" s="1010"/>
      <c r="AB26" s="1010"/>
      <c r="AC26" s="1010"/>
      <c r="AD26" s="1010"/>
      <c r="AE26" s="1010"/>
      <c r="AF26" s="1010"/>
    </row>
    <row r="27" spans="1:32" ht="24" customHeight="1">
      <c r="A27" s="2263"/>
      <c r="B27" s="2263"/>
      <c r="C27" s="2263"/>
      <c r="D27" s="2263"/>
      <c r="E27" s="2263"/>
      <c r="F27" s="2263"/>
      <c r="G27" s="2263"/>
      <c r="H27" s="2263"/>
      <c r="I27" s="2263"/>
      <c r="J27" s="2263"/>
      <c r="K27" s="2263"/>
      <c r="L27" s="2263"/>
      <c r="M27" s="2263"/>
      <c r="N27" s="2263"/>
      <c r="P27" s="1010"/>
      <c r="Q27" s="1010"/>
      <c r="R27" s="1010"/>
      <c r="S27" s="1010"/>
      <c r="T27" s="1010"/>
      <c r="U27" s="1010"/>
      <c r="V27" s="1010"/>
      <c r="W27" s="1010"/>
      <c r="X27" s="1010"/>
      <c r="Y27" s="1010"/>
      <c r="Z27" s="1010"/>
      <c r="AA27" s="1010"/>
      <c r="AB27" s="1010"/>
      <c r="AC27" s="1010"/>
      <c r="AD27" s="1010"/>
      <c r="AE27" s="1010"/>
      <c r="AF27" s="1010"/>
    </row>
    <row r="28" spans="1:32" ht="15.75" customHeight="1">
      <c r="A28" s="752"/>
      <c r="B28" s="752"/>
      <c r="C28" s="752"/>
      <c r="D28" s="752"/>
      <c r="E28" s="752"/>
      <c r="F28" s="752"/>
      <c r="G28" s="752"/>
      <c r="H28" s="752"/>
      <c r="I28" s="752"/>
      <c r="J28" s="752"/>
      <c r="K28" s="752"/>
      <c r="L28" s="752"/>
      <c r="M28" s="752"/>
      <c r="N28" s="752"/>
      <c r="P28" s="1010"/>
      <c r="Q28" s="1010"/>
      <c r="R28" s="1010"/>
      <c r="S28" s="1010"/>
      <c r="T28" s="1010"/>
      <c r="U28" s="1010"/>
      <c r="V28" s="1010"/>
      <c r="W28" s="1010"/>
      <c r="X28" s="1010"/>
      <c r="Y28" s="1010"/>
      <c r="Z28" s="1010"/>
      <c r="AA28" s="1010"/>
      <c r="AB28" s="1010"/>
      <c r="AC28" s="1010"/>
      <c r="AD28" s="1010"/>
      <c r="AE28" s="1010"/>
      <c r="AF28" s="1010"/>
    </row>
    <row r="29" spans="1:32" ht="18" customHeight="1">
      <c r="A29" s="2256"/>
      <c r="B29" s="2256"/>
      <c r="C29" s="2256"/>
      <c r="D29" s="2256"/>
      <c r="E29" s="2256"/>
      <c r="F29" s="2256"/>
      <c r="G29" s="2256"/>
      <c r="H29" s="2256"/>
      <c r="I29" s="2256"/>
      <c r="J29" s="2256"/>
      <c r="K29" s="2256"/>
      <c r="L29" s="2256"/>
      <c r="M29" s="2256"/>
      <c r="N29" s="2257"/>
      <c r="P29" s="1010"/>
      <c r="Q29" s="1010"/>
      <c r="R29" s="1010"/>
      <c r="S29" s="1010"/>
      <c r="T29" s="1010"/>
      <c r="U29" s="1010"/>
      <c r="V29" s="1010"/>
      <c r="W29" s="1010"/>
      <c r="X29" s="1010"/>
      <c r="Y29" s="1010"/>
      <c r="Z29" s="1010"/>
      <c r="AA29" s="1010"/>
      <c r="AB29" s="1010"/>
      <c r="AC29" s="1010"/>
      <c r="AD29" s="1010"/>
      <c r="AE29" s="1010"/>
      <c r="AF29" s="1010"/>
    </row>
    <row r="30" spans="1:32">
      <c r="A30" s="939"/>
      <c r="B30" s="939"/>
      <c r="C30" s="939"/>
      <c r="D30" s="939"/>
      <c r="E30" s="939"/>
      <c r="F30" s="939"/>
      <c r="G30" s="939"/>
      <c r="H30" s="939"/>
      <c r="I30" s="939"/>
      <c r="J30" s="939"/>
      <c r="K30" s="939"/>
      <c r="L30" s="939"/>
      <c r="M30" s="939"/>
      <c r="N30" s="939"/>
      <c r="P30" s="1010"/>
      <c r="Q30" s="1010"/>
      <c r="R30" s="1010"/>
      <c r="S30" s="1010"/>
      <c r="T30" s="1010"/>
      <c r="U30" s="1010"/>
      <c r="V30" s="1010"/>
      <c r="W30" s="1010"/>
      <c r="X30" s="1010"/>
      <c r="Y30" s="1010"/>
      <c r="Z30" s="1010"/>
      <c r="AA30" s="1010"/>
      <c r="AB30" s="1010"/>
      <c r="AC30" s="1010"/>
      <c r="AD30" s="1010"/>
      <c r="AE30" s="1010"/>
      <c r="AF30" s="1010"/>
    </row>
    <row r="31" spans="1:32" ht="18">
      <c r="A31" s="2256"/>
      <c r="B31" s="2256"/>
      <c r="C31" s="2256"/>
      <c r="D31" s="2256"/>
      <c r="E31" s="2256"/>
      <c r="F31" s="2256"/>
      <c r="G31" s="2256"/>
      <c r="H31" s="2256"/>
      <c r="I31" s="2256"/>
      <c r="J31" s="2256"/>
      <c r="K31" s="2256"/>
      <c r="L31" s="2256"/>
      <c r="M31" s="2256"/>
      <c r="N31" s="2257"/>
      <c r="P31" s="1010"/>
      <c r="Q31" s="1010"/>
      <c r="R31" s="1010"/>
      <c r="S31" s="1010"/>
      <c r="T31" s="1010"/>
      <c r="U31" s="1010"/>
      <c r="V31" s="1010"/>
      <c r="W31" s="1010"/>
      <c r="X31" s="1010"/>
      <c r="Y31" s="1010"/>
      <c r="Z31" s="1010"/>
      <c r="AA31" s="1010"/>
      <c r="AB31" s="1010"/>
      <c r="AC31" s="1010"/>
      <c r="AD31" s="1010"/>
      <c r="AE31" s="1010"/>
      <c r="AF31" s="1010"/>
    </row>
  </sheetData>
  <mergeCells count="20">
    <mergeCell ref="A24:N24"/>
    <mergeCell ref="A26:N27"/>
    <mergeCell ref="A29:N29"/>
    <mergeCell ref="A31:N31"/>
    <mergeCell ref="A10:B10"/>
    <mergeCell ref="A11:B11"/>
    <mergeCell ref="A12:B12"/>
    <mergeCell ref="A13:B13"/>
    <mergeCell ref="A16:N16"/>
    <mergeCell ref="A22:N22"/>
    <mergeCell ref="A1:N1"/>
    <mergeCell ref="A3:N3"/>
    <mergeCell ref="A4:N4"/>
    <mergeCell ref="A5:N5"/>
    <mergeCell ref="A6:N6"/>
    <mergeCell ref="A8:B9"/>
    <mergeCell ref="C8:E8"/>
    <mergeCell ref="F8:H8"/>
    <mergeCell ref="I8:K8"/>
    <mergeCell ref="L8:N8"/>
  </mergeCells>
  <printOptions horizontalCentered="1"/>
  <pageMargins left="0.5" right="0.4" top="0.5" bottom="0.25" header="0" footer="0"/>
  <pageSetup scale="79" firstPageNumber="8" fitToHeight="0" orientation="landscape" useFirstPageNumber="1" r:id="rId1"/>
  <headerFooter alignWithMargins="0">
    <oddFooter>&amp;C&amp;"Times New Roman,Regular"Exhibit H - Summary of Reimbursable Resources&amp;R&amp;"Times New Roman,Regular"Juvenile Justice Programs</oddFooter>
  </headerFooter>
</worksheet>
</file>

<file path=xl/worksheets/sheet44.xml><?xml version="1.0" encoding="utf-8"?>
<worksheet xmlns="http://schemas.openxmlformats.org/spreadsheetml/2006/main" xmlns:r="http://schemas.openxmlformats.org/officeDocument/2006/relationships">
  <dimension ref="A1:AD31"/>
  <sheetViews>
    <sheetView view="pageBreakPreview" topLeftCell="C1" zoomScale="55" zoomScaleNormal="100" zoomScaleSheetLayoutView="55" workbookViewId="0">
      <selection activeCell="L11" sqref="L11:M11"/>
    </sheetView>
  </sheetViews>
  <sheetFormatPr defaultRowHeight="15"/>
  <cols>
    <col min="1" max="1" width="57.44140625" style="949" customWidth="1"/>
    <col min="2" max="2" width="6.21875" style="949" customWidth="1"/>
    <col min="3" max="3" width="18.44140625" style="820" customWidth="1"/>
    <col min="4" max="4" width="6.21875" style="949" customWidth="1"/>
    <col min="5" max="5" width="17.21875" style="820" customWidth="1"/>
    <col min="6" max="6" width="6.21875" style="949" customWidth="1"/>
    <col min="7" max="7" width="14" style="820" customWidth="1"/>
    <col min="8" max="8" width="6.21875" style="949" customWidth="1"/>
    <col min="9" max="9" width="14.21875" style="820" customWidth="1"/>
    <col min="10" max="10" width="6.21875" style="949" customWidth="1"/>
    <col min="11" max="11" width="12.77734375" style="820" customWidth="1"/>
    <col min="12" max="12" width="6.21875" style="949" customWidth="1"/>
    <col min="13" max="13" width="12.77734375" style="820" customWidth="1"/>
    <col min="14" max="14" width="10.5546875" style="949" bestFit="1" customWidth="1"/>
    <col min="15" max="15" width="9.88671875" style="820" customWidth="1"/>
    <col min="16" max="16" width="9.33203125" style="992" customWidth="1"/>
    <col min="17" max="16384" width="8.88671875" style="949"/>
  </cols>
  <sheetData>
    <row r="1" spans="1:16" ht="20.25">
      <c r="A1" s="1464" t="s">
        <v>29</v>
      </c>
      <c r="B1" s="1465"/>
      <c r="C1" s="956"/>
      <c r="D1" s="1465"/>
      <c r="E1" s="956"/>
      <c r="F1" s="1465"/>
      <c r="G1" s="956"/>
      <c r="H1" s="1465"/>
      <c r="I1" s="956"/>
      <c r="J1" s="1465"/>
      <c r="K1" s="956"/>
      <c r="L1" s="1465"/>
      <c r="M1" s="956"/>
      <c r="N1" s="1465"/>
      <c r="O1" s="956"/>
      <c r="P1" s="957" t="s">
        <v>0</v>
      </c>
    </row>
    <row r="2" spans="1:16" ht="13.15" customHeight="1">
      <c r="A2" s="2464"/>
      <c r="B2" s="2464"/>
      <c r="C2" s="2464"/>
      <c r="D2" s="2464"/>
      <c r="E2" s="2464"/>
      <c r="F2" s="2464"/>
      <c r="G2" s="2464"/>
      <c r="H2" s="2464"/>
      <c r="I2" s="2464"/>
      <c r="J2" s="2464"/>
      <c r="K2" s="2464"/>
      <c r="L2" s="2464"/>
      <c r="M2" s="2464"/>
      <c r="N2" s="2464"/>
      <c r="O2" s="2464"/>
      <c r="P2" s="957" t="s">
        <v>0</v>
      </c>
    </row>
    <row r="3" spans="1:16" ht="18.75">
      <c r="A3" s="2298" t="s">
        <v>4</v>
      </c>
      <c r="B3" s="2298"/>
      <c r="C3" s="2298"/>
      <c r="D3" s="2298"/>
      <c r="E3" s="2298"/>
      <c r="F3" s="2298"/>
      <c r="G3" s="2298"/>
      <c r="H3" s="2298"/>
      <c r="I3" s="2298"/>
      <c r="J3" s="2298"/>
      <c r="K3" s="2298"/>
      <c r="L3" s="2298"/>
      <c r="M3" s="2298"/>
      <c r="N3" s="2298"/>
      <c r="O3" s="2298"/>
      <c r="P3" s="957" t="s">
        <v>0</v>
      </c>
    </row>
    <row r="4" spans="1:16" ht="16.5">
      <c r="A4" s="2299" t="str">
        <f>+'B. Summ of Reqs - JJ'!A6</f>
        <v>Office of Justice Programs</v>
      </c>
      <c r="B4" s="2299"/>
      <c r="C4" s="2299"/>
      <c r="D4" s="2299"/>
      <c r="E4" s="2299"/>
      <c r="F4" s="2299"/>
      <c r="G4" s="2299"/>
      <c r="H4" s="2299"/>
      <c r="I4" s="2299"/>
      <c r="J4" s="2299"/>
      <c r="K4" s="2299"/>
      <c r="L4" s="2299"/>
      <c r="M4" s="2299"/>
      <c r="N4" s="2299"/>
      <c r="O4" s="2299"/>
      <c r="P4" s="957" t="s">
        <v>0</v>
      </c>
    </row>
    <row r="5" spans="1:16" ht="16.5">
      <c r="A5" s="2299" t="str">
        <f>+'B. Summ of Reqs - JJ'!A7</f>
        <v>Juvenile Justice Programs</v>
      </c>
      <c r="B5" s="2299"/>
      <c r="C5" s="2299"/>
      <c r="D5" s="2299"/>
      <c r="E5" s="2299"/>
      <c r="F5" s="2299"/>
      <c r="G5" s="2299"/>
      <c r="H5" s="2299"/>
      <c r="I5" s="2299"/>
      <c r="J5" s="2299"/>
      <c r="K5" s="2299"/>
      <c r="L5" s="2299"/>
      <c r="M5" s="2299"/>
      <c r="N5" s="2299"/>
      <c r="O5" s="2299"/>
      <c r="P5" s="957" t="s">
        <v>0</v>
      </c>
    </row>
    <row r="6" spans="1:16">
      <c r="A6" s="2294" t="s">
        <v>257</v>
      </c>
      <c r="B6" s="2294"/>
      <c r="C6" s="2294"/>
      <c r="D6" s="2294"/>
      <c r="E6" s="2294"/>
      <c r="F6" s="2294"/>
      <c r="G6" s="2294"/>
      <c r="H6" s="2294"/>
      <c r="I6" s="2294"/>
      <c r="J6" s="2294"/>
      <c r="K6" s="2294"/>
      <c r="L6" s="2294"/>
      <c r="M6" s="2294"/>
      <c r="N6" s="2294"/>
      <c r="O6" s="2294"/>
      <c r="P6" s="957" t="s">
        <v>0</v>
      </c>
    </row>
    <row r="7" spans="1:16">
      <c r="A7" s="1466"/>
      <c r="B7" s="1466"/>
      <c r="C7" s="1466"/>
      <c r="D7" s="1466"/>
      <c r="E7" s="1466"/>
      <c r="F7" s="1466"/>
      <c r="G7" s="1466"/>
      <c r="H7" s="1466"/>
      <c r="I7" s="1466"/>
      <c r="J7" s="1466"/>
      <c r="K7" s="1466"/>
      <c r="L7" s="1466"/>
      <c r="M7" s="1466"/>
      <c r="N7" s="1466"/>
      <c r="O7" s="1466"/>
      <c r="P7" s="957" t="s">
        <v>0</v>
      </c>
    </row>
    <row r="8" spans="1:16">
      <c r="A8" s="2504"/>
      <c r="B8" s="2504"/>
      <c r="C8" s="2504"/>
      <c r="D8" s="2504"/>
      <c r="E8" s="2504"/>
      <c r="F8" s="2504"/>
      <c r="G8" s="2504"/>
      <c r="H8" s="2504"/>
      <c r="I8" s="2504"/>
      <c r="J8" s="2504"/>
      <c r="K8" s="2504"/>
      <c r="L8" s="2504"/>
      <c r="M8" s="2504"/>
      <c r="N8" s="2504"/>
      <c r="O8" s="2504"/>
      <c r="P8" s="957" t="s">
        <v>0</v>
      </c>
    </row>
    <row r="9" spans="1:16" ht="27" customHeight="1">
      <c r="A9" s="2507"/>
      <c r="B9" s="2286" t="s">
        <v>658</v>
      </c>
      <c r="C9" s="2287"/>
      <c r="D9" s="2287"/>
      <c r="E9" s="2287"/>
      <c r="F9" s="2287"/>
      <c r="G9" s="2287"/>
      <c r="H9" s="2287"/>
      <c r="I9" s="2287"/>
      <c r="J9" s="2287"/>
      <c r="K9" s="2287"/>
      <c r="L9" s="2287"/>
      <c r="M9" s="2287"/>
      <c r="N9" s="2287"/>
      <c r="O9" s="2510"/>
      <c r="P9" s="957" t="s">
        <v>0</v>
      </c>
    </row>
    <row r="10" spans="1:16" ht="36" customHeight="1">
      <c r="A10" s="2508"/>
      <c r="B10" s="2511" t="s">
        <v>469</v>
      </c>
      <c r="C10" s="2512"/>
      <c r="D10" s="2513" t="s">
        <v>469</v>
      </c>
      <c r="E10" s="2513"/>
      <c r="F10" s="2513" t="s">
        <v>469</v>
      </c>
      <c r="G10" s="2513"/>
      <c r="H10" s="2502" t="s">
        <v>469</v>
      </c>
      <c r="I10" s="2503"/>
      <c r="J10" s="2514" t="s">
        <v>5</v>
      </c>
      <c r="K10" s="2515"/>
      <c r="L10" s="2514" t="s">
        <v>5</v>
      </c>
      <c r="M10" s="2515"/>
      <c r="N10" s="2514" t="s">
        <v>5</v>
      </c>
      <c r="O10" s="2515"/>
      <c r="P10" s="957" t="s">
        <v>0</v>
      </c>
    </row>
    <row r="11" spans="1:16" ht="98.25" customHeight="1">
      <c r="A11" s="2508"/>
      <c r="B11" s="2516" t="s">
        <v>679</v>
      </c>
      <c r="C11" s="2517"/>
      <c r="D11" s="2516" t="s">
        <v>638</v>
      </c>
      <c r="E11" s="2517"/>
      <c r="F11" s="2518" t="s">
        <v>639</v>
      </c>
      <c r="G11" s="2510"/>
      <c r="H11" s="2502" t="s">
        <v>640</v>
      </c>
      <c r="I11" s="2503"/>
      <c r="J11" s="2264" t="s">
        <v>680</v>
      </c>
      <c r="K11" s="2265"/>
      <c r="L11" s="2502" t="s">
        <v>642</v>
      </c>
      <c r="M11" s="2503"/>
      <c r="N11" s="2506" t="s">
        <v>643</v>
      </c>
      <c r="O11" s="2293"/>
      <c r="P11" s="957" t="s">
        <v>0</v>
      </c>
    </row>
    <row r="12" spans="1:16" ht="36" customHeight="1">
      <c r="A12" s="2509"/>
      <c r="B12" s="1467" t="s">
        <v>277</v>
      </c>
      <c r="C12" s="1468" t="s">
        <v>255</v>
      </c>
      <c r="D12" s="1469" t="s">
        <v>277</v>
      </c>
      <c r="E12" s="1470" t="s">
        <v>255</v>
      </c>
      <c r="F12" s="1467" t="s">
        <v>277</v>
      </c>
      <c r="G12" s="1471" t="s">
        <v>255</v>
      </c>
      <c r="H12" s="1472" t="s">
        <v>277</v>
      </c>
      <c r="I12" s="1470" t="s">
        <v>255</v>
      </c>
      <c r="J12" s="1467" t="s">
        <v>277</v>
      </c>
      <c r="K12" s="1471" t="s">
        <v>255</v>
      </c>
      <c r="L12" s="1473" t="s">
        <v>277</v>
      </c>
      <c r="M12" s="1470" t="s">
        <v>255</v>
      </c>
      <c r="N12" s="1474" t="s">
        <v>277</v>
      </c>
      <c r="O12" s="1475" t="s">
        <v>255</v>
      </c>
      <c r="P12" s="957" t="s">
        <v>0</v>
      </c>
    </row>
    <row r="13" spans="1:16" ht="27" customHeight="1">
      <c r="A13" s="1476" t="s">
        <v>472</v>
      </c>
      <c r="B13" s="970"/>
      <c r="C13" s="972">
        <v>120000</v>
      </c>
      <c r="D13" s="1477"/>
      <c r="E13" s="1478">
        <v>5000</v>
      </c>
      <c r="F13" s="1477"/>
      <c r="G13" s="973">
        <v>12000</v>
      </c>
      <c r="H13" s="970"/>
      <c r="I13" s="972">
        <v>6000</v>
      </c>
      <c r="J13" s="1477"/>
      <c r="K13" s="1478">
        <v>-55000</v>
      </c>
      <c r="L13" s="1477"/>
      <c r="M13" s="973">
        <v>-75000</v>
      </c>
      <c r="N13" s="1479"/>
      <c r="O13" s="1478">
        <v>-5000</v>
      </c>
      <c r="P13" s="957" t="s">
        <v>0</v>
      </c>
    </row>
    <row r="14" spans="1:16" ht="26.25" customHeight="1">
      <c r="A14" s="1480" t="s">
        <v>272</v>
      </c>
      <c r="B14" s="1481"/>
      <c r="C14" s="1482">
        <f>SUM(C13)</f>
        <v>120000</v>
      </c>
      <c r="D14" s="1483"/>
      <c r="E14" s="1482">
        <f>SUM(E13)</f>
        <v>5000</v>
      </c>
      <c r="F14" s="1483"/>
      <c r="G14" s="1484">
        <f>SUM(G13)</f>
        <v>12000</v>
      </c>
      <c r="H14" s="1481"/>
      <c r="I14" s="1482">
        <f>SUM(I13)</f>
        <v>6000</v>
      </c>
      <c r="J14" s="1485"/>
      <c r="K14" s="1482">
        <f>SUM(K13)</f>
        <v>-55000</v>
      </c>
      <c r="L14" s="1485"/>
      <c r="M14" s="1484">
        <f>SUM(M13)</f>
        <v>-75000</v>
      </c>
      <c r="N14" s="1486"/>
      <c r="O14" s="1487">
        <f>SUM(O13)</f>
        <v>-5000</v>
      </c>
      <c r="P14" s="957" t="s">
        <v>0</v>
      </c>
    </row>
    <row r="15" spans="1:16" ht="37.5" customHeight="1">
      <c r="A15" s="1488"/>
      <c r="B15" s="1704"/>
      <c r="C15" s="1682"/>
      <c r="D15" s="1705"/>
      <c r="E15" s="1682"/>
      <c r="F15" s="1705"/>
      <c r="G15" s="1682"/>
      <c r="H15" s="1705"/>
      <c r="I15" s="1682"/>
      <c r="J15" s="1703"/>
      <c r="K15" s="1682"/>
      <c r="L15" s="1703"/>
      <c r="M15" s="1682"/>
      <c r="N15" s="1703"/>
      <c r="O15" s="1682"/>
      <c r="P15" s="957" t="s">
        <v>0</v>
      </c>
    </row>
    <row r="16" spans="1:16" ht="25.5" customHeight="1">
      <c r="A16" s="1492"/>
      <c r="B16" s="2505" t="s">
        <v>658</v>
      </c>
      <c r="C16" s="2505"/>
      <c r="D16" s="2505"/>
      <c r="E16" s="2505"/>
      <c r="F16" s="2505"/>
      <c r="G16" s="2505"/>
      <c r="H16" s="2505"/>
      <c r="I16" s="2505"/>
      <c r="J16" s="2505"/>
      <c r="K16" s="2505"/>
      <c r="L16" s="1493"/>
      <c r="M16" s="1494"/>
      <c r="N16" s="1493"/>
      <c r="O16" s="1494"/>
      <c r="P16" s="957" t="s">
        <v>0</v>
      </c>
    </row>
    <row r="17" spans="1:30" ht="25.5" customHeight="1">
      <c r="A17" s="2519"/>
      <c r="B17" s="2516" t="s">
        <v>5</v>
      </c>
      <c r="C17" s="2521"/>
      <c r="D17" s="2522" t="s">
        <v>5</v>
      </c>
      <c r="E17" s="2522"/>
      <c r="F17" s="2523" t="s">
        <v>5</v>
      </c>
      <c r="G17" s="2522"/>
      <c r="H17" s="2513" t="s">
        <v>5</v>
      </c>
      <c r="I17" s="2513"/>
      <c r="J17" s="2524" t="s">
        <v>105</v>
      </c>
      <c r="K17" s="2525"/>
      <c r="M17" s="949"/>
      <c r="O17" s="949"/>
      <c r="P17" s="957" t="s">
        <v>0</v>
      </c>
    </row>
    <row r="18" spans="1:30" ht="118.5" customHeight="1">
      <c r="A18" s="2508"/>
      <c r="B18" s="2502" t="s">
        <v>644</v>
      </c>
      <c r="C18" s="2503"/>
      <c r="D18" s="2502" t="s">
        <v>645</v>
      </c>
      <c r="E18" s="2503"/>
      <c r="F18" s="2264" t="s">
        <v>672</v>
      </c>
      <c r="G18" s="2528"/>
      <c r="H18" s="2264" t="s">
        <v>660</v>
      </c>
      <c r="I18" s="2528"/>
      <c r="J18" s="2526"/>
      <c r="K18" s="2527"/>
      <c r="M18" s="949"/>
      <c r="O18" s="949"/>
      <c r="P18" s="957" t="s">
        <v>0</v>
      </c>
    </row>
    <row r="19" spans="1:30" ht="16.5" thickBot="1">
      <c r="A19" s="2520"/>
      <c r="B19" s="1467" t="s">
        <v>277</v>
      </c>
      <c r="C19" s="1468" t="s">
        <v>255</v>
      </c>
      <c r="D19" s="1473" t="s">
        <v>277</v>
      </c>
      <c r="E19" s="1470" t="s">
        <v>255</v>
      </c>
      <c r="F19" s="1467" t="s">
        <v>277</v>
      </c>
      <c r="G19" s="1471" t="s">
        <v>255</v>
      </c>
      <c r="H19" s="1490" t="s">
        <v>277</v>
      </c>
      <c r="I19" s="1495" t="s">
        <v>279</v>
      </c>
      <c r="J19" s="1490" t="s">
        <v>277</v>
      </c>
      <c r="K19" s="1495" t="s">
        <v>279</v>
      </c>
      <c r="M19" s="949"/>
      <c r="O19" s="949"/>
      <c r="P19" s="957" t="s">
        <v>0</v>
      </c>
    </row>
    <row r="20" spans="1:30" ht="27" customHeight="1">
      <c r="A20" s="1476" t="s">
        <v>681</v>
      </c>
      <c r="B20" s="980"/>
      <c r="C20" s="971">
        <v>-3000</v>
      </c>
      <c r="D20" s="965"/>
      <c r="E20" s="971">
        <v>-2500</v>
      </c>
      <c r="F20" s="965"/>
      <c r="G20" s="971">
        <v>-55000</v>
      </c>
      <c r="H20" s="970"/>
      <c r="I20" s="1478">
        <v>-91095</v>
      </c>
      <c r="J20" s="970"/>
      <c r="K20" s="1478">
        <f>SUM(C13+E13+G13+I13+K13+M13+O13+C20+E20+G20+I20)</f>
        <v>-143595</v>
      </c>
      <c r="M20" s="949"/>
      <c r="O20" s="949"/>
      <c r="P20" s="957" t="s">
        <v>0</v>
      </c>
    </row>
    <row r="21" spans="1:30" ht="27.75" customHeight="1" thickBot="1">
      <c r="A21" s="1496" t="s">
        <v>272</v>
      </c>
      <c r="B21" s="1497"/>
      <c r="C21" s="1498">
        <f>SUM(C20)</f>
        <v>-3000</v>
      </c>
      <c r="D21" s="1489"/>
      <c r="E21" s="1498">
        <f>SUM(E20)</f>
        <v>-2500</v>
      </c>
      <c r="F21" s="1489"/>
      <c r="G21" s="1499">
        <f>SUM(G20)</f>
        <v>-55000</v>
      </c>
      <c r="H21" s="1490"/>
      <c r="I21" s="1500">
        <f>SUM(I20)</f>
        <v>-91095</v>
      </c>
      <c r="J21" s="1490"/>
      <c r="K21" s="1491">
        <f>+K20</f>
        <v>-143595</v>
      </c>
      <c r="M21" s="949"/>
      <c r="O21" s="949"/>
      <c r="P21" s="957" t="s">
        <v>0</v>
      </c>
    </row>
    <row r="22" spans="1:30" ht="37.5" customHeight="1" thickBot="1">
      <c r="A22" s="1501"/>
      <c r="B22" s="1502"/>
      <c r="C22" s="1502"/>
      <c r="D22" s="1502"/>
      <c r="E22" s="1502"/>
      <c r="F22" s="1502"/>
      <c r="G22" s="1502"/>
      <c r="H22" s="1502"/>
      <c r="I22" s="1502"/>
      <c r="J22" s="1502"/>
      <c r="K22" s="949"/>
      <c r="M22" s="949"/>
      <c r="O22" s="949"/>
      <c r="P22" s="1503" t="s">
        <v>24</v>
      </c>
    </row>
    <row r="23" spans="1:30">
      <c r="A23" s="1371"/>
      <c r="B23" s="1371"/>
      <c r="C23" s="1372"/>
      <c r="D23" s="1371"/>
      <c r="E23" s="1372"/>
      <c r="F23" s="1371"/>
      <c r="G23" s="1372"/>
      <c r="H23" s="1371"/>
      <c r="I23" s="1372"/>
      <c r="J23" s="1371"/>
      <c r="K23" s="1372"/>
      <c r="L23" s="1371"/>
      <c r="M23" s="1372"/>
      <c r="N23" s="1501"/>
      <c r="O23" s="1504"/>
      <c r="P23" s="1370"/>
      <c r="Q23" s="978"/>
      <c r="R23" s="978"/>
      <c r="S23" s="978"/>
      <c r="T23" s="978"/>
      <c r="U23" s="978"/>
      <c r="V23" s="978"/>
      <c r="W23" s="978"/>
      <c r="X23" s="978"/>
      <c r="Y23" s="978"/>
      <c r="Z23" s="978"/>
      <c r="AA23" s="978"/>
      <c r="AB23" s="978"/>
      <c r="AC23" s="978"/>
      <c r="AD23" s="978"/>
    </row>
    <row r="24" spans="1:30">
      <c r="N24" s="1371"/>
      <c r="O24" s="1372"/>
      <c r="P24" s="1373"/>
      <c r="Q24" s="978"/>
      <c r="R24" s="978"/>
      <c r="S24" s="978"/>
      <c r="T24" s="978"/>
      <c r="U24" s="978"/>
      <c r="V24" s="978"/>
      <c r="W24" s="978"/>
      <c r="X24" s="978"/>
      <c r="Y24" s="978"/>
      <c r="Z24" s="978"/>
      <c r="AA24" s="978"/>
      <c r="AB24" s="978"/>
      <c r="AC24" s="978"/>
      <c r="AD24" s="978"/>
    </row>
    <row r="25" spans="1:30" ht="18.75">
      <c r="A25" s="993"/>
      <c r="B25" s="993"/>
      <c r="C25" s="993"/>
      <c r="D25" s="993"/>
      <c r="E25" s="993"/>
      <c r="F25" s="993"/>
      <c r="G25" s="993"/>
      <c r="H25" s="993"/>
      <c r="I25" s="990"/>
      <c r="J25" s="991"/>
      <c r="K25" s="990"/>
      <c r="L25" s="991"/>
      <c r="M25" s="990"/>
    </row>
    <row r="26" spans="1:30" ht="18.75">
      <c r="A26" s="993"/>
      <c r="B26" s="993"/>
      <c r="C26" s="993"/>
      <c r="D26" s="993"/>
      <c r="E26" s="993"/>
      <c r="F26" s="993"/>
      <c r="G26" s="993"/>
      <c r="H26" s="993"/>
      <c r="I26" s="990"/>
      <c r="J26" s="991"/>
      <c r="K26" s="990"/>
      <c r="L26" s="991"/>
      <c r="M26" s="990"/>
      <c r="N26" s="991"/>
      <c r="O26" s="990"/>
    </row>
    <row r="27" spans="1:30" ht="18.75">
      <c r="A27" s="1073"/>
      <c r="B27" s="1073"/>
      <c r="C27" s="1073"/>
      <c r="D27" s="1073"/>
      <c r="E27" s="1073"/>
      <c r="F27" s="1073"/>
      <c r="G27" s="1073"/>
      <c r="H27" s="1073"/>
      <c r="I27" s="994"/>
      <c r="J27" s="995"/>
      <c r="K27" s="994"/>
      <c r="L27" s="995"/>
      <c r="M27" s="994"/>
      <c r="N27" s="991"/>
      <c r="O27" s="990"/>
    </row>
    <row r="28" spans="1:30" ht="141.75" customHeight="1">
      <c r="N28" s="995"/>
      <c r="O28" s="994"/>
    </row>
    <row r="31" spans="1:30">
      <c r="O31" s="996"/>
    </row>
  </sheetData>
  <mergeCells count="33">
    <mergeCell ref="J17:K18"/>
    <mergeCell ref="B18:C18"/>
    <mergeCell ref="D18:E18"/>
    <mergeCell ref="F18:G18"/>
    <mergeCell ref="H18:I18"/>
    <mergeCell ref="A17:A19"/>
    <mergeCell ref="B17:C17"/>
    <mergeCell ref="D17:E17"/>
    <mergeCell ref="F17:G17"/>
    <mergeCell ref="H17:I17"/>
    <mergeCell ref="B16:K16"/>
    <mergeCell ref="N11:O11"/>
    <mergeCell ref="A9:A12"/>
    <mergeCell ref="B9:O9"/>
    <mergeCell ref="B10:C10"/>
    <mergeCell ref="D10:E10"/>
    <mergeCell ref="F10:G10"/>
    <mergeCell ref="H10:I10"/>
    <mergeCell ref="J10:K10"/>
    <mergeCell ref="L10:M10"/>
    <mergeCell ref="N10:O10"/>
    <mergeCell ref="B11:C11"/>
    <mergeCell ref="D11:E11"/>
    <mergeCell ref="F11:G11"/>
    <mergeCell ref="H11:I11"/>
    <mergeCell ref="J11:K11"/>
    <mergeCell ref="L11:M11"/>
    <mergeCell ref="A8:O8"/>
    <mergeCell ref="A2:O2"/>
    <mergeCell ref="A3:O3"/>
    <mergeCell ref="A4:O4"/>
    <mergeCell ref="A5:O5"/>
    <mergeCell ref="A6:O6"/>
  </mergeCells>
  <printOptions horizontalCentered="1"/>
  <pageMargins left="0.5" right="0.4" top="0.5" bottom="0.25" header="0" footer="0"/>
  <pageSetup scale="52" firstPageNumber="8" fitToHeight="0" orientation="landscape" useFirstPageNumber="1" r:id="rId1"/>
  <headerFooter alignWithMargins="0">
    <oddFooter>&amp;C&amp;"Times New Roman,Regular"Exhibit J - Financial Analysis of Program Changes&amp;R&amp;"Times New Roman,Regular"Juvenile Justice Programs</oddFooter>
  </headerFooter>
</worksheet>
</file>

<file path=xl/worksheets/sheet45.xml><?xml version="1.0" encoding="utf-8"?>
<worksheet xmlns="http://schemas.openxmlformats.org/spreadsheetml/2006/main" xmlns:r="http://schemas.openxmlformats.org/officeDocument/2006/relationships">
  <dimension ref="A1:O205"/>
  <sheetViews>
    <sheetView view="pageBreakPreview" zoomScale="75" zoomScaleNormal="100" zoomScaleSheetLayoutView="75" workbookViewId="0">
      <selection activeCell="A8" sqref="A8:A10"/>
    </sheetView>
  </sheetViews>
  <sheetFormatPr defaultRowHeight="15.75"/>
  <cols>
    <col min="1" max="1" width="62.6640625" style="1020" customWidth="1"/>
    <col min="2" max="2" width="8.88671875" style="1020"/>
    <col min="3" max="3" width="10.109375" style="1020" customWidth="1"/>
    <col min="4" max="4" width="8.88671875" style="1020"/>
    <col min="5" max="5" width="10.6640625" style="1020" customWidth="1"/>
    <col min="6" max="6" width="8.88671875" style="1020"/>
    <col min="7" max="7" width="10.5546875" style="1020" bestFit="1" customWidth="1"/>
    <col min="8" max="8" width="8.88671875" style="1020"/>
    <col min="9" max="9" width="10.33203125" style="1020" customWidth="1"/>
    <col min="10" max="12" width="0" style="1020" hidden="1" customWidth="1"/>
    <col min="13" max="13" width="5.109375" style="1069" customWidth="1"/>
    <col min="14" max="14" width="8.88671875" style="949"/>
    <col min="15" max="16384" width="8.88671875" style="1020"/>
  </cols>
  <sheetData>
    <row r="1" spans="1:13" ht="19.149999999999999" customHeight="1">
      <c r="A1" s="2061" t="s">
        <v>236</v>
      </c>
      <c r="B1" s="2295"/>
      <c r="C1" s="2295"/>
      <c r="D1" s="2295"/>
      <c r="E1" s="2295"/>
      <c r="F1" s="2295"/>
      <c r="G1" s="2295"/>
      <c r="H1" s="2295"/>
      <c r="I1" s="2295"/>
      <c r="M1" s="1021" t="s">
        <v>0</v>
      </c>
    </row>
    <row r="2" spans="1:13" ht="19.149999999999999" customHeight="1">
      <c r="A2" s="2296"/>
      <c r="B2" s="2297"/>
      <c r="C2" s="2297"/>
      <c r="D2" s="2297"/>
      <c r="E2" s="2297"/>
      <c r="F2" s="2297"/>
      <c r="G2" s="2297"/>
      <c r="H2" s="2297"/>
      <c r="I2" s="2297"/>
      <c r="M2" s="1021" t="s">
        <v>0</v>
      </c>
    </row>
    <row r="3" spans="1:13" ht="18.75">
      <c r="A3" s="2298" t="s">
        <v>102</v>
      </c>
      <c r="B3" s="2295"/>
      <c r="C3" s="2295"/>
      <c r="D3" s="2295"/>
      <c r="E3" s="2295"/>
      <c r="F3" s="2295"/>
      <c r="G3" s="2295"/>
      <c r="H3" s="2295"/>
      <c r="I3" s="2295"/>
      <c r="M3" s="1021" t="s">
        <v>0</v>
      </c>
    </row>
    <row r="4" spans="1:13" ht="16.5">
      <c r="A4" s="2299" t="str">
        <f>+'B. Summ of Reqs - JJ'!A6</f>
        <v>Office of Justice Programs</v>
      </c>
      <c r="B4" s="2295"/>
      <c r="C4" s="2295"/>
      <c r="D4" s="2295"/>
      <c r="E4" s="2295"/>
      <c r="F4" s="2295"/>
      <c r="G4" s="2295"/>
      <c r="H4" s="2295"/>
      <c r="I4" s="2295"/>
      <c r="M4" s="1021" t="s">
        <v>0</v>
      </c>
    </row>
    <row r="5" spans="1:13" ht="16.5">
      <c r="A5" s="2299" t="str">
        <f>+'B. Summ of Reqs - JJ'!A7</f>
        <v>Juvenile Justice Programs</v>
      </c>
      <c r="B5" s="2295"/>
      <c r="C5" s="2295"/>
      <c r="D5" s="2295"/>
      <c r="E5" s="2295"/>
      <c r="F5" s="2295"/>
      <c r="G5" s="2295"/>
      <c r="H5" s="2295"/>
      <c r="I5" s="2295"/>
      <c r="M5" s="1021" t="s">
        <v>0</v>
      </c>
    </row>
    <row r="6" spans="1:13">
      <c r="A6" s="2294" t="s">
        <v>257</v>
      </c>
      <c r="B6" s="2295"/>
      <c r="C6" s="2295"/>
      <c r="D6" s="2295"/>
      <c r="E6" s="2295"/>
      <c r="F6" s="2295"/>
      <c r="G6" s="2295"/>
      <c r="H6" s="2295"/>
      <c r="I6" s="2295"/>
      <c r="M6" s="1021" t="s">
        <v>0</v>
      </c>
    </row>
    <row r="7" spans="1:13" ht="11.25" customHeight="1">
      <c r="A7" s="2213"/>
      <c r="B7" s="2213"/>
      <c r="C7" s="2213"/>
      <c r="D7" s="2213"/>
      <c r="E7" s="2213"/>
      <c r="F7" s="2213"/>
      <c r="G7" s="2213"/>
      <c r="H7" s="2213"/>
      <c r="I7" s="2213"/>
      <c r="M7" s="1021" t="s">
        <v>0</v>
      </c>
    </row>
    <row r="8" spans="1:13" ht="44.25" customHeight="1">
      <c r="A8" s="2302" t="s">
        <v>99</v>
      </c>
      <c r="B8" s="2304" t="s">
        <v>808</v>
      </c>
      <c r="C8" s="2305"/>
      <c r="D8" s="2306" t="s">
        <v>330</v>
      </c>
      <c r="E8" s="2307"/>
      <c r="F8" s="2308" t="s">
        <v>42</v>
      </c>
      <c r="G8" s="2309"/>
      <c r="H8" s="2304" t="s">
        <v>811</v>
      </c>
      <c r="I8" s="2530"/>
      <c r="J8" s="684"/>
      <c r="M8" s="1021" t="s">
        <v>0</v>
      </c>
    </row>
    <row r="9" spans="1:13" ht="44.25" customHeight="1">
      <c r="A9" s="2529"/>
      <c r="B9" s="1505"/>
      <c r="C9" s="1506"/>
      <c r="D9" s="1507"/>
      <c r="E9" s="1508"/>
      <c r="F9" s="1509"/>
      <c r="G9" s="1510"/>
      <c r="H9" s="1509"/>
      <c r="I9" s="1511"/>
      <c r="J9" s="684"/>
      <c r="M9" s="1021" t="s">
        <v>0</v>
      </c>
    </row>
    <row r="10" spans="1:13" ht="25.5" customHeight="1" thickBot="1">
      <c r="A10" s="2303"/>
      <c r="B10" s="1022" t="s">
        <v>49</v>
      </c>
      <c r="C10" s="1023" t="s">
        <v>279</v>
      </c>
      <c r="D10" s="1022" t="s">
        <v>49</v>
      </c>
      <c r="E10" s="1023" t="s">
        <v>279</v>
      </c>
      <c r="F10" s="1022" t="s">
        <v>49</v>
      </c>
      <c r="G10" s="1023" t="s">
        <v>279</v>
      </c>
      <c r="H10" s="1022" t="s">
        <v>49</v>
      </c>
      <c r="I10" s="1024" t="s">
        <v>279</v>
      </c>
      <c r="J10" s="684"/>
      <c r="M10" s="1021" t="s">
        <v>0</v>
      </c>
    </row>
    <row r="11" spans="1:13">
      <c r="A11" s="1025" t="s">
        <v>15</v>
      </c>
      <c r="B11" s="1026"/>
      <c r="C11" s="1027"/>
      <c r="D11" s="1026"/>
      <c r="E11" s="1027"/>
      <c r="F11" s="1026"/>
      <c r="G11" s="1027"/>
      <c r="H11" s="1026"/>
      <c r="I11" s="1028"/>
      <c r="J11" s="684"/>
      <c r="M11" s="1021" t="s">
        <v>0</v>
      </c>
    </row>
    <row r="12" spans="1:13">
      <c r="A12" s="1029" t="s">
        <v>71</v>
      </c>
      <c r="B12" s="1026"/>
      <c r="C12" s="1030"/>
      <c r="D12" s="1026"/>
      <c r="E12" s="1030"/>
      <c r="F12" s="1026"/>
      <c r="G12" s="1030"/>
      <c r="H12" s="1026"/>
      <c r="I12" s="1031"/>
      <c r="J12" s="1032" t="s">
        <v>47</v>
      </c>
      <c r="K12" s="1020" t="s">
        <v>48</v>
      </c>
      <c r="M12" s="1021" t="s">
        <v>0</v>
      </c>
    </row>
    <row r="13" spans="1:13">
      <c r="A13" s="1029" t="s">
        <v>56</v>
      </c>
      <c r="B13" s="1033"/>
      <c r="C13" s="1030"/>
      <c r="D13" s="1033"/>
      <c r="E13" s="1030"/>
      <c r="F13" s="1033"/>
      <c r="G13" s="1030"/>
      <c r="H13" s="1026"/>
      <c r="I13" s="1031"/>
      <c r="J13" s="684">
        <v>93</v>
      </c>
      <c r="M13" s="1021" t="s">
        <v>0</v>
      </c>
    </row>
    <row r="14" spans="1:13">
      <c r="A14" s="1034" t="s">
        <v>58</v>
      </c>
      <c r="B14" s="1035"/>
      <c r="C14" s="1036"/>
      <c r="D14" s="1035"/>
      <c r="E14" s="1036"/>
      <c r="F14" s="1035"/>
      <c r="G14" s="1036"/>
      <c r="H14" s="1035"/>
      <c r="I14" s="1037"/>
      <c r="J14" s="684"/>
      <c r="M14" s="1021" t="s">
        <v>0</v>
      </c>
    </row>
    <row r="15" spans="1:13">
      <c r="A15" s="1034" t="s">
        <v>57</v>
      </c>
      <c r="B15" s="1035"/>
      <c r="C15" s="1036"/>
      <c r="D15" s="1035"/>
      <c r="E15" s="1036"/>
      <c r="F15" s="1035"/>
      <c r="G15" s="1036"/>
      <c r="H15" s="1035"/>
      <c r="I15" s="1037"/>
      <c r="J15" s="684"/>
      <c r="M15" s="1021" t="s">
        <v>0</v>
      </c>
    </row>
    <row r="16" spans="1:13">
      <c r="A16" s="1038" t="s">
        <v>59</v>
      </c>
      <c r="B16" s="1039"/>
      <c r="C16" s="1040"/>
      <c r="D16" s="1039"/>
      <c r="E16" s="1040"/>
      <c r="F16" s="1039"/>
      <c r="G16" s="1040"/>
      <c r="H16" s="1039"/>
      <c r="I16" s="1041"/>
      <c r="J16" s="684"/>
      <c r="M16" s="1021" t="s">
        <v>0</v>
      </c>
    </row>
    <row r="17" spans="1:15">
      <c r="A17" s="1042" t="s">
        <v>16</v>
      </c>
      <c r="B17" s="1043">
        <f>+B11+B12+B13+B16</f>
        <v>0</v>
      </c>
      <c r="C17" s="1044">
        <f t="shared" ref="C17:I17" si="0">+C11+C12+C13+C16</f>
        <v>0</v>
      </c>
      <c r="D17" s="1043">
        <f>+D11+D12+D13+D16</f>
        <v>0</v>
      </c>
      <c r="E17" s="1044">
        <f t="shared" si="0"/>
        <v>0</v>
      </c>
      <c r="F17" s="1043">
        <f t="shared" si="0"/>
        <v>0</v>
      </c>
      <c r="G17" s="1045">
        <f t="shared" si="0"/>
        <v>0</v>
      </c>
      <c r="H17" s="1044">
        <f>+H11+H12+H13+H16</f>
        <v>0</v>
      </c>
      <c r="I17" s="1045">
        <f t="shared" si="0"/>
        <v>0</v>
      </c>
      <c r="J17" s="1046">
        <f>697+630+957+2333</f>
        <v>4617</v>
      </c>
      <c r="K17" s="1020">
        <f>2451-93</f>
        <v>2358</v>
      </c>
      <c r="L17" s="1020">
        <f>+E17-G17</f>
        <v>0</v>
      </c>
      <c r="M17" s="1021" t="s">
        <v>0</v>
      </c>
    </row>
    <row r="18" spans="1:15">
      <c r="A18" s="1029" t="s">
        <v>100</v>
      </c>
      <c r="B18" s="1026"/>
      <c r="C18" s="1030"/>
      <c r="D18" s="1026"/>
      <c r="E18" s="1030"/>
      <c r="F18" s="1026"/>
      <c r="G18" s="1030"/>
      <c r="H18" s="1026"/>
      <c r="I18" s="1031"/>
      <c r="J18" s="684"/>
      <c r="M18" s="1021" t="s">
        <v>0</v>
      </c>
    </row>
    <row r="19" spans="1:15">
      <c r="A19" s="1047" t="s">
        <v>61</v>
      </c>
      <c r="B19" s="1026"/>
      <c r="C19" s="1030"/>
      <c r="D19" s="1026"/>
      <c r="E19" s="1030"/>
      <c r="F19" s="1026"/>
      <c r="G19" s="1030"/>
      <c r="H19" s="1026"/>
      <c r="I19" s="1031"/>
      <c r="J19" s="684">
        <v>359</v>
      </c>
      <c r="K19" s="1020">
        <f>1171+93</f>
        <v>1264</v>
      </c>
      <c r="L19" s="1020">
        <f t="shared" ref="L19:L35" si="1">+E19-G19</f>
        <v>0</v>
      </c>
      <c r="M19" s="1021" t="s">
        <v>0</v>
      </c>
    </row>
    <row r="20" spans="1:15">
      <c r="A20" s="1047" t="s">
        <v>62</v>
      </c>
      <c r="B20" s="1026"/>
      <c r="C20" s="1030"/>
      <c r="D20" s="1026"/>
      <c r="E20" s="1030"/>
      <c r="F20" s="1026"/>
      <c r="G20" s="1030"/>
      <c r="H20" s="1026"/>
      <c r="I20" s="1031"/>
      <c r="J20" s="684"/>
      <c r="K20" s="1020">
        <v>110</v>
      </c>
      <c r="L20" s="1020">
        <f t="shared" si="1"/>
        <v>0</v>
      </c>
      <c r="M20" s="1021" t="s">
        <v>0</v>
      </c>
    </row>
    <row r="21" spans="1:15">
      <c r="A21" s="1047" t="s">
        <v>63</v>
      </c>
      <c r="B21" s="1026"/>
      <c r="C21" s="1030"/>
      <c r="D21" s="1026"/>
      <c r="E21" s="1030"/>
      <c r="F21" s="1026"/>
      <c r="G21" s="1030"/>
      <c r="H21" s="1026"/>
      <c r="I21" s="1031"/>
      <c r="J21" s="684"/>
      <c r="K21" s="1020">
        <v>0</v>
      </c>
      <c r="L21" s="1020">
        <f t="shared" si="1"/>
        <v>0</v>
      </c>
      <c r="M21" s="1021" t="s">
        <v>0</v>
      </c>
    </row>
    <row r="22" spans="1:15">
      <c r="A22" s="1047" t="s">
        <v>234</v>
      </c>
      <c r="B22" s="1026"/>
      <c r="C22" s="1030"/>
      <c r="D22" s="1026"/>
      <c r="E22" s="1030"/>
      <c r="F22" s="1026"/>
      <c r="G22" s="1030"/>
      <c r="H22" s="1026"/>
      <c r="I22" s="1031"/>
      <c r="J22" s="684">
        <f>4220-576</f>
        <v>3644</v>
      </c>
      <c r="L22" s="1020">
        <f t="shared" si="1"/>
        <v>0</v>
      </c>
      <c r="M22" s="1021" t="s">
        <v>0</v>
      </c>
    </row>
    <row r="23" spans="1:15">
      <c r="A23" s="1047" t="s">
        <v>36</v>
      </c>
      <c r="B23" s="1026"/>
      <c r="C23" s="1030"/>
      <c r="D23" s="1026"/>
      <c r="E23" s="1030"/>
      <c r="F23" s="1026"/>
      <c r="G23" s="1030"/>
      <c r="H23" s="1026"/>
      <c r="I23" s="1031"/>
      <c r="J23" s="684"/>
      <c r="L23" s="1020">
        <f t="shared" si="1"/>
        <v>0</v>
      </c>
      <c r="M23" s="1021" t="s">
        <v>0</v>
      </c>
    </row>
    <row r="24" spans="1:15">
      <c r="A24" s="1047" t="s">
        <v>64</v>
      </c>
      <c r="B24" s="1026"/>
      <c r="C24" s="1030"/>
      <c r="D24" s="1026"/>
      <c r="E24" s="1030"/>
      <c r="F24" s="1026"/>
      <c r="G24" s="1030"/>
      <c r="H24" s="1026"/>
      <c r="I24" s="1031"/>
      <c r="J24" s="684">
        <v>332</v>
      </c>
      <c r="K24" s="1020">
        <v>175</v>
      </c>
      <c r="L24" s="1020">
        <f t="shared" si="1"/>
        <v>0</v>
      </c>
      <c r="M24" s="1021" t="s">
        <v>0</v>
      </c>
    </row>
    <row r="25" spans="1:15">
      <c r="A25" s="1047" t="s">
        <v>65</v>
      </c>
      <c r="B25" s="1026"/>
      <c r="C25" s="1030"/>
      <c r="D25" s="1026"/>
      <c r="E25" s="1030"/>
      <c r="F25" s="1026"/>
      <c r="G25" s="1030"/>
      <c r="H25" s="1026"/>
      <c r="I25" s="1031"/>
      <c r="J25" s="684"/>
      <c r="L25" s="1020">
        <f t="shared" si="1"/>
        <v>0</v>
      </c>
      <c r="M25" s="1021" t="s">
        <v>0</v>
      </c>
    </row>
    <row r="26" spans="1:15">
      <c r="A26" s="1047" t="s">
        <v>66</v>
      </c>
      <c r="B26" s="1026"/>
      <c r="C26" s="1030"/>
      <c r="D26" s="1026"/>
      <c r="E26" s="1030"/>
      <c r="F26" s="1026"/>
      <c r="G26" s="1030"/>
      <c r="H26" s="1026"/>
      <c r="I26" s="1031"/>
      <c r="J26" s="684"/>
      <c r="K26" s="1020">
        <v>14918</v>
      </c>
      <c r="L26" s="1020">
        <f t="shared" si="1"/>
        <v>0</v>
      </c>
      <c r="M26" s="1021" t="s">
        <v>0</v>
      </c>
    </row>
    <row r="27" spans="1:15">
      <c r="A27" s="1047" t="s">
        <v>67</v>
      </c>
      <c r="B27" s="1026"/>
      <c r="C27" s="1030">
        <v>23000</v>
      </c>
      <c r="D27" s="1026"/>
      <c r="E27" s="1030">
        <v>23000</v>
      </c>
      <c r="F27" s="1026"/>
      <c r="G27" s="1030">
        <f t="shared" ref="G27:G28" si="2">((C27/$C$35)*(-143595))+E27</f>
        <v>15073.524294097177</v>
      </c>
      <c r="H27" s="1026"/>
      <c r="I27" s="1031">
        <f>G27-E27</f>
        <v>-7926.4757059028234</v>
      </c>
      <c r="J27" s="684">
        <v>276</v>
      </c>
      <c r="K27" s="1020">
        <v>14853</v>
      </c>
      <c r="L27" s="1020">
        <f t="shared" si="1"/>
        <v>7926.4757059028234</v>
      </c>
      <c r="M27" s="1021" t="s">
        <v>0</v>
      </c>
    </row>
    <row r="28" spans="1:15">
      <c r="A28" s="1047" t="s">
        <v>475</v>
      </c>
      <c r="B28" s="1026"/>
      <c r="C28" s="1030">
        <v>20000</v>
      </c>
      <c r="D28" s="1026"/>
      <c r="E28" s="1030">
        <v>20000</v>
      </c>
      <c r="F28" s="1026"/>
      <c r="G28" s="1030">
        <f t="shared" si="2"/>
        <v>13107.412429649719</v>
      </c>
      <c r="H28" s="1026"/>
      <c r="I28" s="1031">
        <f>G28-E28</f>
        <v>-6892.5875703502807</v>
      </c>
      <c r="J28" s="684"/>
      <c r="K28" s="1020">
        <v>135</v>
      </c>
      <c r="L28" s="1020">
        <f t="shared" si="1"/>
        <v>6892.5875703502807</v>
      </c>
      <c r="M28" s="1021" t="s">
        <v>0</v>
      </c>
    </row>
    <row r="29" spans="1:15">
      <c r="A29" s="1047" t="s">
        <v>235</v>
      </c>
      <c r="B29" s="1026"/>
      <c r="C29" s="1030"/>
      <c r="D29" s="1026"/>
      <c r="E29" s="1030"/>
      <c r="F29" s="1026"/>
      <c r="G29" s="1030"/>
      <c r="H29" s="1026"/>
      <c r="I29" s="1031"/>
      <c r="J29" s="684"/>
      <c r="L29" s="1020">
        <f t="shared" si="1"/>
        <v>0</v>
      </c>
      <c r="M29" s="1021" t="s">
        <v>0</v>
      </c>
      <c r="O29" s="1046"/>
    </row>
    <row r="30" spans="1:15">
      <c r="A30" s="1047" t="s">
        <v>476</v>
      </c>
      <c r="B30" s="1026"/>
      <c r="C30" s="1030"/>
      <c r="D30" s="1026"/>
      <c r="E30" s="1030"/>
      <c r="F30" s="1026"/>
      <c r="G30" s="1030"/>
      <c r="H30" s="1026"/>
      <c r="I30" s="1031"/>
      <c r="J30" s="684"/>
      <c r="L30" s="1020">
        <f t="shared" si="1"/>
        <v>0</v>
      </c>
      <c r="M30" s="1021" t="s">
        <v>0</v>
      </c>
    </row>
    <row r="31" spans="1:15">
      <c r="A31" s="1047" t="s">
        <v>241</v>
      </c>
      <c r="B31" s="1026"/>
      <c r="C31" s="1030"/>
      <c r="D31" s="1026"/>
      <c r="E31" s="1030"/>
      <c r="F31" s="1026"/>
      <c r="G31" s="1030"/>
      <c r="H31" s="1026"/>
      <c r="I31" s="1031"/>
      <c r="J31" s="684"/>
      <c r="K31" s="1020">
        <v>10</v>
      </c>
      <c r="L31" s="1020">
        <f t="shared" si="1"/>
        <v>0</v>
      </c>
      <c r="M31" s="1021" t="s">
        <v>0</v>
      </c>
      <c r="O31" s="1046"/>
    </row>
    <row r="32" spans="1:15">
      <c r="A32" s="1047" t="s">
        <v>68</v>
      </c>
      <c r="B32" s="1026"/>
      <c r="C32" s="1030"/>
      <c r="D32" s="1026"/>
      <c r="E32" s="1030"/>
      <c r="F32" s="1026"/>
      <c r="G32" s="1030"/>
      <c r="H32" s="1026"/>
      <c r="I32" s="1031"/>
      <c r="J32" s="684"/>
      <c r="K32" s="1020">
        <v>85</v>
      </c>
      <c r="L32" s="1020">
        <f t="shared" si="1"/>
        <v>0</v>
      </c>
      <c r="M32" s="1021" t="s">
        <v>0</v>
      </c>
      <c r="O32" s="1046"/>
    </row>
    <row r="33" spans="1:13">
      <c r="A33" s="1047" t="s">
        <v>69</v>
      </c>
      <c r="B33" s="1026"/>
      <c r="C33" s="1030"/>
      <c r="D33" s="1026"/>
      <c r="E33" s="1030"/>
      <c r="F33" s="1026"/>
      <c r="G33" s="1030"/>
      <c r="H33" s="1026"/>
      <c r="I33" s="1031"/>
      <c r="J33" s="684"/>
      <c r="K33" s="1020">
        <v>37758</v>
      </c>
      <c r="L33" s="1020">
        <f t="shared" si="1"/>
        <v>0</v>
      </c>
      <c r="M33" s="1021" t="s">
        <v>0</v>
      </c>
    </row>
    <row r="34" spans="1:13">
      <c r="A34" s="1047" t="s">
        <v>619</v>
      </c>
      <c r="B34" s="1026"/>
      <c r="C34" s="1030">
        <v>373665</v>
      </c>
      <c r="D34" s="1026"/>
      <c r="E34" s="1030">
        <v>390762</v>
      </c>
      <c r="F34" s="1026"/>
      <c r="G34" s="1030">
        <f>((C34/$C$35)*(-143595))+E34-10167</f>
        <v>251819.06327625312</v>
      </c>
      <c r="H34" s="1026"/>
      <c r="I34" s="1031">
        <f>G34-E34</f>
        <v>-138942.93672374688</v>
      </c>
      <c r="J34" s="684"/>
      <c r="M34" s="1021" t="s">
        <v>0</v>
      </c>
    </row>
    <row r="35" spans="1:13">
      <c r="A35" s="1374" t="s">
        <v>70</v>
      </c>
      <c r="B35" s="1052"/>
      <c r="C35" s="1049">
        <f>SUM(C18:C34)</f>
        <v>416665</v>
      </c>
      <c r="D35" s="1052"/>
      <c r="E35" s="1049">
        <f>SUM(E18:E34)</f>
        <v>433762</v>
      </c>
      <c r="F35" s="1052"/>
      <c r="G35" s="1049">
        <f>SUM(G18:G34)</f>
        <v>280000</v>
      </c>
      <c r="H35" s="1052"/>
      <c r="I35" s="1375">
        <f>SUM(I18:I34)</f>
        <v>-153762</v>
      </c>
      <c r="J35" s="684">
        <f>SUM(J13:J33)</f>
        <v>9321</v>
      </c>
      <c r="K35" s="1020">
        <f>SUM(K17:K33)</f>
        <v>71666</v>
      </c>
      <c r="L35" s="1020">
        <f t="shared" si="1"/>
        <v>153762</v>
      </c>
      <c r="M35" s="1021" t="s">
        <v>0</v>
      </c>
    </row>
    <row r="36" spans="1:13" ht="16.899999999999999" customHeight="1">
      <c r="A36" s="1051" t="s">
        <v>478</v>
      </c>
      <c r="B36" s="1062"/>
      <c r="C36" s="1322">
        <v>-7142</v>
      </c>
      <c r="D36" s="1062"/>
      <c r="E36" s="1322">
        <v>-10167</v>
      </c>
      <c r="F36" s="1062"/>
      <c r="G36" s="1322"/>
      <c r="H36" s="1062"/>
      <c r="I36" s="1323"/>
      <c r="J36" s="684"/>
      <c r="M36" s="1021" t="s">
        <v>0</v>
      </c>
    </row>
    <row r="37" spans="1:13">
      <c r="A37" s="1051" t="s">
        <v>479</v>
      </c>
      <c r="B37" s="1062"/>
      <c r="C37" s="1322">
        <v>10167</v>
      </c>
      <c r="D37" s="1062"/>
      <c r="E37" s="1322"/>
      <c r="F37" s="1062"/>
      <c r="G37" s="1322"/>
      <c r="H37" s="1062"/>
      <c r="I37" s="1323"/>
      <c r="J37" s="684"/>
      <c r="M37" s="1021" t="s">
        <v>0</v>
      </c>
    </row>
    <row r="38" spans="1:13">
      <c r="A38" s="1051" t="s">
        <v>480</v>
      </c>
      <c r="B38" s="1062"/>
      <c r="C38" s="1322">
        <v>8008</v>
      </c>
      <c r="D38" s="1062"/>
      <c r="E38" s="1322">
        <v>6000</v>
      </c>
      <c r="F38" s="1062"/>
      <c r="G38" s="1322">
        <v>4000</v>
      </c>
      <c r="H38" s="1062"/>
      <c r="I38" s="1323"/>
      <c r="J38" s="684"/>
      <c r="M38" s="1021" t="s">
        <v>0</v>
      </c>
    </row>
    <row r="39" spans="1:13">
      <c r="A39" s="1051" t="s">
        <v>481</v>
      </c>
      <c r="B39" s="1062"/>
      <c r="C39" s="1322">
        <v>-9225</v>
      </c>
      <c r="D39" s="1062"/>
      <c r="E39" s="1322">
        <v>-6000</v>
      </c>
      <c r="F39" s="1062"/>
      <c r="G39" s="1322">
        <v>-4000</v>
      </c>
      <c r="H39" s="1062"/>
      <c r="I39" s="1323"/>
      <c r="J39" s="684"/>
      <c r="M39" s="1021" t="s">
        <v>0</v>
      </c>
    </row>
    <row r="40" spans="1:13">
      <c r="A40" s="1051" t="s">
        <v>412</v>
      </c>
      <c r="B40" s="1062"/>
      <c r="C40" s="1322">
        <v>5122</v>
      </c>
      <c r="D40" s="1062"/>
      <c r="E40" s="1322"/>
      <c r="F40" s="1062"/>
      <c r="G40" s="1322"/>
      <c r="H40" s="1062"/>
      <c r="I40" s="1323"/>
      <c r="J40" s="684"/>
      <c r="M40" s="1021" t="s">
        <v>0</v>
      </c>
    </row>
    <row r="41" spans="1:13" ht="16.5" thickBot="1">
      <c r="A41" s="1054" t="s">
        <v>1</v>
      </c>
      <c r="B41" s="1376"/>
      <c r="C41" s="1377">
        <f>SUM(C35:C40)</f>
        <v>423595</v>
      </c>
      <c r="D41" s="1376"/>
      <c r="E41" s="1377">
        <f>SUM(E35:E40)</f>
        <v>423595</v>
      </c>
      <c r="F41" s="1376"/>
      <c r="G41" s="1377">
        <f>SUM(G35:G40)</f>
        <v>280000</v>
      </c>
      <c r="H41" s="1376"/>
      <c r="I41" s="1378"/>
      <c r="J41" s="684"/>
      <c r="M41" s="1021" t="s">
        <v>0</v>
      </c>
    </row>
    <row r="42" spans="1:13">
      <c r="A42" s="1056"/>
      <c r="B42" s="1057"/>
      <c r="C42" s="1058"/>
      <c r="D42" s="1057"/>
      <c r="E42" s="1058"/>
      <c r="F42" s="1057"/>
      <c r="G42" s="1058"/>
      <c r="H42" s="1057"/>
      <c r="I42" s="1059"/>
      <c r="J42" s="684"/>
      <c r="M42" s="1021" t="s">
        <v>0</v>
      </c>
    </row>
    <row r="43" spans="1:13">
      <c r="A43" s="1060" t="s">
        <v>268</v>
      </c>
      <c r="B43" s="1026"/>
      <c r="C43" s="1030"/>
      <c r="D43" s="1026"/>
      <c r="E43" s="1030"/>
      <c r="F43" s="1026"/>
      <c r="G43" s="1030"/>
      <c r="H43" s="1026"/>
      <c r="I43" s="1031"/>
      <c r="J43" s="684"/>
      <c r="M43" s="1021" t="s">
        <v>0</v>
      </c>
    </row>
    <row r="44" spans="1:13">
      <c r="A44" s="1047" t="s">
        <v>60</v>
      </c>
      <c r="B44" s="1061"/>
      <c r="C44" s="1027">
        <v>0</v>
      </c>
      <c r="D44" s="1061"/>
      <c r="E44" s="1027">
        <v>0</v>
      </c>
      <c r="F44" s="1061"/>
      <c r="G44" s="1027">
        <v>0</v>
      </c>
      <c r="H44" s="1062"/>
      <c r="I44" s="1028">
        <f>C44+G44</f>
        <v>0</v>
      </c>
      <c r="J44" s="684"/>
      <c r="M44" s="1021" t="s">
        <v>0</v>
      </c>
    </row>
    <row r="45" spans="1:13">
      <c r="A45" s="1029" t="s">
        <v>2</v>
      </c>
      <c r="B45" s="1026"/>
      <c r="C45" s="1027">
        <v>0</v>
      </c>
      <c r="D45" s="1026"/>
      <c r="E45" s="1027">
        <v>0</v>
      </c>
      <c r="F45" s="1026"/>
      <c r="G45" s="1027">
        <v>0</v>
      </c>
      <c r="H45" s="1062"/>
      <c r="I45" s="1028">
        <f>C45+G45</f>
        <v>0</v>
      </c>
      <c r="J45" s="684"/>
      <c r="M45" s="1021" t="s">
        <v>0</v>
      </c>
    </row>
    <row r="46" spans="1:13">
      <c r="A46" s="1038" t="s">
        <v>3</v>
      </c>
      <c r="B46" s="1063"/>
      <c r="C46" s="1064">
        <v>0</v>
      </c>
      <c r="D46" s="1063"/>
      <c r="E46" s="1064">
        <v>0</v>
      </c>
      <c r="F46" s="1063"/>
      <c r="G46" s="1064">
        <v>0</v>
      </c>
      <c r="H46" s="1065"/>
      <c r="I46" s="1066">
        <f>C46+G46</f>
        <v>0</v>
      </c>
      <c r="J46" s="684"/>
      <c r="M46" s="1021" t="s">
        <v>0</v>
      </c>
    </row>
    <row r="47" spans="1:13">
      <c r="A47" s="928"/>
      <c r="B47" s="1067"/>
      <c r="C47" s="1067"/>
      <c r="D47" s="1067"/>
      <c r="E47" s="1067"/>
      <c r="F47" s="1067"/>
      <c r="G47" s="1067"/>
      <c r="H47" s="1067"/>
      <c r="I47" s="1067"/>
      <c r="J47" s="684"/>
      <c r="M47" s="1021" t="s">
        <v>24</v>
      </c>
    </row>
    <row r="48" spans="1:13">
      <c r="A48" s="2311"/>
      <c r="B48" s="2312"/>
      <c r="C48" s="2312"/>
      <c r="D48" s="2312"/>
      <c r="E48" s="2312"/>
      <c r="F48" s="2312"/>
      <c r="G48" s="2312"/>
      <c r="H48" s="2312"/>
      <c r="I48" s="2312"/>
      <c r="J48" s="2312"/>
      <c r="K48" s="2312"/>
      <c r="L48" s="2312"/>
      <c r="M48" s="2312"/>
    </row>
    <row r="49" spans="1:14">
      <c r="H49" s="1068"/>
      <c r="I49" s="1068"/>
      <c r="J49" s="684"/>
    </row>
    <row r="50" spans="1:14">
      <c r="A50" s="2313"/>
      <c r="B50" s="2313"/>
      <c r="C50" s="2313"/>
      <c r="D50" s="2313"/>
      <c r="E50" s="2313"/>
      <c r="F50" s="2313"/>
      <c r="G50" s="2313"/>
      <c r="H50" s="1067"/>
      <c r="I50" s="1067"/>
      <c r="J50" s="684"/>
    </row>
    <row r="51" spans="1:14">
      <c r="A51" s="1070"/>
      <c r="B51" s="1071"/>
      <c r="C51" s="1071"/>
      <c r="D51" s="1071"/>
      <c r="E51" s="1071"/>
      <c r="F51" s="1071"/>
      <c r="G51" s="1071"/>
      <c r="H51" s="1067"/>
      <c r="I51" s="1067"/>
      <c r="J51" s="684"/>
    </row>
    <row r="52" spans="1:14" ht="41.25" customHeight="1">
      <c r="A52" s="2314"/>
      <c r="B52" s="2315"/>
      <c r="C52" s="2315"/>
      <c r="D52" s="2315"/>
      <c r="E52" s="2315"/>
      <c r="F52" s="2315"/>
      <c r="G52" s="2315"/>
      <c r="H52" s="995"/>
      <c r="I52" s="1072"/>
      <c r="J52" s="684"/>
    </row>
    <row r="53" spans="1:14" ht="14.25" customHeight="1">
      <c r="A53" s="1070"/>
      <c r="B53" s="1073"/>
      <c r="C53" s="1073"/>
      <c r="D53" s="1073"/>
      <c r="E53" s="1073"/>
      <c r="F53" s="1073"/>
      <c r="G53" s="1073"/>
      <c r="H53" s="995"/>
      <c r="I53" s="995"/>
      <c r="J53" s="684"/>
    </row>
    <row r="54" spans="1:14" ht="77.25" customHeight="1">
      <c r="A54" s="2147"/>
      <c r="B54" s="2147"/>
      <c r="C54" s="2147"/>
      <c r="D54" s="2147"/>
      <c r="E54" s="2147"/>
      <c r="F54" s="2147"/>
      <c r="G54" s="2147"/>
      <c r="H54" s="1074"/>
      <c r="I54" s="1072"/>
      <c r="J54" s="684"/>
    </row>
    <row r="55" spans="1:14" ht="12.75" customHeight="1">
      <c r="A55" s="1070"/>
      <c r="B55" s="1073"/>
      <c r="C55" s="1073"/>
      <c r="D55" s="1073"/>
      <c r="E55" s="1073"/>
      <c r="F55" s="1073"/>
      <c r="G55" s="1073"/>
      <c r="H55" s="995"/>
      <c r="I55" s="995"/>
      <c r="J55" s="684"/>
    </row>
    <row r="56" spans="1:14" ht="54" customHeight="1">
      <c r="A56" s="2147"/>
      <c r="B56" s="2301"/>
      <c r="C56" s="2301"/>
      <c r="D56" s="2301"/>
      <c r="E56" s="2301"/>
      <c r="F56" s="2301"/>
      <c r="G56" s="2301"/>
      <c r="H56" s="1074"/>
      <c r="I56" s="1072"/>
      <c r="J56" s="684"/>
    </row>
    <row r="57" spans="1:14" ht="43.5" customHeight="1">
      <c r="A57" s="2300"/>
      <c r="B57" s="2301"/>
      <c r="C57" s="2301"/>
      <c r="D57" s="2301"/>
      <c r="E57" s="2301"/>
      <c r="F57" s="2301"/>
      <c r="G57" s="2301"/>
      <c r="H57" s="995"/>
      <c r="I57" s="995"/>
      <c r="J57" s="684"/>
    </row>
    <row r="58" spans="1:14" ht="62.25" customHeight="1">
      <c r="A58" s="1075"/>
      <c r="B58" s="2147"/>
      <c r="C58" s="2147"/>
      <c r="D58" s="2147"/>
      <c r="E58" s="2147"/>
      <c r="F58" s="2147"/>
      <c r="G58" s="2147"/>
      <c r="H58" s="995"/>
      <c r="I58" s="995"/>
      <c r="J58" s="684"/>
    </row>
    <row r="59" spans="1:14" ht="12" customHeight="1">
      <c r="A59" s="1075"/>
      <c r="B59" s="1073"/>
      <c r="C59" s="1073"/>
      <c r="D59" s="1073"/>
      <c r="E59" s="1073"/>
      <c r="F59" s="1073"/>
      <c r="G59" s="1073"/>
      <c r="H59" s="995"/>
      <c r="I59" s="995"/>
      <c r="J59" s="684"/>
    </row>
    <row r="60" spans="1:14" ht="64.5" customHeight="1">
      <c r="A60" s="2317"/>
      <c r="B60" s="2318"/>
      <c r="C60" s="2318"/>
      <c r="D60" s="2318"/>
      <c r="E60" s="2318"/>
      <c r="F60" s="2318"/>
      <c r="G60" s="2318"/>
      <c r="H60" s="995"/>
      <c r="I60" s="995"/>
      <c r="J60" s="684"/>
    </row>
    <row r="61" spans="1:14" ht="47.25" customHeight="1">
      <c r="A61" s="2317"/>
      <c r="B61" s="2301"/>
      <c r="C61" s="2301"/>
      <c r="D61" s="2301"/>
      <c r="E61" s="2301"/>
      <c r="F61" s="2301"/>
      <c r="G61" s="2301"/>
      <c r="H61" s="995"/>
      <c r="I61" s="995"/>
      <c r="J61" s="684"/>
    </row>
    <row r="62" spans="1:14" ht="60" customHeight="1">
      <c r="A62" s="2317"/>
      <c r="B62" s="2301"/>
      <c r="C62" s="2301"/>
      <c r="D62" s="2301"/>
      <c r="E62" s="2301"/>
      <c r="F62" s="2301"/>
      <c r="G62" s="2301"/>
      <c r="H62" s="995"/>
      <c r="I62" s="995"/>
      <c r="J62" s="684"/>
    </row>
    <row r="63" spans="1:14" ht="15" customHeight="1">
      <c r="A63" s="2256"/>
      <c r="B63" s="2256"/>
      <c r="C63" s="2256"/>
      <c r="D63" s="2256"/>
      <c r="E63" s="2256"/>
      <c r="F63" s="2256"/>
      <c r="G63" s="2256"/>
      <c r="H63" s="2256"/>
      <c r="I63" s="2256"/>
      <c r="J63" s="2256"/>
      <c r="K63" s="2256"/>
      <c r="L63" s="2256"/>
      <c r="M63" s="2256"/>
      <c r="N63" s="2257"/>
    </row>
    <row r="64" spans="1:14" ht="22.9" customHeight="1">
      <c r="A64" s="1076"/>
      <c r="B64" s="2316"/>
      <c r="C64" s="2316"/>
      <c r="D64" s="2316"/>
      <c r="E64" s="2316"/>
      <c r="F64" s="2316"/>
      <c r="G64" s="2316"/>
      <c r="H64" s="2316"/>
      <c r="I64" s="2316"/>
      <c r="J64" s="684"/>
    </row>
    <row r="65" spans="1:10">
      <c r="A65" s="1076"/>
      <c r="B65" s="1076"/>
      <c r="C65" s="1076"/>
      <c r="D65" s="1076"/>
      <c r="E65" s="1076"/>
      <c r="F65" s="1076"/>
      <c r="G65" s="1076"/>
      <c r="H65" s="1077"/>
      <c r="I65" s="1078"/>
      <c r="J65" s="684"/>
    </row>
    <row r="66" spans="1:10">
      <c r="A66" s="1076"/>
      <c r="B66" s="1076"/>
      <c r="C66" s="1076"/>
      <c r="D66" s="1076"/>
      <c r="E66" s="1076"/>
      <c r="F66" s="1076"/>
      <c r="G66" s="1076"/>
      <c r="H66" s="1078"/>
      <c r="I66" s="1078"/>
      <c r="J66" s="684"/>
    </row>
    <row r="67" spans="1:10">
      <c r="A67" s="1076"/>
      <c r="B67" s="1076"/>
      <c r="C67" s="1076"/>
      <c r="D67" s="1076"/>
      <c r="E67" s="1076"/>
      <c r="F67" s="1076"/>
      <c r="G67" s="1076"/>
      <c r="H67" s="1078"/>
      <c r="I67" s="1078"/>
      <c r="J67" s="684"/>
    </row>
    <row r="68" spans="1:10" ht="65.45" customHeight="1">
      <c r="A68" s="1076"/>
      <c r="B68" s="2316"/>
      <c r="C68" s="2316"/>
      <c r="D68" s="2316"/>
      <c r="E68" s="2316"/>
      <c r="F68" s="2316"/>
      <c r="G68" s="2316"/>
      <c r="H68" s="2316"/>
      <c r="I68" s="2316"/>
      <c r="J68" s="684"/>
    </row>
    <row r="69" spans="1:10">
      <c r="H69" s="1079"/>
      <c r="I69" s="1079"/>
      <c r="J69" s="684"/>
    </row>
    <row r="70" spans="1:10">
      <c r="H70" s="1079"/>
      <c r="I70" s="1080"/>
      <c r="J70" s="684"/>
    </row>
    <row r="71" spans="1:10">
      <c r="H71" s="1079"/>
      <c r="I71" s="1079"/>
      <c r="J71" s="684"/>
    </row>
    <row r="72" spans="1:10">
      <c r="H72" s="1079"/>
      <c r="I72" s="1079"/>
      <c r="J72" s="684"/>
    </row>
    <row r="73" spans="1:10">
      <c r="H73" s="1079"/>
      <c r="I73" s="1079"/>
      <c r="J73" s="684"/>
    </row>
    <row r="74" spans="1:10">
      <c r="H74" s="1079"/>
      <c r="I74" s="1079"/>
      <c r="J74" s="684"/>
    </row>
    <row r="75" spans="1:10">
      <c r="H75" s="1079"/>
      <c r="I75" s="1079"/>
      <c r="J75" s="684"/>
    </row>
    <row r="76" spans="1:10">
      <c r="H76" s="1079"/>
      <c r="I76" s="1079"/>
      <c r="J76" s="684"/>
    </row>
    <row r="77" spans="1:10">
      <c r="H77" s="1079"/>
      <c r="I77" s="1079"/>
      <c r="J77" s="684"/>
    </row>
    <row r="78" spans="1:10">
      <c r="H78" s="1079"/>
      <c r="I78" s="1079"/>
      <c r="J78" s="684"/>
    </row>
    <row r="79" spans="1:10">
      <c r="H79" s="1079"/>
      <c r="I79" s="1079"/>
      <c r="J79" s="684"/>
    </row>
    <row r="80" spans="1:10">
      <c r="H80" s="1079"/>
      <c r="I80" s="1079"/>
      <c r="J80" s="684"/>
    </row>
    <row r="81" spans="8:10">
      <c r="H81" s="1079"/>
      <c r="I81" s="1081"/>
      <c r="J81" s="684"/>
    </row>
    <row r="82" spans="8:10">
      <c r="H82" s="1079"/>
      <c r="I82" s="1081"/>
      <c r="J82" s="684"/>
    </row>
    <row r="83" spans="8:10">
      <c r="H83" s="1079"/>
      <c r="I83" s="1079"/>
      <c r="J83" s="684"/>
    </row>
    <row r="84" spans="8:10">
      <c r="H84" s="1079"/>
      <c r="I84" s="1079"/>
      <c r="J84" s="684"/>
    </row>
    <row r="85" spans="8:10">
      <c r="H85" s="1079"/>
      <c r="I85" s="1079"/>
      <c r="J85" s="684"/>
    </row>
    <row r="86" spans="8:10">
      <c r="H86" s="1079"/>
      <c r="I86" s="1079"/>
      <c r="J86" s="684"/>
    </row>
    <row r="87" spans="8:10">
      <c r="H87" s="1079"/>
      <c r="I87" s="1079"/>
      <c r="J87" s="684"/>
    </row>
    <row r="88" spans="8:10">
      <c r="H88" s="1079"/>
      <c r="I88" s="1079"/>
      <c r="J88" s="684"/>
    </row>
    <row r="89" spans="8:10">
      <c r="H89" s="1079"/>
      <c r="I89" s="1079"/>
      <c r="J89" s="684"/>
    </row>
    <row r="90" spans="8:10">
      <c r="H90" s="1079"/>
      <c r="I90" s="1079"/>
      <c r="J90" s="684"/>
    </row>
    <row r="91" spans="8:10">
      <c r="H91" s="1079"/>
      <c r="I91" s="1079"/>
      <c r="J91" s="684"/>
    </row>
    <row r="92" spans="8:10">
      <c r="H92" s="1079"/>
      <c r="I92" s="1079"/>
      <c r="J92" s="684"/>
    </row>
    <row r="93" spans="8:10">
      <c r="H93" s="1079"/>
      <c r="I93" s="1079"/>
      <c r="J93" s="684"/>
    </row>
    <row r="94" spans="8:10">
      <c r="H94" s="1079"/>
      <c r="I94" s="1079"/>
      <c r="J94" s="684"/>
    </row>
    <row r="95" spans="8:10">
      <c r="H95" s="1079"/>
      <c r="I95" s="1079"/>
      <c r="J95" s="684"/>
    </row>
    <row r="96" spans="8:10">
      <c r="H96" s="1082"/>
      <c r="I96" s="1079"/>
      <c r="J96" s="684"/>
    </row>
    <row r="97" spans="8:10">
      <c r="H97" s="684"/>
      <c r="I97" s="684"/>
      <c r="J97" s="684"/>
    </row>
    <row r="98" spans="8:10">
      <c r="H98" s="1083"/>
      <c r="I98" s="1083"/>
      <c r="J98" s="684"/>
    </row>
    <row r="99" spans="8:10">
      <c r="H99" s="1083"/>
      <c r="I99" s="1083"/>
      <c r="J99" s="684"/>
    </row>
    <row r="100" spans="8:10">
      <c r="H100" s="1083"/>
      <c r="I100" s="1083"/>
      <c r="J100" s="684"/>
    </row>
    <row r="101" spans="8:10">
      <c r="H101" s="1083"/>
      <c r="I101" s="1083"/>
      <c r="J101" s="684"/>
    </row>
    <row r="102" spans="8:10">
      <c r="J102" s="684"/>
    </row>
    <row r="103" spans="8:10">
      <c r="J103" s="684"/>
    </row>
    <row r="205" spans="1:1">
      <c r="A205" s="1020" t="s">
        <v>232</v>
      </c>
    </row>
  </sheetData>
  <mergeCells count="25">
    <mergeCell ref="B68:I68"/>
    <mergeCell ref="B58:G58"/>
    <mergeCell ref="A60:G60"/>
    <mergeCell ref="A61:G61"/>
    <mergeCell ref="A62:G62"/>
    <mergeCell ref="A63:N63"/>
    <mergeCell ref="B64:I64"/>
    <mergeCell ref="A57:G57"/>
    <mergeCell ref="A7:I7"/>
    <mergeCell ref="A8:A10"/>
    <mergeCell ref="B8:C8"/>
    <mergeCell ref="D8:E8"/>
    <mergeCell ref="F8:G8"/>
    <mergeCell ref="H8:I8"/>
    <mergeCell ref="A48:M48"/>
    <mergeCell ref="A50:G50"/>
    <mergeCell ref="A52:G52"/>
    <mergeCell ref="A54:G54"/>
    <mergeCell ref="A56:G56"/>
    <mergeCell ref="A6:I6"/>
    <mergeCell ref="A1:I1"/>
    <mergeCell ref="A2:I2"/>
    <mergeCell ref="A3:I3"/>
    <mergeCell ref="A4:I4"/>
    <mergeCell ref="A5:I5"/>
  </mergeCells>
  <printOptions horizontalCentered="1"/>
  <pageMargins left="0.5" right="0.4" top="0.5" bottom="0.25" header="0" footer="0"/>
  <pageSetup scale="69" firstPageNumber="8" fitToHeight="0" orientation="landscape" useFirstPageNumber="1" r:id="rId1"/>
  <headerFooter alignWithMargins="0">
    <oddFooter>&amp;C&amp;"Times New Roman,Regular"Exhibit L - Summary of Requirements by Object Class&amp;R&amp;"Times New Roman,Regular"Juvenile Justice Programs</oddFooter>
  </headerFooter>
</worksheet>
</file>

<file path=xl/worksheets/sheet46.xml><?xml version="1.0" encoding="utf-8"?>
<worksheet xmlns="http://schemas.openxmlformats.org/spreadsheetml/2006/main" xmlns:r="http://schemas.openxmlformats.org/officeDocument/2006/relationships">
  <sheetPr>
    <pageSetUpPr fitToPage="1"/>
  </sheetPr>
  <dimension ref="A1:Y63"/>
  <sheetViews>
    <sheetView showGridLines="0" showOutlineSymbols="0" view="pageBreakPreview" zoomScale="65" zoomScaleNormal="75" zoomScaleSheetLayoutView="65" workbookViewId="0">
      <selection activeCell="Y52" sqref="Y52:Y56"/>
    </sheetView>
  </sheetViews>
  <sheetFormatPr defaultColWidth="9.6640625" defaultRowHeight="15.75"/>
  <cols>
    <col min="1" max="2" width="2.5546875" style="663" customWidth="1"/>
    <col min="3" max="3" width="25" style="663" customWidth="1"/>
    <col min="4" max="4" width="6.88671875" style="684" customWidth="1"/>
    <col min="5" max="5" width="6.21875" style="684" customWidth="1"/>
    <col min="6" max="6" width="10.21875" style="684" customWidth="1"/>
    <col min="7" max="7" width="8.44140625" style="684" bestFit="1" customWidth="1"/>
    <col min="8" max="8" width="6.21875" style="684" customWidth="1"/>
    <col min="9" max="9" width="9.77734375" style="684" customWidth="1"/>
    <col min="10" max="10" width="6.21875" style="684" bestFit="1" customWidth="1"/>
    <col min="11" max="11" width="5.6640625" style="684" customWidth="1"/>
    <col min="12" max="12" width="9.33203125" style="684" bestFit="1" customWidth="1"/>
    <col min="13" max="13" width="7" style="684" bestFit="1" customWidth="1"/>
    <col min="14" max="14" width="6.109375" style="684" customWidth="1"/>
    <col min="15" max="15" width="9.77734375" style="684" customWidth="1"/>
    <col min="16" max="17" width="5.6640625" style="684" customWidth="1"/>
    <col min="18" max="18" width="8.5546875" style="684" customWidth="1"/>
    <col min="19" max="19" width="6.109375" style="684" customWidth="1"/>
    <col min="20" max="20" width="5.6640625" style="684" customWidth="1"/>
    <col min="21" max="21" width="7" style="684" customWidth="1"/>
    <col min="22" max="22" width="9.5546875" style="684" customWidth="1"/>
    <col min="23" max="23" width="9.77734375" style="684" bestFit="1" customWidth="1"/>
    <col min="24" max="24" width="13.21875" style="684" bestFit="1" customWidth="1"/>
    <col min="25" max="25" width="6.5546875" style="745" customWidth="1"/>
    <col min="26" max="26" width="6.5546875" style="663" customWidth="1"/>
    <col min="27" max="27" width="7.6640625" style="663" customWidth="1"/>
    <col min="28" max="16384" width="9.6640625" style="663"/>
  </cols>
  <sheetData>
    <row r="1" spans="1:25" ht="20.25">
      <c r="A1" s="2061" t="s">
        <v>34</v>
      </c>
      <c r="B1" s="2062"/>
      <c r="C1" s="2062"/>
      <c r="D1" s="2062"/>
      <c r="E1" s="2062"/>
      <c r="F1" s="2062"/>
      <c r="G1" s="2062"/>
      <c r="H1" s="2062"/>
      <c r="I1" s="2062"/>
      <c r="J1" s="2062"/>
      <c r="K1" s="2062"/>
      <c r="L1" s="2062"/>
      <c r="M1" s="2062"/>
      <c r="N1" s="2062"/>
      <c r="O1" s="2062"/>
      <c r="P1" s="2062"/>
      <c r="Q1" s="2062"/>
      <c r="R1" s="2062"/>
      <c r="S1" s="2062"/>
      <c r="T1" s="2062"/>
      <c r="U1" s="2062"/>
      <c r="V1" s="2062"/>
      <c r="W1" s="2062"/>
      <c r="X1" s="2062"/>
      <c r="Y1" s="662" t="s">
        <v>0</v>
      </c>
    </row>
    <row r="2" spans="1:25">
      <c r="A2" s="2063"/>
      <c r="B2" s="2063"/>
      <c r="C2" s="2063"/>
      <c r="D2" s="2063"/>
      <c r="E2" s="2063"/>
      <c r="F2" s="2063"/>
      <c r="G2" s="2063"/>
      <c r="H2" s="2063"/>
      <c r="I2" s="2063"/>
      <c r="J2" s="2063"/>
      <c r="K2" s="2063"/>
      <c r="L2" s="2063"/>
      <c r="M2" s="2063"/>
      <c r="N2" s="2063"/>
      <c r="O2" s="2063"/>
      <c r="P2" s="2063"/>
      <c r="Q2" s="2063"/>
      <c r="R2" s="2063"/>
      <c r="S2" s="2063"/>
      <c r="T2" s="2063"/>
      <c r="U2" s="2063"/>
      <c r="V2" s="2063"/>
      <c r="W2" s="2063"/>
      <c r="X2" s="2063"/>
      <c r="Y2" s="662" t="s">
        <v>0</v>
      </c>
    </row>
    <row r="3" spans="1:25">
      <c r="A3" s="2064"/>
      <c r="B3" s="2064"/>
      <c r="C3" s="2064"/>
      <c r="D3" s="2064"/>
      <c r="E3" s="2064"/>
      <c r="F3" s="2064"/>
      <c r="G3" s="2064"/>
      <c r="H3" s="2064"/>
      <c r="I3" s="2064"/>
      <c r="J3" s="2064"/>
      <c r="K3" s="2064"/>
      <c r="L3" s="2064"/>
      <c r="M3" s="2064"/>
      <c r="N3" s="2064"/>
      <c r="O3" s="2064"/>
      <c r="P3" s="2064"/>
      <c r="Q3" s="2064"/>
      <c r="R3" s="2064"/>
      <c r="S3" s="2064"/>
      <c r="T3" s="2064"/>
      <c r="U3" s="2064"/>
      <c r="V3" s="2064"/>
      <c r="W3" s="2064"/>
      <c r="X3" s="2064"/>
      <c r="Y3" s="662" t="s">
        <v>0</v>
      </c>
    </row>
    <row r="4" spans="1:25" ht="22.5">
      <c r="A4" s="2065" t="s">
        <v>267</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662" t="s">
        <v>0</v>
      </c>
    </row>
    <row r="5" spans="1:25" ht="23.25">
      <c r="A5" s="2059" t="s">
        <v>362</v>
      </c>
      <c r="B5" s="2066"/>
      <c r="C5" s="2066"/>
      <c r="D5" s="2066"/>
      <c r="E5" s="2066"/>
      <c r="F5" s="2066"/>
      <c r="G5" s="2066"/>
      <c r="H5" s="2066"/>
      <c r="I5" s="2066"/>
      <c r="J5" s="2066"/>
      <c r="K5" s="2066"/>
      <c r="L5" s="2066"/>
      <c r="M5" s="2066"/>
      <c r="N5" s="2066"/>
      <c r="O5" s="2066"/>
      <c r="P5" s="2066"/>
      <c r="Q5" s="2066"/>
      <c r="R5" s="2066"/>
      <c r="S5" s="2066"/>
      <c r="T5" s="2066"/>
      <c r="U5" s="2066"/>
      <c r="V5" s="2066"/>
      <c r="W5" s="2066"/>
      <c r="X5" s="2066"/>
      <c r="Y5" s="662" t="s">
        <v>0</v>
      </c>
    </row>
    <row r="6" spans="1:25" ht="23.25">
      <c r="A6" s="2059" t="s">
        <v>682</v>
      </c>
      <c r="B6" s="2060"/>
      <c r="C6" s="2060"/>
      <c r="D6" s="2060"/>
      <c r="E6" s="2060"/>
      <c r="F6" s="2060"/>
      <c r="G6" s="2060"/>
      <c r="H6" s="2060"/>
      <c r="I6" s="2060"/>
      <c r="J6" s="2060"/>
      <c r="K6" s="2060"/>
      <c r="L6" s="2060"/>
      <c r="M6" s="2060"/>
      <c r="N6" s="2060"/>
      <c r="O6" s="2060"/>
      <c r="P6" s="2060"/>
      <c r="Q6" s="2060"/>
      <c r="R6" s="2060"/>
      <c r="S6" s="2060"/>
      <c r="T6" s="2060"/>
      <c r="U6" s="2060"/>
      <c r="V6" s="2060"/>
      <c r="W6" s="2060"/>
      <c r="X6" s="2060"/>
      <c r="Y6" s="662" t="s">
        <v>0</v>
      </c>
    </row>
    <row r="7" spans="1:25" ht="23.25">
      <c r="A7" s="2059" t="s">
        <v>257</v>
      </c>
      <c r="B7" s="2066"/>
      <c r="C7" s="2066"/>
      <c r="D7" s="2066"/>
      <c r="E7" s="2066"/>
      <c r="F7" s="2066"/>
      <c r="G7" s="2066"/>
      <c r="H7" s="2066"/>
      <c r="I7" s="2066"/>
      <c r="J7" s="2066"/>
      <c r="K7" s="2066"/>
      <c r="L7" s="2066"/>
      <c r="M7" s="2066"/>
      <c r="N7" s="2066"/>
      <c r="O7" s="2066"/>
      <c r="P7" s="2066"/>
      <c r="Q7" s="2066"/>
      <c r="R7" s="2066"/>
      <c r="S7" s="2066"/>
      <c r="T7" s="2066"/>
      <c r="U7" s="2066"/>
      <c r="V7" s="2066"/>
      <c r="W7" s="2066"/>
      <c r="X7" s="2066"/>
      <c r="Y7" s="662" t="s">
        <v>0</v>
      </c>
    </row>
    <row r="8" spans="1:25" ht="23.25">
      <c r="A8" s="2067"/>
      <c r="B8" s="2067"/>
      <c r="C8" s="2067"/>
      <c r="D8" s="2067"/>
      <c r="E8" s="2067"/>
      <c r="F8" s="2067"/>
      <c r="G8" s="2067"/>
      <c r="H8" s="2067"/>
      <c r="I8" s="2067"/>
      <c r="J8" s="2067"/>
      <c r="K8" s="2067"/>
      <c r="L8" s="2067"/>
      <c r="M8" s="2067"/>
      <c r="N8" s="2067"/>
      <c r="O8" s="2067"/>
      <c r="P8" s="2067"/>
      <c r="Q8" s="2067"/>
      <c r="R8" s="2067"/>
      <c r="S8" s="2067"/>
      <c r="T8" s="2067"/>
      <c r="U8" s="2067"/>
      <c r="V8" s="2067"/>
      <c r="W8" s="2067"/>
      <c r="X8" s="2067"/>
      <c r="Y8" s="662" t="s">
        <v>0</v>
      </c>
    </row>
    <row r="9" spans="1:25" ht="23.25">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662" t="s">
        <v>0</v>
      </c>
    </row>
    <row r="10" spans="1:25" ht="23.25">
      <c r="A10" s="2067"/>
      <c r="B10" s="2067"/>
      <c r="C10" s="2067"/>
      <c r="D10" s="2067"/>
      <c r="E10" s="2067"/>
      <c r="F10" s="2067"/>
      <c r="G10" s="2067"/>
      <c r="H10" s="2067"/>
      <c r="I10" s="2067"/>
      <c r="J10" s="2067"/>
      <c r="K10" s="2067"/>
      <c r="L10" s="2067"/>
      <c r="M10" s="2067"/>
      <c r="N10" s="2067"/>
      <c r="O10" s="2067"/>
      <c r="P10" s="2067"/>
      <c r="Q10" s="2067"/>
      <c r="R10" s="2067"/>
      <c r="S10" s="2067"/>
      <c r="T10" s="2067"/>
      <c r="U10" s="2067"/>
      <c r="V10" s="2067"/>
      <c r="W10" s="2067"/>
      <c r="X10" s="2067"/>
      <c r="Y10" s="662" t="s">
        <v>0</v>
      </c>
    </row>
    <row r="11" spans="1:25">
      <c r="A11" s="2064"/>
      <c r="B11" s="2064"/>
      <c r="C11" s="2064"/>
      <c r="D11" s="2064"/>
      <c r="E11" s="2064"/>
      <c r="F11" s="2064"/>
      <c r="G11" s="2064"/>
      <c r="H11" s="2064"/>
      <c r="I11" s="2064"/>
      <c r="J11" s="2064"/>
      <c r="K11" s="2064"/>
      <c r="L11" s="2064"/>
      <c r="M11" s="2064"/>
      <c r="N11" s="2064"/>
      <c r="O11" s="2064"/>
      <c r="P11" s="2064"/>
      <c r="Q11" s="2064"/>
      <c r="R11" s="2064"/>
      <c r="S11" s="2064"/>
      <c r="T11" s="2064"/>
      <c r="U11" s="2068"/>
      <c r="V11" s="2071" t="s">
        <v>40</v>
      </c>
      <c r="W11" s="2072"/>
      <c r="X11" s="2073"/>
      <c r="Y11" s="662" t="s">
        <v>0</v>
      </c>
    </row>
    <row r="12" spans="1:25">
      <c r="A12" s="2064"/>
      <c r="B12" s="2064"/>
      <c r="C12" s="2064"/>
      <c r="D12" s="2064"/>
      <c r="E12" s="2064"/>
      <c r="F12" s="2064"/>
      <c r="G12" s="2064"/>
      <c r="H12" s="2064"/>
      <c r="I12" s="2064"/>
      <c r="J12" s="2064"/>
      <c r="K12" s="2064"/>
      <c r="L12" s="2064"/>
      <c r="M12" s="2064"/>
      <c r="N12" s="2064"/>
      <c r="O12" s="2064"/>
      <c r="P12" s="2064"/>
      <c r="Q12" s="2064"/>
      <c r="R12" s="2064"/>
      <c r="S12" s="2064"/>
      <c r="T12" s="2064"/>
      <c r="U12" s="2068"/>
      <c r="V12" s="2074" t="s">
        <v>21</v>
      </c>
      <c r="W12" s="2076" t="s">
        <v>49</v>
      </c>
      <c r="X12" s="2078" t="s">
        <v>279</v>
      </c>
      <c r="Y12" s="662" t="s">
        <v>0</v>
      </c>
    </row>
    <row r="13" spans="1:25" ht="16.5" thickBot="1">
      <c r="A13" s="2069"/>
      <c r="B13" s="2069"/>
      <c r="C13" s="2069"/>
      <c r="D13" s="2069"/>
      <c r="E13" s="2069"/>
      <c r="F13" s="2069"/>
      <c r="G13" s="2069"/>
      <c r="H13" s="2069"/>
      <c r="I13" s="2069"/>
      <c r="J13" s="2069"/>
      <c r="K13" s="2069"/>
      <c r="L13" s="2069"/>
      <c r="M13" s="2069"/>
      <c r="N13" s="2069"/>
      <c r="O13" s="2069"/>
      <c r="P13" s="2069"/>
      <c r="Q13" s="2069"/>
      <c r="R13" s="2069"/>
      <c r="S13" s="2069"/>
      <c r="T13" s="2069"/>
      <c r="U13" s="2070"/>
      <c r="V13" s="2075"/>
      <c r="W13" s="2077"/>
      <c r="X13" s="2077"/>
      <c r="Y13" s="662" t="s">
        <v>0</v>
      </c>
    </row>
    <row r="14" spans="1:25">
      <c r="A14" s="2081" t="s">
        <v>116</v>
      </c>
      <c r="B14" s="2082"/>
      <c r="C14" s="2082"/>
      <c r="D14" s="2082"/>
      <c r="E14" s="2082"/>
      <c r="F14" s="2082"/>
      <c r="G14" s="2082"/>
      <c r="H14" s="2082"/>
      <c r="I14" s="2082"/>
      <c r="J14" s="2082"/>
      <c r="K14" s="2082"/>
      <c r="L14" s="2082"/>
      <c r="M14" s="2082"/>
      <c r="N14" s="2082"/>
      <c r="O14" s="2082"/>
      <c r="P14" s="2082"/>
      <c r="Q14" s="2082"/>
      <c r="R14" s="2082"/>
      <c r="S14" s="2082"/>
      <c r="T14" s="2082"/>
      <c r="U14" s="2082"/>
      <c r="V14" s="664">
        <v>0</v>
      </c>
      <c r="W14" s="664">
        <v>0</v>
      </c>
      <c r="X14" s="665">
        <v>75100</v>
      </c>
      <c r="Y14" s="662" t="s">
        <v>0</v>
      </c>
    </row>
    <row r="15" spans="1:25" ht="20.25" customHeight="1">
      <c r="A15" s="2083" t="s">
        <v>242</v>
      </c>
      <c r="B15" s="2084"/>
      <c r="C15" s="2084"/>
      <c r="D15" s="2084"/>
      <c r="E15" s="2084"/>
      <c r="F15" s="2084"/>
      <c r="G15" s="2084"/>
      <c r="H15" s="2084"/>
      <c r="I15" s="2084"/>
      <c r="J15" s="2084"/>
      <c r="K15" s="2084"/>
      <c r="L15" s="2084"/>
      <c r="M15" s="2084"/>
      <c r="N15" s="2084"/>
      <c r="O15" s="2084"/>
      <c r="P15" s="2084"/>
      <c r="Q15" s="2084"/>
      <c r="R15" s="2084"/>
      <c r="S15" s="2084"/>
      <c r="T15" s="2084"/>
      <c r="U15" s="2084"/>
      <c r="V15" s="666"/>
      <c r="W15" s="666"/>
      <c r="X15" s="667"/>
      <c r="Y15" s="662" t="s">
        <v>0</v>
      </c>
    </row>
    <row r="16" spans="1:25">
      <c r="A16" s="2087" t="s">
        <v>117</v>
      </c>
      <c r="B16" s="2088"/>
      <c r="C16" s="2088"/>
      <c r="D16" s="2088"/>
      <c r="E16" s="2088"/>
      <c r="F16" s="2088"/>
      <c r="G16" s="2088"/>
      <c r="H16" s="2088"/>
      <c r="I16" s="2088"/>
      <c r="J16" s="2088"/>
      <c r="K16" s="2088"/>
      <c r="L16" s="2088"/>
      <c r="M16" s="2088"/>
      <c r="N16" s="2088"/>
      <c r="O16" s="2088"/>
      <c r="P16" s="2088"/>
      <c r="Q16" s="2088"/>
      <c r="R16" s="2088"/>
      <c r="S16" s="2088"/>
      <c r="T16" s="2088"/>
      <c r="U16" s="2088"/>
      <c r="V16" s="668">
        <f>+V15+V14</f>
        <v>0</v>
      </c>
      <c r="W16" s="668">
        <f>+W15+W14</f>
        <v>0</v>
      </c>
      <c r="X16" s="669">
        <f>+X15+X14</f>
        <v>75100</v>
      </c>
      <c r="Y16" s="662" t="s">
        <v>0</v>
      </c>
    </row>
    <row r="17" spans="1:25">
      <c r="A17" s="2081" t="s">
        <v>353</v>
      </c>
      <c r="B17" s="2082"/>
      <c r="C17" s="2082"/>
      <c r="D17" s="2082"/>
      <c r="E17" s="2082"/>
      <c r="F17" s="2082"/>
      <c r="G17" s="2082"/>
      <c r="H17" s="2082"/>
      <c r="I17" s="2082"/>
      <c r="J17" s="2082"/>
      <c r="K17" s="2082"/>
      <c r="L17" s="2082"/>
      <c r="M17" s="2082"/>
      <c r="N17" s="2082"/>
      <c r="O17" s="2082"/>
      <c r="P17" s="2082"/>
      <c r="Q17" s="2082"/>
      <c r="R17" s="2082"/>
      <c r="S17" s="2082"/>
      <c r="T17" s="2082"/>
      <c r="U17" s="2082"/>
      <c r="V17" s="670"/>
      <c r="W17" s="670"/>
      <c r="X17" s="671"/>
      <c r="Y17" s="662" t="s">
        <v>0</v>
      </c>
    </row>
    <row r="18" spans="1:25" ht="18.75" customHeight="1">
      <c r="A18" s="2089" t="s">
        <v>41</v>
      </c>
      <c r="B18" s="2090"/>
      <c r="C18" s="2090"/>
      <c r="D18" s="2090"/>
      <c r="E18" s="2090"/>
      <c r="F18" s="2090"/>
      <c r="G18" s="2090"/>
      <c r="H18" s="2090"/>
      <c r="I18" s="2090"/>
      <c r="J18" s="2090"/>
      <c r="K18" s="2090"/>
      <c r="L18" s="2090"/>
      <c r="M18" s="2090"/>
      <c r="N18" s="2090"/>
      <c r="O18" s="2090"/>
      <c r="P18" s="2090"/>
      <c r="Q18" s="2090"/>
      <c r="R18" s="2090"/>
      <c r="S18" s="2090"/>
      <c r="T18" s="2090"/>
      <c r="U18" s="2090"/>
      <c r="V18" s="672"/>
      <c r="W18" s="672"/>
      <c r="X18" s="673"/>
      <c r="Y18" s="662" t="s">
        <v>0</v>
      </c>
    </row>
    <row r="19" spans="1:25">
      <c r="A19" s="2091" t="s">
        <v>354</v>
      </c>
      <c r="B19" s="2092"/>
      <c r="C19" s="2092"/>
      <c r="D19" s="2092"/>
      <c r="E19" s="2092"/>
      <c r="F19" s="2092"/>
      <c r="G19" s="2092"/>
      <c r="H19" s="2092"/>
      <c r="I19" s="2092"/>
      <c r="J19" s="2092"/>
      <c r="K19" s="2092"/>
      <c r="L19" s="2092"/>
      <c r="M19" s="2092"/>
      <c r="N19" s="2092"/>
      <c r="O19" s="2092"/>
      <c r="P19" s="2092"/>
      <c r="Q19" s="2092"/>
      <c r="R19" s="2092"/>
      <c r="S19" s="2092"/>
      <c r="T19" s="2092"/>
      <c r="U19" s="2092"/>
      <c r="V19" s="674">
        <f>+V18+V17</f>
        <v>0</v>
      </c>
      <c r="W19" s="674">
        <f>+W18+W17</f>
        <v>0</v>
      </c>
      <c r="X19" s="675">
        <v>70100</v>
      </c>
      <c r="Y19" s="662" t="s">
        <v>0</v>
      </c>
    </row>
    <row r="20" spans="1:25">
      <c r="A20" s="2096" t="s">
        <v>38</v>
      </c>
      <c r="B20" s="2097"/>
      <c r="C20" s="2097"/>
      <c r="D20" s="2097"/>
      <c r="E20" s="2097"/>
      <c r="F20" s="2097"/>
      <c r="G20" s="2097"/>
      <c r="H20" s="2097"/>
      <c r="I20" s="2097"/>
      <c r="J20" s="2097"/>
      <c r="K20" s="2097"/>
      <c r="L20" s="2097"/>
      <c r="M20" s="2097"/>
      <c r="N20" s="2097"/>
      <c r="O20" s="2097"/>
      <c r="P20" s="2097"/>
      <c r="Q20" s="2097"/>
      <c r="R20" s="2097"/>
      <c r="S20" s="2097"/>
      <c r="T20" s="2097"/>
      <c r="U20" s="2097"/>
      <c r="V20" s="676">
        <v>0</v>
      </c>
      <c r="W20" s="676">
        <v>0</v>
      </c>
      <c r="X20" s="676">
        <v>0</v>
      </c>
      <c r="Y20" s="662" t="s">
        <v>0</v>
      </c>
    </row>
    <row r="21" spans="1:25">
      <c r="A21" s="2100" t="s">
        <v>244</v>
      </c>
      <c r="B21" s="2101"/>
      <c r="C21" s="2101"/>
      <c r="D21" s="2101"/>
      <c r="E21" s="2101"/>
      <c r="F21" s="2101"/>
      <c r="G21" s="2101"/>
      <c r="H21" s="2101"/>
      <c r="I21" s="2101"/>
      <c r="J21" s="2101"/>
      <c r="K21" s="2101"/>
      <c r="L21" s="2101"/>
      <c r="M21" s="2101"/>
      <c r="N21" s="2101"/>
      <c r="O21" s="2101"/>
      <c r="P21" s="2101"/>
      <c r="Q21" s="2101"/>
      <c r="R21" s="2101"/>
      <c r="S21" s="2101"/>
      <c r="T21" s="2101"/>
      <c r="U21" s="2102"/>
      <c r="V21" s="677">
        <f>+V20+V19</f>
        <v>0</v>
      </c>
      <c r="W21" s="677">
        <f>+W20+W19</f>
        <v>0</v>
      </c>
      <c r="X21" s="677">
        <f>+X20+X19</f>
        <v>70100</v>
      </c>
      <c r="Y21" s="662" t="s">
        <v>0</v>
      </c>
    </row>
    <row r="22" spans="1:25">
      <c r="A22" s="2079" t="s">
        <v>105</v>
      </c>
      <c r="B22" s="2080"/>
      <c r="C22" s="2080"/>
      <c r="D22" s="2080"/>
      <c r="E22" s="2080"/>
      <c r="F22" s="2080"/>
      <c r="G22" s="2080"/>
      <c r="H22" s="2080"/>
      <c r="I22" s="2080"/>
      <c r="J22" s="2080"/>
      <c r="K22" s="2080"/>
      <c r="L22" s="2080"/>
      <c r="M22" s="2080"/>
      <c r="N22" s="2080"/>
      <c r="O22" s="2080"/>
      <c r="P22" s="2080"/>
      <c r="Q22" s="2080"/>
      <c r="R22" s="2080"/>
      <c r="S22" s="2080"/>
      <c r="T22" s="2080"/>
      <c r="U22" s="2080"/>
      <c r="V22" s="676"/>
      <c r="W22" s="676"/>
      <c r="X22" s="667"/>
      <c r="Y22" s="662" t="s">
        <v>0</v>
      </c>
    </row>
    <row r="23" spans="1:25">
      <c r="A23" s="2096" t="s">
        <v>280</v>
      </c>
      <c r="B23" s="2097"/>
      <c r="C23" s="2097"/>
      <c r="D23" s="2097"/>
      <c r="E23" s="2097"/>
      <c r="F23" s="2097"/>
      <c r="G23" s="2097"/>
      <c r="H23" s="2097"/>
      <c r="I23" s="2097"/>
      <c r="J23" s="2097"/>
      <c r="K23" s="2097"/>
      <c r="L23" s="2097"/>
      <c r="M23" s="2097"/>
      <c r="N23" s="2097"/>
      <c r="O23" s="2097"/>
      <c r="P23" s="2097"/>
      <c r="Q23" s="2097"/>
      <c r="R23" s="2097"/>
      <c r="S23" s="2097"/>
      <c r="T23" s="2097"/>
      <c r="U23" s="2097"/>
      <c r="V23" s="676" t="s">
        <v>278</v>
      </c>
      <c r="W23" s="676"/>
      <c r="X23" s="667"/>
      <c r="Y23" s="662" t="s">
        <v>0</v>
      </c>
    </row>
    <row r="24" spans="1:25">
      <c r="A24" s="2105" t="s">
        <v>683</v>
      </c>
      <c r="B24" s="2106"/>
      <c r="C24" s="2106"/>
      <c r="D24" s="2106"/>
      <c r="E24" s="2106"/>
      <c r="F24" s="2106"/>
      <c r="G24" s="2106"/>
      <c r="H24" s="2106"/>
      <c r="I24" s="2106"/>
      <c r="J24" s="2106"/>
      <c r="K24" s="2106"/>
      <c r="L24" s="2106"/>
      <c r="M24" s="2106"/>
      <c r="N24" s="2106"/>
      <c r="O24" s="2106"/>
      <c r="P24" s="2106"/>
      <c r="Q24" s="2106"/>
      <c r="R24" s="2106"/>
      <c r="S24" s="2106"/>
      <c r="T24" s="2106"/>
      <c r="U24" s="2107"/>
      <c r="V24" s="676"/>
      <c r="W24" s="676"/>
      <c r="X24" s="667">
        <v>6000</v>
      </c>
      <c r="Y24" s="662" t="s">
        <v>0</v>
      </c>
    </row>
    <row r="25" spans="1:25">
      <c r="A25" s="2105" t="s">
        <v>684</v>
      </c>
      <c r="B25" s="2106"/>
      <c r="C25" s="2106"/>
      <c r="D25" s="2106"/>
      <c r="E25" s="2106"/>
      <c r="F25" s="2106"/>
      <c r="G25" s="2106"/>
      <c r="H25" s="2106"/>
      <c r="I25" s="2106"/>
      <c r="J25" s="2106"/>
      <c r="K25" s="2106"/>
      <c r="L25" s="2106"/>
      <c r="M25" s="2106"/>
      <c r="N25" s="2106"/>
      <c r="O25" s="2106"/>
      <c r="P25" s="2106"/>
      <c r="Q25" s="2106"/>
      <c r="R25" s="2106"/>
      <c r="S25" s="2106"/>
      <c r="T25" s="2106"/>
      <c r="U25" s="2107"/>
      <c r="V25" s="676"/>
      <c r="W25" s="676"/>
      <c r="X25" s="667">
        <v>7200</v>
      </c>
      <c r="Y25" s="662" t="s">
        <v>0</v>
      </c>
    </row>
    <row r="26" spans="1:25">
      <c r="A26" s="2103" t="s">
        <v>107</v>
      </c>
      <c r="B26" s="2104"/>
      <c r="C26" s="2104"/>
      <c r="D26" s="2104"/>
      <c r="E26" s="2104"/>
      <c r="F26" s="2104"/>
      <c r="G26" s="2104"/>
      <c r="H26" s="2104"/>
      <c r="I26" s="2104"/>
      <c r="J26" s="2104"/>
      <c r="K26" s="2104"/>
      <c r="L26" s="2104"/>
      <c r="M26" s="2104"/>
      <c r="N26" s="2104"/>
      <c r="O26" s="2104"/>
      <c r="P26" s="2104"/>
      <c r="Q26" s="2104"/>
      <c r="R26" s="2104"/>
      <c r="S26" s="2104"/>
      <c r="T26" s="2104"/>
      <c r="U26" s="2104"/>
      <c r="V26" s="679">
        <f>SUM(V24:V25)</f>
        <v>0</v>
      </c>
      <c r="W26" s="667">
        <f>SUM(W24:W25)</f>
        <v>0</v>
      </c>
      <c r="X26" s="667">
        <f>SUM(X24:X25)</f>
        <v>13200</v>
      </c>
      <c r="Y26" s="662" t="s">
        <v>0</v>
      </c>
    </row>
    <row r="27" spans="1:25">
      <c r="A27" s="2096" t="s">
        <v>369</v>
      </c>
      <c r="B27" s="2097"/>
      <c r="C27" s="2097"/>
      <c r="D27" s="2097"/>
      <c r="E27" s="2097"/>
      <c r="F27" s="2097"/>
      <c r="G27" s="2097"/>
      <c r="H27" s="2097"/>
      <c r="I27" s="2097"/>
      <c r="J27" s="2097"/>
      <c r="K27" s="2097"/>
      <c r="L27" s="2097"/>
      <c r="M27" s="2097"/>
      <c r="N27" s="2097"/>
      <c r="O27" s="2097"/>
      <c r="P27" s="2097"/>
      <c r="Q27" s="2097"/>
      <c r="R27" s="2097"/>
      <c r="S27" s="2097"/>
      <c r="T27" s="2097"/>
      <c r="U27" s="2097"/>
      <c r="V27" s="676"/>
      <c r="W27" s="676"/>
      <c r="X27" s="667"/>
      <c r="Y27" s="662" t="s">
        <v>0</v>
      </c>
    </row>
    <row r="28" spans="1:25" ht="18" customHeight="1">
      <c r="A28" s="2096" t="s">
        <v>106</v>
      </c>
      <c r="B28" s="2097"/>
      <c r="C28" s="2097"/>
      <c r="D28" s="2097"/>
      <c r="E28" s="2097"/>
      <c r="F28" s="2097"/>
      <c r="G28" s="2097"/>
      <c r="H28" s="2097"/>
      <c r="I28" s="2097"/>
      <c r="J28" s="2097"/>
      <c r="K28" s="2097"/>
      <c r="L28" s="2097"/>
      <c r="M28" s="2097"/>
      <c r="N28" s="2097"/>
      <c r="O28" s="2097"/>
      <c r="P28" s="2097"/>
      <c r="Q28" s="2097"/>
      <c r="R28" s="2097"/>
      <c r="S28" s="2097"/>
      <c r="T28" s="2097"/>
      <c r="U28" s="2097"/>
      <c r="V28" s="681">
        <f>SUM(V26)</f>
        <v>0</v>
      </c>
      <c r="W28" s="681">
        <f>SUM(W26)</f>
        <v>0</v>
      </c>
      <c r="X28" s="681">
        <f>SUM(X26)</f>
        <v>13200</v>
      </c>
      <c r="Y28" s="662" t="s">
        <v>0</v>
      </c>
    </row>
    <row r="29" spans="1:25" ht="18" customHeight="1">
      <c r="A29" s="2108" t="s">
        <v>245</v>
      </c>
      <c r="B29" s="2109"/>
      <c r="C29" s="2109"/>
      <c r="D29" s="2109"/>
      <c r="E29" s="2109"/>
      <c r="F29" s="2109"/>
      <c r="G29" s="2109"/>
      <c r="H29" s="2109"/>
      <c r="I29" s="2109"/>
      <c r="J29" s="2109"/>
      <c r="K29" s="2109"/>
      <c r="L29" s="2109"/>
      <c r="M29" s="2109"/>
      <c r="N29" s="2109"/>
      <c r="O29" s="2109"/>
      <c r="P29" s="2109"/>
      <c r="Q29" s="2109"/>
      <c r="R29" s="2109"/>
      <c r="S29" s="2109"/>
      <c r="T29" s="2109"/>
      <c r="U29" s="2109"/>
      <c r="V29" s="683">
        <f>V21+V28</f>
        <v>0</v>
      </c>
      <c r="W29" s="683">
        <f>W21+W28</f>
        <v>0</v>
      </c>
      <c r="X29" s="683">
        <f>X21+X28</f>
        <v>83300</v>
      </c>
      <c r="Y29" s="662" t="s">
        <v>0</v>
      </c>
    </row>
    <row r="30" spans="1:25" ht="18" customHeight="1">
      <c r="A30" s="2110" t="s">
        <v>360</v>
      </c>
      <c r="B30" s="2109"/>
      <c r="C30" s="2109"/>
      <c r="D30" s="2109"/>
      <c r="E30" s="2109"/>
      <c r="F30" s="2109"/>
      <c r="G30" s="2109"/>
      <c r="H30" s="2109"/>
      <c r="I30" s="2109"/>
      <c r="J30" s="2109"/>
      <c r="K30" s="2109"/>
      <c r="L30" s="2109"/>
      <c r="M30" s="2109"/>
      <c r="N30" s="2109"/>
      <c r="O30" s="2109"/>
      <c r="P30" s="2109"/>
      <c r="Q30" s="2109"/>
      <c r="R30" s="2109"/>
      <c r="S30" s="2109"/>
      <c r="T30" s="2109"/>
      <c r="U30" s="2109"/>
      <c r="V30" s="682">
        <f>+V29-V16</f>
        <v>0</v>
      </c>
      <c r="W30" s="682">
        <f>+W29-W16</f>
        <v>0</v>
      </c>
      <c r="X30" s="682">
        <f>+X29-X16</f>
        <v>8200</v>
      </c>
      <c r="Y30" s="662" t="s">
        <v>0</v>
      </c>
    </row>
    <row r="31" spans="1:25">
      <c r="Y31" s="662" t="s">
        <v>0</v>
      </c>
    </row>
    <row r="32" spans="1:25" ht="18" customHeight="1">
      <c r="Y32" s="662" t="s">
        <v>0</v>
      </c>
    </row>
    <row r="33" spans="1:25" ht="18" customHeight="1">
      <c r="Y33" s="662" t="s">
        <v>0</v>
      </c>
    </row>
    <row r="34" spans="1:25" ht="18" customHeight="1">
      <c r="Y34" s="662" t="s">
        <v>0</v>
      </c>
    </row>
    <row r="35" spans="1:25" ht="18" customHeight="1">
      <c r="Y35" s="662" t="s">
        <v>0</v>
      </c>
    </row>
    <row r="36" spans="1:25" ht="18" customHeight="1">
      <c r="Y36" s="662" t="s">
        <v>0</v>
      </c>
    </row>
    <row r="37" spans="1:25" ht="18" customHeight="1">
      <c r="Y37" s="662" t="s">
        <v>0</v>
      </c>
    </row>
    <row r="38" spans="1:25" ht="18" customHeight="1">
      <c r="Y38" s="662" t="s">
        <v>0</v>
      </c>
    </row>
    <row r="39" spans="1:25" ht="18" customHeight="1">
      <c r="Y39" s="662" t="s">
        <v>0</v>
      </c>
    </row>
    <row r="40" spans="1:25" ht="22.5">
      <c r="A40" s="2065" t="s">
        <v>267</v>
      </c>
      <c r="B40" s="2060"/>
      <c r="C40" s="2060"/>
      <c r="D40" s="2060"/>
      <c r="E40" s="2060"/>
      <c r="F40" s="2060"/>
      <c r="G40" s="2060"/>
      <c r="H40" s="2060"/>
      <c r="I40" s="2060"/>
      <c r="J40" s="2060"/>
      <c r="K40" s="2060"/>
      <c r="L40" s="2060"/>
      <c r="M40" s="2060"/>
      <c r="N40" s="2060"/>
      <c r="O40" s="2060"/>
      <c r="P40" s="2060"/>
      <c r="Q40" s="2060"/>
      <c r="R40" s="2060"/>
      <c r="S40" s="2060"/>
      <c r="T40" s="2060"/>
      <c r="U40" s="2060"/>
      <c r="V40" s="2060"/>
      <c r="W40" s="2060"/>
      <c r="X40" s="2060"/>
      <c r="Y40" s="662" t="s">
        <v>0</v>
      </c>
    </row>
    <row r="41" spans="1:25" ht="23.25">
      <c r="A41" s="2059" t="str">
        <f>A5</f>
        <v>Office of Justice Programs</v>
      </c>
      <c r="B41" s="2111"/>
      <c r="C41" s="2111"/>
      <c r="D41" s="2111"/>
      <c r="E41" s="2111"/>
      <c r="F41" s="2111"/>
      <c r="G41" s="2111"/>
      <c r="H41" s="2111"/>
      <c r="I41" s="2111"/>
      <c r="J41" s="2111"/>
      <c r="K41" s="2111"/>
      <c r="L41" s="2111"/>
      <c r="M41" s="2111"/>
      <c r="N41" s="2111"/>
      <c r="O41" s="2111"/>
      <c r="P41" s="2111"/>
      <c r="Q41" s="2111"/>
      <c r="R41" s="2111"/>
      <c r="S41" s="2111"/>
      <c r="T41" s="2111"/>
      <c r="U41" s="2111"/>
      <c r="V41" s="2111"/>
      <c r="W41" s="2111"/>
      <c r="X41" s="2111"/>
      <c r="Y41" s="662" t="s">
        <v>0</v>
      </c>
    </row>
    <row r="42" spans="1:25" ht="23.25">
      <c r="A42" s="2059" t="str">
        <f>A6</f>
        <v>Public Safety Officers Benefits</v>
      </c>
      <c r="B42" s="2060"/>
      <c r="C42" s="2060"/>
      <c r="D42" s="2060"/>
      <c r="E42" s="2060"/>
      <c r="F42" s="2060"/>
      <c r="G42" s="2060"/>
      <c r="H42" s="2060"/>
      <c r="I42" s="2060"/>
      <c r="J42" s="2060"/>
      <c r="K42" s="2060"/>
      <c r="L42" s="2060"/>
      <c r="M42" s="2060"/>
      <c r="N42" s="2060"/>
      <c r="O42" s="2060"/>
      <c r="P42" s="2060"/>
      <c r="Q42" s="2060"/>
      <c r="R42" s="2060"/>
      <c r="S42" s="2060"/>
      <c r="T42" s="2060"/>
      <c r="U42" s="2060"/>
      <c r="V42" s="2060"/>
      <c r="W42" s="2060"/>
      <c r="X42" s="2060"/>
      <c r="Y42" s="662" t="s">
        <v>0</v>
      </c>
    </row>
    <row r="43" spans="1:25" ht="23.25">
      <c r="A43" s="2059" t="s">
        <v>257</v>
      </c>
      <c r="B43" s="2066"/>
      <c r="C43" s="2066"/>
      <c r="D43" s="2066"/>
      <c r="E43" s="2066"/>
      <c r="F43" s="2066"/>
      <c r="G43" s="2066"/>
      <c r="H43" s="2066"/>
      <c r="I43" s="2066"/>
      <c r="J43" s="2066"/>
      <c r="K43" s="2066"/>
      <c r="L43" s="2066"/>
      <c r="M43" s="2066"/>
      <c r="N43" s="2066"/>
      <c r="O43" s="2066"/>
      <c r="P43" s="2066"/>
      <c r="Q43" s="2066"/>
      <c r="R43" s="2066"/>
      <c r="S43" s="2066"/>
      <c r="T43" s="2066"/>
      <c r="U43" s="2066"/>
      <c r="V43" s="2066"/>
      <c r="W43" s="2066"/>
      <c r="X43" s="2066"/>
      <c r="Y43" s="662" t="s">
        <v>0</v>
      </c>
    </row>
    <row r="44" spans="1:25" ht="18" customHeight="1">
      <c r="Y44" s="662" t="s">
        <v>0</v>
      </c>
    </row>
    <row r="45" spans="1:25" ht="18" customHeight="1">
      <c r="Y45" s="662" t="s">
        <v>0</v>
      </c>
    </row>
    <row r="46" spans="1:25" ht="18" customHeight="1">
      <c r="Y46" s="662" t="s">
        <v>0</v>
      </c>
    </row>
    <row r="47" spans="1:25" ht="18" customHeight="1">
      <c r="Y47" s="662" t="s">
        <v>0</v>
      </c>
    </row>
    <row r="48" spans="1:25" ht="18" customHeight="1">
      <c r="A48" s="685"/>
      <c r="B48" s="685"/>
      <c r="C48" s="685"/>
      <c r="D48" s="686"/>
      <c r="E48" s="686"/>
      <c r="F48" s="686"/>
      <c r="G48" s="686"/>
      <c r="H48" s="686"/>
      <c r="I48" s="686"/>
      <c r="J48" s="686"/>
      <c r="K48" s="686"/>
      <c r="L48" s="686"/>
      <c r="M48" s="686"/>
      <c r="N48" s="686"/>
      <c r="O48" s="686"/>
      <c r="P48" s="686"/>
      <c r="Q48" s="686"/>
      <c r="R48" s="686"/>
      <c r="S48" s="686"/>
      <c r="T48" s="686"/>
      <c r="U48" s="686"/>
      <c r="V48" s="686"/>
      <c r="W48" s="686"/>
      <c r="X48" s="686"/>
      <c r="Y48" s="662" t="s">
        <v>0</v>
      </c>
    </row>
    <row r="49" spans="1:25" ht="22.5" customHeight="1">
      <c r="A49" s="2112" t="s">
        <v>276</v>
      </c>
      <c r="B49" s="2113"/>
      <c r="C49" s="2113"/>
      <c r="D49" s="2118" t="s">
        <v>18</v>
      </c>
      <c r="E49" s="2119"/>
      <c r="F49" s="2120"/>
      <c r="G49" s="2124" t="s">
        <v>355</v>
      </c>
      <c r="H49" s="2125"/>
      <c r="I49" s="2126"/>
      <c r="J49" s="2118" t="s">
        <v>246</v>
      </c>
      <c r="K49" s="2119"/>
      <c r="L49" s="2120"/>
      <c r="M49" s="2118" t="s">
        <v>244</v>
      </c>
      <c r="N49" s="2119"/>
      <c r="O49" s="2120"/>
      <c r="P49" s="2118" t="s">
        <v>247</v>
      </c>
      <c r="Q49" s="2130"/>
      <c r="R49" s="2130"/>
      <c r="S49" s="2118" t="s">
        <v>248</v>
      </c>
      <c r="T49" s="2119"/>
      <c r="U49" s="2119"/>
      <c r="V49" s="2118" t="s">
        <v>42</v>
      </c>
      <c r="W49" s="2119"/>
      <c r="X49" s="2120"/>
      <c r="Y49" s="662" t="s">
        <v>0</v>
      </c>
    </row>
    <row r="50" spans="1:25" ht="27.75" customHeight="1">
      <c r="A50" s="2114"/>
      <c r="B50" s="2115"/>
      <c r="C50" s="2115"/>
      <c r="D50" s="2121"/>
      <c r="E50" s="2122"/>
      <c r="F50" s="2123"/>
      <c r="G50" s="2127"/>
      <c r="H50" s="2128"/>
      <c r="I50" s="2129"/>
      <c r="J50" s="2121"/>
      <c r="K50" s="2122"/>
      <c r="L50" s="2123"/>
      <c r="M50" s="2121"/>
      <c r="N50" s="2122"/>
      <c r="O50" s="2123"/>
      <c r="P50" s="2131"/>
      <c r="Q50" s="2132"/>
      <c r="R50" s="2132"/>
      <c r="S50" s="2121"/>
      <c r="T50" s="2122"/>
      <c r="U50" s="2122"/>
      <c r="V50" s="2121"/>
      <c r="W50" s="2122"/>
      <c r="X50" s="2123"/>
      <c r="Y50" s="662" t="s">
        <v>0</v>
      </c>
    </row>
    <row r="51" spans="1:25" ht="16.5" thickBot="1">
      <c r="A51" s="2116"/>
      <c r="B51" s="2117"/>
      <c r="C51" s="2117"/>
      <c r="D51" s="687" t="s">
        <v>277</v>
      </c>
      <c r="E51" s="688" t="s">
        <v>49</v>
      </c>
      <c r="F51" s="689" t="s">
        <v>279</v>
      </c>
      <c r="G51" s="687" t="s">
        <v>277</v>
      </c>
      <c r="H51" s="688" t="s">
        <v>49</v>
      </c>
      <c r="I51" s="689" t="s">
        <v>279</v>
      </c>
      <c r="J51" s="687" t="s">
        <v>277</v>
      </c>
      <c r="K51" s="688" t="s">
        <v>49</v>
      </c>
      <c r="L51" s="689" t="s">
        <v>279</v>
      </c>
      <c r="M51" s="687" t="s">
        <v>277</v>
      </c>
      <c r="N51" s="688" t="s">
        <v>49</v>
      </c>
      <c r="O51" s="689" t="s">
        <v>279</v>
      </c>
      <c r="P51" s="687" t="s">
        <v>277</v>
      </c>
      <c r="Q51" s="688" t="s">
        <v>49</v>
      </c>
      <c r="R51" s="689" t="s">
        <v>279</v>
      </c>
      <c r="S51" s="687" t="s">
        <v>277</v>
      </c>
      <c r="T51" s="688" t="s">
        <v>49</v>
      </c>
      <c r="U51" s="689" t="s">
        <v>279</v>
      </c>
      <c r="V51" s="690" t="s">
        <v>277</v>
      </c>
      <c r="W51" s="688" t="s">
        <v>49</v>
      </c>
      <c r="X51" s="691" t="s">
        <v>279</v>
      </c>
      <c r="Y51" s="662" t="s">
        <v>0</v>
      </c>
    </row>
    <row r="52" spans="1:25">
      <c r="A52" s="692"/>
      <c r="B52" s="2135" t="s">
        <v>683</v>
      </c>
      <c r="C52" s="2135"/>
      <c r="D52" s="695"/>
      <c r="E52" s="696"/>
      <c r="F52" s="697">
        <v>66000</v>
      </c>
      <c r="G52" s="695"/>
      <c r="H52" s="696"/>
      <c r="I52" s="697">
        <v>61000</v>
      </c>
      <c r="J52" s="695"/>
      <c r="K52" s="696"/>
      <c r="L52" s="697"/>
      <c r="M52" s="695"/>
      <c r="N52" s="696"/>
      <c r="O52" s="697">
        <f>L52+I52</f>
        <v>61000</v>
      </c>
      <c r="P52" s="695"/>
      <c r="Q52" s="696"/>
      <c r="R52" s="697">
        <v>6000</v>
      </c>
      <c r="S52" s="695"/>
      <c r="T52" s="696"/>
      <c r="U52" s="697"/>
      <c r="V52" s="695"/>
      <c r="W52" s="696"/>
      <c r="X52" s="708">
        <f>R52+O52+U52</f>
        <v>67000</v>
      </c>
      <c r="Y52" s="662" t="s">
        <v>0</v>
      </c>
    </row>
    <row r="53" spans="1:25" ht="33.75" customHeight="1">
      <c r="A53" s="692"/>
      <c r="B53" s="2351" t="s">
        <v>684</v>
      </c>
      <c r="C53" s="2352"/>
      <c r="D53" s="695"/>
      <c r="E53" s="696"/>
      <c r="F53" s="701">
        <f>5000+4100</f>
        <v>9100</v>
      </c>
      <c r="G53" s="695"/>
      <c r="H53" s="696"/>
      <c r="I53" s="701">
        <f>5000+4100</f>
        <v>9100</v>
      </c>
      <c r="J53" s="695"/>
      <c r="K53" s="696"/>
      <c r="L53" s="701"/>
      <c r="M53" s="695"/>
      <c r="N53" s="696"/>
      <c r="O53" s="697">
        <f t="shared" ref="O53" si="0">L53+I53</f>
        <v>9100</v>
      </c>
      <c r="P53" s="695"/>
      <c r="Q53" s="696"/>
      <c r="R53" s="701">
        <v>7200</v>
      </c>
      <c r="S53" s="695"/>
      <c r="T53" s="696"/>
      <c r="U53" s="701"/>
      <c r="V53" s="695"/>
      <c r="W53" s="696"/>
      <c r="X53" s="708">
        <f>R53+O53+U53</f>
        <v>16300</v>
      </c>
      <c r="Y53" s="662" t="s">
        <v>0</v>
      </c>
    </row>
    <row r="54" spans="1:25">
      <c r="A54" s="710"/>
      <c r="B54" s="711"/>
      <c r="C54" s="711" t="s">
        <v>50</v>
      </c>
      <c r="D54" s="712">
        <f t="shared" ref="D54:X54" si="1">SUM(D52:D53)</f>
        <v>0</v>
      </c>
      <c r="E54" s="713">
        <f t="shared" si="1"/>
        <v>0</v>
      </c>
      <c r="F54" s="714">
        <f t="shared" si="1"/>
        <v>75100</v>
      </c>
      <c r="G54" s="712">
        <f t="shared" si="1"/>
        <v>0</v>
      </c>
      <c r="H54" s="713">
        <f t="shared" si="1"/>
        <v>0</v>
      </c>
      <c r="I54" s="714">
        <f t="shared" si="1"/>
        <v>70100</v>
      </c>
      <c r="J54" s="712">
        <f t="shared" si="1"/>
        <v>0</v>
      </c>
      <c r="K54" s="713">
        <f t="shared" si="1"/>
        <v>0</v>
      </c>
      <c r="L54" s="714">
        <f t="shared" si="1"/>
        <v>0</v>
      </c>
      <c r="M54" s="712">
        <f t="shared" si="1"/>
        <v>0</v>
      </c>
      <c r="N54" s="713">
        <f t="shared" si="1"/>
        <v>0</v>
      </c>
      <c r="O54" s="714">
        <f t="shared" si="1"/>
        <v>70100</v>
      </c>
      <c r="P54" s="712">
        <f t="shared" si="1"/>
        <v>0</v>
      </c>
      <c r="Q54" s="713">
        <f t="shared" si="1"/>
        <v>0</v>
      </c>
      <c r="R54" s="714">
        <f t="shared" si="1"/>
        <v>13200</v>
      </c>
      <c r="S54" s="712">
        <f t="shared" si="1"/>
        <v>0</v>
      </c>
      <c r="T54" s="713">
        <f t="shared" si="1"/>
        <v>0</v>
      </c>
      <c r="U54" s="714">
        <f t="shared" si="1"/>
        <v>0</v>
      </c>
      <c r="V54" s="712">
        <f t="shared" si="1"/>
        <v>0</v>
      </c>
      <c r="W54" s="713">
        <f t="shared" si="1"/>
        <v>0</v>
      </c>
      <c r="X54" s="715">
        <f t="shared" si="1"/>
        <v>83300</v>
      </c>
      <c r="Y54" s="662" t="s">
        <v>0</v>
      </c>
    </row>
    <row r="55" spans="1:25" ht="17.25" customHeight="1">
      <c r="A55" s="725"/>
      <c r="B55" s="2140"/>
      <c r="C55" s="2141"/>
      <c r="D55" s="726"/>
      <c r="E55" s="727"/>
      <c r="F55" s="663"/>
      <c r="G55" s="728"/>
      <c r="H55" s="729"/>
      <c r="I55" s="729"/>
      <c r="J55" s="728"/>
      <c r="K55" s="729"/>
      <c r="L55" s="729"/>
      <c r="M55" s="728"/>
      <c r="N55" s="729"/>
      <c r="O55" s="729"/>
      <c r="P55" s="728"/>
      <c r="Q55" s="729"/>
      <c r="R55" s="729"/>
      <c r="S55" s="728"/>
      <c r="T55" s="729"/>
      <c r="U55" s="729"/>
      <c r="V55" s="728"/>
      <c r="W55" s="730"/>
      <c r="X55" s="731"/>
      <c r="Y55" s="662" t="s">
        <v>0</v>
      </c>
    </row>
    <row r="56" spans="1:25">
      <c r="A56" s="710"/>
      <c r="B56" s="2142" t="s">
        <v>263</v>
      </c>
      <c r="C56" s="2143"/>
      <c r="D56" s="732"/>
      <c r="E56" s="733"/>
      <c r="F56" s="734"/>
      <c r="G56" s="735"/>
      <c r="H56" s="736"/>
      <c r="I56" s="736"/>
      <c r="J56" s="735"/>
      <c r="K56" s="736"/>
      <c r="L56" s="736"/>
      <c r="M56" s="735"/>
      <c r="N56" s="736"/>
      <c r="O56" s="736"/>
      <c r="P56" s="735"/>
      <c r="Q56" s="736"/>
      <c r="R56" s="736"/>
      <c r="S56" s="735"/>
      <c r="T56" s="736"/>
      <c r="U56" s="736"/>
      <c r="V56" s="735"/>
      <c r="W56" s="733"/>
      <c r="X56" s="737"/>
      <c r="Y56" s="662" t="s">
        <v>0</v>
      </c>
    </row>
    <row r="57" spans="1:25">
      <c r="A57" s="692"/>
      <c r="B57" s="2144" t="s">
        <v>262</v>
      </c>
      <c r="C57" s="2145"/>
      <c r="D57" s="695"/>
      <c r="E57" s="696">
        <f>+E54+E56</f>
        <v>0</v>
      </c>
      <c r="F57" s="701"/>
      <c r="G57" s="738"/>
      <c r="H57" s="696">
        <f>+H54+H56</f>
        <v>0</v>
      </c>
      <c r="I57" s="697"/>
      <c r="J57" s="738"/>
      <c r="K57" s="696">
        <f>+K54+K56</f>
        <v>0</v>
      </c>
      <c r="L57" s="697"/>
      <c r="M57" s="738"/>
      <c r="N57" s="696">
        <f>+N54+N56</f>
        <v>0</v>
      </c>
      <c r="O57" s="697"/>
      <c r="P57" s="738"/>
      <c r="Q57" s="696">
        <f>+Q54+Q56</f>
        <v>0</v>
      </c>
      <c r="R57" s="697"/>
      <c r="S57" s="738"/>
      <c r="T57" s="696">
        <f>+T54+T56</f>
        <v>0</v>
      </c>
      <c r="U57" s="697"/>
      <c r="V57" s="738"/>
      <c r="W57" s="696">
        <f>+W54+W56</f>
        <v>0</v>
      </c>
      <c r="X57" s="667"/>
      <c r="Y57" s="662" t="s">
        <v>0</v>
      </c>
    </row>
    <row r="58" spans="1:25">
      <c r="A58" s="739"/>
      <c r="B58" s="2133"/>
      <c r="C58" s="2134"/>
      <c r="D58" s="726"/>
      <c r="E58" s="727"/>
      <c r="F58" s="663"/>
      <c r="G58" s="728"/>
      <c r="H58" s="729"/>
      <c r="I58" s="729"/>
      <c r="J58" s="728"/>
      <c r="K58" s="729"/>
      <c r="L58" s="729"/>
      <c r="M58" s="728"/>
      <c r="N58" s="729"/>
      <c r="O58" s="729"/>
      <c r="P58" s="728"/>
      <c r="Q58" s="729"/>
      <c r="R58" s="729"/>
      <c r="S58" s="728"/>
      <c r="T58" s="729"/>
      <c r="U58" s="729"/>
      <c r="V58" s="728"/>
      <c r="W58" s="730"/>
      <c r="X58" s="731"/>
      <c r="Y58" s="662" t="s">
        <v>0</v>
      </c>
    </row>
    <row r="59" spans="1:25">
      <c r="A59" s="692"/>
      <c r="B59" s="2144" t="s">
        <v>260</v>
      </c>
      <c r="C59" s="2145"/>
      <c r="D59" s="695"/>
      <c r="E59" s="696"/>
      <c r="F59" s="701"/>
      <c r="G59" s="738"/>
      <c r="H59" s="697"/>
      <c r="I59" s="697"/>
      <c r="J59" s="738"/>
      <c r="K59" s="697"/>
      <c r="L59" s="697"/>
      <c r="M59" s="738"/>
      <c r="N59" s="697"/>
      <c r="O59" s="697"/>
      <c r="P59" s="738"/>
      <c r="Q59" s="697"/>
      <c r="R59" s="697"/>
      <c r="S59" s="738"/>
      <c r="T59" s="697"/>
      <c r="U59" s="697"/>
      <c r="V59" s="738"/>
      <c r="W59" s="697"/>
      <c r="X59" s="667"/>
      <c r="Y59" s="662" t="s">
        <v>0</v>
      </c>
    </row>
    <row r="60" spans="1:25">
      <c r="A60" s="692"/>
      <c r="B60" s="740"/>
      <c r="C60" s="704" t="s">
        <v>55</v>
      </c>
      <c r="D60" s="695"/>
      <c r="E60" s="696"/>
      <c r="F60" s="701"/>
      <c r="G60" s="738"/>
      <c r="H60" s="697"/>
      <c r="I60" s="697"/>
      <c r="J60" s="738"/>
      <c r="K60" s="696"/>
      <c r="L60" s="697"/>
      <c r="M60" s="738"/>
      <c r="N60" s="696"/>
      <c r="O60" s="697"/>
      <c r="P60" s="738"/>
      <c r="Q60" s="696"/>
      <c r="R60" s="697"/>
      <c r="S60" s="738"/>
      <c r="T60" s="696"/>
      <c r="U60" s="697"/>
      <c r="V60" s="738"/>
      <c r="W60" s="741"/>
      <c r="X60" s="667"/>
      <c r="Y60" s="662" t="s">
        <v>0</v>
      </c>
    </row>
    <row r="61" spans="1:25">
      <c r="A61" s="710"/>
      <c r="B61" s="742"/>
      <c r="C61" s="743" t="s">
        <v>103</v>
      </c>
      <c r="D61" s="732"/>
      <c r="E61" s="733"/>
      <c r="F61" s="734"/>
      <c r="G61" s="735"/>
      <c r="H61" s="736"/>
      <c r="I61" s="736"/>
      <c r="J61" s="735"/>
      <c r="K61" s="733"/>
      <c r="L61" s="736"/>
      <c r="M61" s="735"/>
      <c r="N61" s="733"/>
      <c r="O61" s="736"/>
      <c r="P61" s="735"/>
      <c r="Q61" s="733"/>
      <c r="R61" s="736"/>
      <c r="S61" s="735"/>
      <c r="T61" s="733"/>
      <c r="U61" s="736"/>
      <c r="V61" s="735"/>
      <c r="W61" s="733"/>
      <c r="X61" s="737"/>
      <c r="Y61" s="662" t="s">
        <v>0</v>
      </c>
    </row>
    <row r="62" spans="1:25">
      <c r="A62" s="710"/>
      <c r="B62" s="2148" t="s">
        <v>261</v>
      </c>
      <c r="C62" s="2149"/>
      <c r="D62" s="732"/>
      <c r="E62" s="733">
        <f>E61+E60+E57</f>
        <v>0</v>
      </c>
      <c r="F62" s="734"/>
      <c r="G62" s="735"/>
      <c r="H62" s="733">
        <f>H61+H60+H57</f>
        <v>0</v>
      </c>
      <c r="I62" s="736"/>
      <c r="J62" s="735"/>
      <c r="K62" s="733">
        <f>K61+K60+K57</f>
        <v>0</v>
      </c>
      <c r="L62" s="736"/>
      <c r="M62" s="735"/>
      <c r="N62" s="733">
        <f>N61+N60+N57</f>
        <v>0</v>
      </c>
      <c r="O62" s="736"/>
      <c r="P62" s="735"/>
      <c r="Q62" s="733">
        <f>Q61+Q60+Q57</f>
        <v>0</v>
      </c>
      <c r="R62" s="736"/>
      <c r="S62" s="735"/>
      <c r="T62" s="733">
        <f>T61+T60+T57</f>
        <v>0</v>
      </c>
      <c r="U62" s="736"/>
      <c r="V62" s="735"/>
      <c r="W62" s="733">
        <f>W61+W60+W57</f>
        <v>0</v>
      </c>
      <c r="X62" s="737"/>
      <c r="Y62" s="662" t="s">
        <v>24</v>
      </c>
    </row>
    <row r="63" spans="1:25">
      <c r="C63" s="744"/>
    </row>
  </sheetData>
  <mergeCells count="52">
    <mergeCell ref="B58:C58"/>
    <mergeCell ref="B59:C59"/>
    <mergeCell ref="B62:C62"/>
    <mergeCell ref="V49:X50"/>
    <mergeCell ref="B52:C52"/>
    <mergeCell ref="B53:C53"/>
    <mergeCell ref="B55:C55"/>
    <mergeCell ref="B56:C56"/>
    <mergeCell ref="B57:C57"/>
    <mergeCell ref="A41:X41"/>
    <mergeCell ref="A42:X42"/>
    <mergeCell ref="A43:X43"/>
    <mergeCell ref="A49:C51"/>
    <mergeCell ref="D49:F50"/>
    <mergeCell ref="G49:I50"/>
    <mergeCell ref="J49:L50"/>
    <mergeCell ref="M49:O50"/>
    <mergeCell ref="P49:R50"/>
    <mergeCell ref="S49:U50"/>
    <mergeCell ref="A40:X40"/>
    <mergeCell ref="A20:U20"/>
    <mergeCell ref="A21:U21"/>
    <mergeCell ref="A22:U22"/>
    <mergeCell ref="A23:U23"/>
    <mergeCell ref="A24:U24"/>
    <mergeCell ref="A25:U25"/>
    <mergeCell ref="A26:U26"/>
    <mergeCell ref="A27:U27"/>
    <mergeCell ref="A28:U28"/>
    <mergeCell ref="A29:U29"/>
    <mergeCell ref="A30:U30"/>
    <mergeCell ref="A19:U19"/>
    <mergeCell ref="A7:X7"/>
    <mergeCell ref="A8:X8"/>
    <mergeCell ref="A9:X9"/>
    <mergeCell ref="A10:X10"/>
    <mergeCell ref="A11:U13"/>
    <mergeCell ref="V11:X11"/>
    <mergeCell ref="V12:V13"/>
    <mergeCell ref="W12:W13"/>
    <mergeCell ref="X12:X13"/>
    <mergeCell ref="A14:U14"/>
    <mergeCell ref="A15:U15"/>
    <mergeCell ref="A16:U16"/>
    <mergeCell ref="A17:U17"/>
    <mergeCell ref="A18:U18"/>
    <mergeCell ref="A6:X6"/>
    <mergeCell ref="A1:X1"/>
    <mergeCell ref="A2:X2"/>
    <mergeCell ref="A3:X3"/>
    <mergeCell ref="A4:X4"/>
    <mergeCell ref="A5:X5"/>
  </mergeCells>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Requirements&amp;R&amp;"Times New Roman,Regular"Public Safety Officers Benefits</oddFooter>
  </headerFooter>
  <rowBreaks count="1" manualBreakCount="1">
    <brk id="30" max="23" man="1"/>
  </rowBreaks>
</worksheet>
</file>

<file path=xl/worksheets/sheet47.xml><?xml version="1.0" encoding="utf-8"?>
<worksheet xmlns="http://schemas.openxmlformats.org/spreadsheetml/2006/main" xmlns:r="http://schemas.openxmlformats.org/officeDocument/2006/relationships">
  <sheetPr>
    <pageSetUpPr fitToPage="1"/>
  </sheetPr>
  <dimension ref="A1:H29"/>
  <sheetViews>
    <sheetView view="pageBreakPreview" zoomScale="75" zoomScaleNormal="75" zoomScaleSheetLayoutView="75" workbookViewId="0">
      <selection activeCell="S74" sqref="S74"/>
    </sheetView>
  </sheetViews>
  <sheetFormatPr defaultColWidth="7.21875" defaultRowHeight="12.75"/>
  <cols>
    <col min="1" max="1" width="28.44140625" style="764" customWidth="1"/>
    <col min="2" max="2" width="22.21875" style="764" customWidth="1"/>
    <col min="3" max="3" width="4.6640625" style="764" customWidth="1"/>
    <col min="4" max="4" width="7.5546875" style="764" customWidth="1"/>
    <col min="5" max="5" width="4.6640625" style="764" customWidth="1"/>
    <col min="6" max="6" width="8.44140625" style="764" bestFit="1" customWidth="1"/>
    <col min="7" max="7" width="11.33203125" style="764" customWidth="1"/>
    <col min="8" max="8" width="8.88671875" style="811" customWidth="1"/>
    <col min="9" max="16384" width="7.21875" style="764"/>
  </cols>
  <sheetData>
    <row r="1" spans="1:8" ht="20.25">
      <c r="A1" s="2156" t="s">
        <v>33</v>
      </c>
      <c r="B1" s="2157"/>
      <c r="C1" s="2157"/>
      <c r="D1" s="2157"/>
      <c r="E1" s="2157"/>
      <c r="F1" s="2157"/>
      <c r="G1" s="2157"/>
      <c r="H1" s="763" t="s">
        <v>0</v>
      </c>
    </row>
    <row r="2" spans="1:8" ht="20.25">
      <c r="A2" s="2033"/>
      <c r="B2" s="2033"/>
      <c r="C2" s="2033"/>
      <c r="D2" s="2033"/>
      <c r="E2" s="2033"/>
      <c r="F2" s="2033"/>
      <c r="G2" s="2033"/>
      <c r="H2" s="763" t="s">
        <v>0</v>
      </c>
    </row>
    <row r="3" spans="1:8">
      <c r="A3" s="2158"/>
      <c r="B3" s="2158"/>
      <c r="C3" s="2158"/>
      <c r="D3" s="2158"/>
      <c r="E3" s="2158"/>
      <c r="F3" s="2158"/>
      <c r="G3" s="2158"/>
      <c r="H3" s="763" t="s">
        <v>0</v>
      </c>
    </row>
    <row r="4" spans="1:8" ht="23.25">
      <c r="A4" s="2159" t="s">
        <v>239</v>
      </c>
      <c r="B4" s="2155"/>
      <c r="C4" s="2155"/>
      <c r="D4" s="2155"/>
      <c r="E4" s="2155"/>
      <c r="F4" s="2155"/>
      <c r="G4" s="2155"/>
      <c r="H4" s="763" t="s">
        <v>0</v>
      </c>
    </row>
    <row r="5" spans="1:8" ht="23.25">
      <c r="A5" s="2160" t="str">
        <f>'B. Summ of Reqs - PSOB'!A41</f>
        <v>Office of Justice Programs</v>
      </c>
      <c r="B5" s="2161"/>
      <c r="C5" s="2161"/>
      <c r="D5" s="2161"/>
      <c r="E5" s="2161"/>
      <c r="F5" s="2161"/>
      <c r="G5" s="2161"/>
      <c r="H5" s="763" t="s">
        <v>0</v>
      </c>
    </row>
    <row r="6" spans="1:8" ht="23.25">
      <c r="A6" s="2160" t="str">
        <f>'B. Summ of Reqs - PSOB'!A42</f>
        <v>Public Safety Officers Benefits</v>
      </c>
      <c r="B6" s="2161"/>
      <c r="C6" s="2161"/>
      <c r="D6" s="2161"/>
      <c r="E6" s="2161"/>
      <c r="F6" s="2161"/>
      <c r="G6" s="2161"/>
      <c r="H6" s="763" t="s">
        <v>0</v>
      </c>
    </row>
    <row r="7" spans="1:8" ht="23.25">
      <c r="A7" s="2154" t="s">
        <v>257</v>
      </c>
      <c r="B7" s="2155"/>
      <c r="C7" s="2155"/>
      <c r="D7" s="2155"/>
      <c r="E7" s="2155"/>
      <c r="F7" s="2155"/>
      <c r="G7" s="2155"/>
      <c r="H7" s="763" t="s">
        <v>0</v>
      </c>
    </row>
    <row r="8" spans="1:8">
      <c r="A8" s="2162"/>
      <c r="B8" s="2162"/>
      <c r="C8" s="2162"/>
      <c r="D8" s="2162"/>
      <c r="E8" s="2162"/>
      <c r="F8" s="2162"/>
      <c r="G8" s="2162"/>
      <c r="H8" s="763" t="s">
        <v>0</v>
      </c>
    </row>
    <row r="9" spans="1:8">
      <c r="A9" s="2163"/>
      <c r="B9" s="2163"/>
      <c r="C9" s="2163"/>
      <c r="D9" s="2163"/>
      <c r="E9" s="2163"/>
      <c r="F9" s="2163"/>
      <c r="G9" s="2163"/>
      <c r="H9" s="763" t="s">
        <v>0</v>
      </c>
    </row>
    <row r="10" spans="1:8" ht="15">
      <c r="A10" s="2164" t="s">
        <v>238</v>
      </c>
      <c r="B10" s="2166" t="s">
        <v>22</v>
      </c>
      <c r="C10" s="2168" t="s">
        <v>682</v>
      </c>
      <c r="D10" s="2169"/>
      <c r="E10" s="2169"/>
      <c r="F10" s="2170"/>
      <c r="G10" s="2166" t="s">
        <v>449</v>
      </c>
      <c r="H10" s="763" t="s">
        <v>0</v>
      </c>
    </row>
    <row r="11" spans="1:8" ht="25.5" customHeight="1">
      <c r="A11" s="2165"/>
      <c r="B11" s="2167"/>
      <c r="C11" s="765" t="s">
        <v>277</v>
      </c>
      <c r="D11" s="765" t="s">
        <v>10</v>
      </c>
      <c r="E11" s="765" t="s">
        <v>49</v>
      </c>
      <c r="F11" s="766" t="s">
        <v>279</v>
      </c>
      <c r="G11" s="2167"/>
      <c r="H11" s="763" t="s">
        <v>0</v>
      </c>
    </row>
    <row r="12" spans="1:8" ht="15.75">
      <c r="A12" s="767"/>
      <c r="B12" s="768"/>
      <c r="C12" s="769"/>
      <c r="D12" s="770"/>
      <c r="E12" s="770"/>
      <c r="F12" s="771"/>
      <c r="G12" s="771"/>
      <c r="H12" s="763" t="s">
        <v>0</v>
      </c>
    </row>
    <row r="13" spans="1:8" ht="18.75" customHeight="1">
      <c r="A13" s="767" t="s">
        <v>683</v>
      </c>
      <c r="B13" s="768" t="s">
        <v>682</v>
      </c>
      <c r="C13" s="772"/>
      <c r="D13" s="770"/>
      <c r="E13" s="770"/>
      <c r="F13" s="771">
        <v>6000</v>
      </c>
      <c r="G13" s="771">
        <f t="shared" ref="G13:G14" si="0">+F13</f>
        <v>6000</v>
      </c>
      <c r="H13" s="763" t="s">
        <v>0</v>
      </c>
    </row>
    <row r="14" spans="1:8" ht="18.75" customHeight="1">
      <c r="A14" s="767" t="s">
        <v>684</v>
      </c>
      <c r="B14" s="768" t="s">
        <v>682</v>
      </c>
      <c r="C14" s="772"/>
      <c r="D14" s="770"/>
      <c r="E14" s="770"/>
      <c r="F14" s="771">
        <v>7200</v>
      </c>
      <c r="G14" s="771">
        <f t="shared" si="0"/>
        <v>7200</v>
      </c>
      <c r="H14" s="763" t="s">
        <v>0</v>
      </c>
    </row>
    <row r="15" spans="1:8" ht="18.75" customHeight="1">
      <c r="A15" s="773"/>
      <c r="B15" s="774"/>
      <c r="C15" s="775"/>
      <c r="D15" s="776"/>
      <c r="E15" s="776"/>
      <c r="F15" s="777"/>
      <c r="G15" s="778"/>
      <c r="H15" s="763" t="s">
        <v>0</v>
      </c>
    </row>
    <row r="16" spans="1:8" ht="18.75" customHeight="1">
      <c r="A16" s="779" t="s">
        <v>455</v>
      </c>
      <c r="B16" s="780"/>
      <c r="C16" s="781">
        <f>SUM(C12:C15)</f>
        <v>0</v>
      </c>
      <c r="D16" s="782">
        <f>SUM(D12:D15)</f>
        <v>0</v>
      </c>
      <c r="E16" s="782">
        <f>SUM(E12:E15)</f>
        <v>0</v>
      </c>
      <c r="F16" s="783">
        <f>SUM(F12:F15)</f>
        <v>13200</v>
      </c>
      <c r="G16" s="784">
        <f>SUM(G12:G15)</f>
        <v>13200</v>
      </c>
      <c r="H16" s="763" t="s">
        <v>0</v>
      </c>
    </row>
    <row r="17" spans="1:8" ht="18.75" customHeight="1">
      <c r="A17" s="785"/>
      <c r="B17" s="773"/>
      <c r="C17" s="785"/>
      <c r="D17" s="786"/>
      <c r="E17" s="786"/>
      <c r="F17" s="787"/>
      <c r="G17" s="787"/>
      <c r="H17" s="763" t="s">
        <v>24</v>
      </c>
    </row>
    <row r="18" spans="1:8" ht="18.75" customHeight="1">
      <c r="A18" s="799"/>
      <c r="B18" s="800"/>
      <c r="C18" s="800"/>
      <c r="D18" s="800"/>
      <c r="E18" s="800"/>
      <c r="F18" s="800"/>
      <c r="G18" s="800"/>
      <c r="H18" s="763"/>
    </row>
    <row r="19" spans="1:8" ht="18.75" customHeight="1">
      <c r="H19" s="763"/>
    </row>
    <row r="20" spans="1:8" ht="18.75" customHeight="1">
      <c r="A20" s="801"/>
      <c r="B20" s="802"/>
      <c r="C20" s="803"/>
      <c r="D20" s="803"/>
      <c r="E20" s="803"/>
      <c r="F20" s="803"/>
      <c r="G20" s="803"/>
      <c r="H20" s="763"/>
    </row>
    <row r="21" spans="1:8" ht="18.75" customHeight="1">
      <c r="A21" s="801"/>
      <c r="B21" s="804"/>
      <c r="C21" s="805"/>
      <c r="D21" s="805"/>
      <c r="E21" s="805"/>
      <c r="F21" s="803"/>
      <c r="G21" s="805"/>
      <c r="H21" s="763"/>
    </row>
    <row r="22" spans="1:8" ht="18.75" customHeight="1">
      <c r="A22" s="801"/>
      <c r="B22" s="804"/>
      <c r="C22" s="806"/>
      <c r="D22" s="806"/>
      <c r="E22" s="806"/>
      <c r="F22" s="807"/>
      <c r="G22" s="808"/>
      <c r="H22" s="763"/>
    </row>
    <row r="23" spans="1:8" ht="12.75" customHeight="1">
      <c r="A23" s="809"/>
      <c r="B23" s="810"/>
      <c r="C23" s="810"/>
      <c r="D23" s="810"/>
      <c r="E23" s="810"/>
      <c r="F23" s="810"/>
    </row>
    <row r="24" spans="1:8" ht="33.75" customHeight="1">
      <c r="A24" s="2174"/>
      <c r="B24" s="2175"/>
      <c r="C24" s="2175"/>
      <c r="D24" s="2175"/>
      <c r="E24" s="2175"/>
      <c r="F24" s="2175"/>
    </row>
    <row r="25" spans="1:8" ht="12.75" customHeight="1">
      <c r="A25" s="812"/>
      <c r="B25" s="812"/>
      <c r="C25" s="812"/>
      <c r="D25" s="812"/>
      <c r="E25" s="812"/>
      <c r="F25" s="812"/>
    </row>
    <row r="26" spans="1:8" ht="57" customHeight="1">
      <c r="A26" s="2147"/>
      <c r="B26" s="2176"/>
      <c r="C26" s="2176"/>
      <c r="D26" s="2176"/>
      <c r="E26" s="2176"/>
      <c r="F26" s="2176"/>
    </row>
    <row r="27" spans="1:8" ht="15">
      <c r="A27" s="2171"/>
      <c r="B27" s="2171"/>
      <c r="C27" s="2171"/>
      <c r="D27" s="2171"/>
      <c r="E27" s="2171"/>
      <c r="F27" s="2171"/>
    </row>
    <row r="28" spans="1:8" ht="15" customHeight="1">
      <c r="A28" s="813"/>
      <c r="B28" s="814"/>
      <c r="C28" s="814"/>
      <c r="D28" s="814"/>
      <c r="E28" s="814"/>
      <c r="F28" s="814"/>
      <c r="G28" s="815"/>
    </row>
    <row r="29" spans="1:8">
      <c r="A29" s="814"/>
      <c r="B29" s="814"/>
      <c r="C29" s="814"/>
      <c r="D29" s="814"/>
      <c r="E29" s="814"/>
      <c r="F29" s="814"/>
    </row>
  </sheetData>
  <mergeCells count="16">
    <mergeCell ref="A24:F24"/>
    <mergeCell ref="A26:F26"/>
    <mergeCell ref="A27:F27"/>
    <mergeCell ref="A7:G7"/>
    <mergeCell ref="A8:G8"/>
    <mergeCell ref="A9:G9"/>
    <mergeCell ref="A10:A11"/>
    <mergeCell ref="B10:B11"/>
    <mergeCell ref="C10:F10"/>
    <mergeCell ref="G10:G11"/>
    <mergeCell ref="A6:G6"/>
    <mergeCell ref="A1:G1"/>
    <mergeCell ref="A2:G2"/>
    <mergeCell ref="A3:G3"/>
    <mergeCell ref="A4:G4"/>
    <mergeCell ref="A5:G5"/>
  </mergeCells>
  <printOptions horizontalCentered="1"/>
  <pageMargins left="0.5" right="0.4" top="0.5" bottom="0.25" header="0" footer="0"/>
  <pageSetup firstPageNumber="8" fitToHeight="0" orientation="landscape" useFirstPageNumber="1" r:id="rId1"/>
  <headerFooter alignWithMargins="0">
    <oddFooter>&amp;C&amp;"Times New Roman,Regular"Exhibit C - Program Increases/Offsets By Decision Unit&amp;R&amp;"Times New Roman,Regular"Public Safety Officers Benefits</oddFooter>
  </headerFooter>
</worksheet>
</file>

<file path=xl/worksheets/sheet48.xml><?xml version="1.0" encoding="utf-8"?>
<worksheet xmlns="http://schemas.openxmlformats.org/spreadsheetml/2006/main" xmlns:r="http://schemas.openxmlformats.org/officeDocument/2006/relationships">
  <dimension ref="A1:T57"/>
  <sheetViews>
    <sheetView view="pageBreakPreview" zoomScale="75" zoomScaleNormal="75" zoomScaleSheetLayoutView="75" workbookViewId="0">
      <selection activeCell="Q1" sqref="Q1:Q40"/>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8" style="818" customWidth="1"/>
    <col min="11" max="11" width="6.77734375" style="818" customWidth="1"/>
    <col min="12" max="12" width="9" style="818" customWidth="1"/>
    <col min="13" max="13" width="6.77734375" style="818" customWidth="1"/>
    <col min="14" max="14" width="7.21875" style="818" customWidth="1"/>
    <col min="15" max="15" width="6.33203125" style="818" customWidth="1"/>
    <col min="16" max="16" width="9.77734375" style="818"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180" t="str">
        <f>'B. Summ of Reqs - PSOB'!A5:X5</f>
        <v>Office of Justice Programs</v>
      </c>
      <c r="B4" s="2034"/>
      <c r="C4" s="2034"/>
      <c r="D4" s="2034"/>
      <c r="E4" s="2034"/>
      <c r="F4" s="2034"/>
      <c r="G4" s="2034"/>
      <c r="H4" s="2034"/>
      <c r="I4" s="2034"/>
      <c r="J4" s="2034"/>
      <c r="K4" s="2034"/>
      <c r="L4" s="2034"/>
      <c r="M4" s="2034"/>
      <c r="N4" s="2034"/>
      <c r="O4" s="2034"/>
      <c r="P4" s="2034"/>
      <c r="Q4" s="816" t="s">
        <v>0</v>
      </c>
      <c r="R4" s="638"/>
      <c r="S4" s="638"/>
    </row>
    <row r="5" spans="1:20" ht="15.75">
      <c r="A5" s="2180" t="str">
        <f>'B. Summ of Reqs - PSOB'!A6:X6</f>
        <v>Public Safety Officers Benefits</v>
      </c>
      <c r="B5" s="2034"/>
      <c r="C5" s="2034"/>
      <c r="D5" s="2034"/>
      <c r="E5" s="2034"/>
      <c r="F5" s="2034"/>
      <c r="G5" s="2034"/>
      <c r="H5" s="2034"/>
      <c r="I5" s="2034"/>
      <c r="J5" s="2034"/>
      <c r="K5" s="2034"/>
      <c r="L5" s="2034"/>
      <c r="M5" s="2034"/>
      <c r="N5" s="2034"/>
      <c r="O5" s="2034"/>
      <c r="P5" s="2034"/>
      <c r="Q5" s="816" t="s">
        <v>0</v>
      </c>
      <c r="R5" s="638"/>
      <c r="S5" s="638"/>
    </row>
    <row r="6" spans="1:20" ht="15">
      <c r="A6" s="2181" t="s">
        <v>257</v>
      </c>
      <c r="B6" s="2181"/>
      <c r="C6" s="2181"/>
      <c r="D6" s="2181"/>
      <c r="E6" s="2181"/>
      <c r="F6" s="2181"/>
      <c r="G6" s="2181"/>
      <c r="H6" s="2181"/>
      <c r="I6" s="2181"/>
      <c r="J6" s="2181"/>
      <c r="K6" s="2181"/>
      <c r="L6" s="2181"/>
      <c r="M6" s="2181"/>
      <c r="N6" s="2181"/>
      <c r="O6" s="2181"/>
      <c r="P6" s="2181"/>
      <c r="Q6" s="816" t="s">
        <v>0</v>
      </c>
      <c r="R6" s="820"/>
      <c r="S6" s="820"/>
      <c r="T6" s="816"/>
    </row>
    <row r="7" spans="1:20" ht="13.5" thickBot="1">
      <c r="Q7" s="816" t="s">
        <v>0</v>
      </c>
      <c r="T7" s="816"/>
    </row>
    <row r="8" spans="1:20" ht="37.5" customHeight="1">
      <c r="A8" s="821"/>
      <c r="B8" s="822"/>
      <c r="C8" s="2197" t="s">
        <v>318</v>
      </c>
      <c r="D8" s="2198"/>
      <c r="E8" s="823"/>
      <c r="F8" s="2197" t="s">
        <v>355</v>
      </c>
      <c r="G8" s="2198"/>
      <c r="H8" s="823"/>
      <c r="I8" s="2203" t="s">
        <v>244</v>
      </c>
      <c r="J8" s="2198"/>
      <c r="K8" s="2204">
        <v>2012</v>
      </c>
      <c r="L8" s="2205"/>
      <c r="M8" s="2205"/>
      <c r="N8" s="2206"/>
      <c r="O8" s="2203" t="s">
        <v>42</v>
      </c>
      <c r="P8" s="2198"/>
      <c r="Q8" s="816" t="s">
        <v>0</v>
      </c>
      <c r="S8" s="824"/>
      <c r="T8" s="816"/>
    </row>
    <row r="9" spans="1:20" ht="14.25" customHeight="1">
      <c r="A9" s="822"/>
      <c r="B9" s="822"/>
      <c r="C9" s="2199"/>
      <c r="D9" s="2200"/>
      <c r="E9" s="823"/>
      <c r="F9" s="2201"/>
      <c r="G9" s="2202"/>
      <c r="H9" s="823"/>
      <c r="I9" s="2201"/>
      <c r="J9" s="2202"/>
      <c r="K9" s="2187" t="s">
        <v>280</v>
      </c>
      <c r="L9" s="2188"/>
      <c r="M9" s="2189" t="s">
        <v>289</v>
      </c>
      <c r="N9" s="2170"/>
      <c r="O9" s="2201"/>
      <c r="P9" s="2202"/>
      <c r="Q9" s="816" t="s">
        <v>0</v>
      </c>
      <c r="S9" s="824"/>
      <c r="T9" s="816"/>
    </row>
    <row r="10" spans="1:20" hidden="1">
      <c r="A10" s="2190" t="s">
        <v>290</v>
      </c>
      <c r="B10" s="822"/>
      <c r="C10" s="825"/>
      <c r="D10" s="826"/>
      <c r="E10" s="827"/>
      <c r="F10" s="825"/>
      <c r="G10" s="826"/>
      <c r="H10" s="827"/>
      <c r="I10" s="825"/>
      <c r="J10" s="826"/>
      <c r="K10" s="825"/>
      <c r="L10" s="826"/>
      <c r="M10" s="828"/>
      <c r="N10" s="826"/>
      <c r="O10" s="825"/>
      <c r="P10" s="826"/>
      <c r="Q10" s="816" t="s">
        <v>0</v>
      </c>
      <c r="S10" s="828"/>
      <c r="T10" s="816"/>
    </row>
    <row r="11" spans="1:20" ht="51">
      <c r="A11" s="2191"/>
      <c r="B11" s="822"/>
      <c r="C11" s="829" t="s">
        <v>291</v>
      </c>
      <c r="D11" s="830" t="s">
        <v>292</v>
      </c>
      <c r="E11" s="827"/>
      <c r="F11" s="829" t="s">
        <v>291</v>
      </c>
      <c r="G11" s="830" t="s">
        <v>292</v>
      </c>
      <c r="H11" s="827"/>
      <c r="I11" s="829" t="s">
        <v>291</v>
      </c>
      <c r="J11" s="830" t="s">
        <v>292</v>
      </c>
      <c r="K11" s="829" t="s">
        <v>291</v>
      </c>
      <c r="L11" s="830" t="s">
        <v>292</v>
      </c>
      <c r="M11" s="829" t="s">
        <v>291</v>
      </c>
      <c r="N11" s="830" t="s">
        <v>292</v>
      </c>
      <c r="O11" s="829" t="s">
        <v>291</v>
      </c>
      <c r="P11" s="830" t="s">
        <v>292</v>
      </c>
      <c r="Q11" s="816" t="s">
        <v>0</v>
      </c>
      <c r="S11" s="831"/>
      <c r="T11" s="816"/>
    </row>
    <row r="12" spans="1:20">
      <c r="A12" s="832"/>
      <c r="B12" s="822"/>
      <c r="C12" s="833"/>
      <c r="D12" s="834"/>
      <c r="E12" s="835"/>
      <c r="F12" s="833"/>
      <c r="G12" s="834"/>
      <c r="H12" s="835"/>
      <c r="I12" s="833"/>
      <c r="J12" s="834"/>
      <c r="K12" s="833"/>
      <c r="L12" s="836"/>
      <c r="M12" s="837"/>
      <c r="N12" s="834"/>
      <c r="O12" s="833"/>
      <c r="P12" s="834"/>
      <c r="Q12" s="816" t="s">
        <v>0</v>
      </c>
      <c r="S12" s="838"/>
      <c r="T12" s="816"/>
    </row>
    <row r="13" spans="1:20">
      <c r="A13" s="839" t="s">
        <v>293</v>
      </c>
      <c r="B13" s="822"/>
      <c r="C13" s="833"/>
      <c r="D13" s="840"/>
      <c r="E13" s="835"/>
      <c r="F13" s="833"/>
      <c r="G13" s="840"/>
      <c r="H13" s="835"/>
      <c r="I13" s="833"/>
      <c r="J13" s="840"/>
      <c r="K13" s="833"/>
      <c r="L13" s="836"/>
      <c r="M13" s="833"/>
      <c r="N13" s="840"/>
      <c r="O13" s="833"/>
      <c r="P13" s="840"/>
      <c r="Q13" s="816" t="s">
        <v>0</v>
      </c>
      <c r="S13" s="841"/>
      <c r="T13" s="816"/>
    </row>
    <row r="14" spans="1:20">
      <c r="A14" s="842" t="s">
        <v>294</v>
      </c>
      <c r="B14" s="822"/>
      <c r="C14" s="833"/>
      <c r="D14" s="840"/>
      <c r="E14" s="835"/>
      <c r="F14" s="833"/>
      <c r="G14" s="840"/>
      <c r="H14" s="835"/>
      <c r="I14" s="833"/>
      <c r="J14" s="840"/>
      <c r="K14" s="833"/>
      <c r="L14" s="836"/>
      <c r="M14" s="833"/>
      <c r="N14" s="840"/>
      <c r="O14" s="833"/>
      <c r="P14" s="834"/>
      <c r="Q14" s="816" t="s">
        <v>0</v>
      </c>
      <c r="S14" s="841"/>
      <c r="T14" s="816"/>
    </row>
    <row r="15" spans="1:20" ht="25.5">
      <c r="A15" s="843" t="s">
        <v>295</v>
      </c>
      <c r="B15" s="822"/>
      <c r="C15" s="833"/>
      <c r="D15" s="840"/>
      <c r="E15" s="835"/>
      <c r="F15" s="833"/>
      <c r="G15" s="840"/>
      <c r="H15" s="835"/>
      <c r="I15" s="833"/>
      <c r="J15" s="840"/>
      <c r="K15" s="833"/>
      <c r="L15" s="836"/>
      <c r="M15" s="833"/>
      <c r="N15" s="840"/>
      <c r="O15" s="833"/>
      <c r="P15" s="834"/>
      <c r="Q15" s="816" t="s">
        <v>0</v>
      </c>
      <c r="S15" s="841"/>
      <c r="T15" s="816"/>
    </row>
    <row r="16" spans="1:20" ht="25.5">
      <c r="A16" s="843" t="s">
        <v>296</v>
      </c>
      <c r="B16" s="822"/>
      <c r="C16" s="833"/>
      <c r="D16" s="840"/>
      <c r="E16" s="835"/>
      <c r="F16" s="833"/>
      <c r="G16" s="840"/>
      <c r="H16" s="835"/>
      <c r="I16" s="833"/>
      <c r="J16" s="840"/>
      <c r="K16" s="833"/>
      <c r="L16" s="836"/>
      <c r="M16" s="833"/>
      <c r="N16" s="840"/>
      <c r="O16" s="833"/>
      <c r="P16" s="834"/>
      <c r="Q16" s="816" t="s">
        <v>0</v>
      </c>
      <c r="S16" s="841"/>
      <c r="T16" s="816"/>
    </row>
    <row r="17" spans="1:20" ht="13.5" customHeight="1">
      <c r="A17" s="842" t="s">
        <v>297</v>
      </c>
      <c r="B17" s="844"/>
      <c r="C17" s="845"/>
      <c r="D17" s="846"/>
      <c r="E17" s="847"/>
      <c r="F17" s="845"/>
      <c r="G17" s="846"/>
      <c r="H17" s="848"/>
      <c r="I17" s="845"/>
      <c r="J17" s="846"/>
      <c r="K17" s="845"/>
      <c r="L17" s="849"/>
      <c r="M17" s="845"/>
      <c r="N17" s="846"/>
      <c r="O17" s="845"/>
      <c r="P17" s="846"/>
      <c r="Q17" s="816" t="s">
        <v>0</v>
      </c>
      <c r="S17" s="850"/>
      <c r="T17" s="816"/>
    </row>
    <row r="18" spans="1:20" s="857" customFormat="1">
      <c r="A18" s="851" t="s">
        <v>298</v>
      </c>
      <c r="B18" s="839"/>
      <c r="C18" s="852">
        <f>SUM(C14:C17)</f>
        <v>0</v>
      </c>
      <c r="D18" s="853">
        <f>SUM(D14:D17)</f>
        <v>0</v>
      </c>
      <c r="E18" s="854"/>
      <c r="F18" s="852">
        <f>SUM(F14:F17)</f>
        <v>0</v>
      </c>
      <c r="G18" s="853">
        <f>SUM(G14:G17)</f>
        <v>0</v>
      </c>
      <c r="H18" s="855"/>
      <c r="I18" s="852">
        <f t="shared" ref="I18:P18" si="0">SUM(I14:I17)</f>
        <v>0</v>
      </c>
      <c r="J18" s="853">
        <f t="shared" si="0"/>
        <v>0</v>
      </c>
      <c r="K18" s="852">
        <f t="shared" si="0"/>
        <v>0</v>
      </c>
      <c r="L18" s="853">
        <f t="shared" si="0"/>
        <v>0</v>
      </c>
      <c r="M18" s="852">
        <f t="shared" si="0"/>
        <v>0</v>
      </c>
      <c r="N18" s="853">
        <f t="shared" si="0"/>
        <v>0</v>
      </c>
      <c r="O18" s="852">
        <f t="shared" si="0"/>
        <v>0</v>
      </c>
      <c r="P18" s="853">
        <f t="shared" si="0"/>
        <v>0</v>
      </c>
      <c r="Q18" s="816" t="s">
        <v>0</v>
      </c>
      <c r="R18" s="818"/>
      <c r="S18" s="856"/>
      <c r="T18" s="816"/>
    </row>
    <row r="19" spans="1:20">
      <c r="A19" s="844"/>
      <c r="B19" s="822"/>
      <c r="C19" s="833"/>
      <c r="D19" s="834"/>
      <c r="E19" s="858"/>
      <c r="F19" s="833"/>
      <c r="G19" s="834"/>
      <c r="H19" s="858"/>
      <c r="I19" s="833"/>
      <c r="J19" s="834"/>
      <c r="K19" s="833"/>
      <c r="L19" s="836"/>
      <c r="M19" s="833"/>
      <c r="N19" s="834"/>
      <c r="O19" s="833"/>
      <c r="P19" s="834"/>
      <c r="Q19" s="816" t="s">
        <v>0</v>
      </c>
      <c r="S19" s="838"/>
      <c r="T19" s="816"/>
    </row>
    <row r="20" spans="1:20" ht="25.5">
      <c r="A20" s="859" t="s">
        <v>299</v>
      </c>
      <c r="B20" s="822"/>
      <c r="C20" s="833"/>
      <c r="D20" s="834"/>
      <c r="E20" s="860"/>
      <c r="F20" s="833"/>
      <c r="G20" s="834"/>
      <c r="H20" s="860"/>
      <c r="I20" s="833"/>
      <c r="J20" s="834"/>
      <c r="K20" s="833"/>
      <c r="L20" s="836"/>
      <c r="M20" s="833"/>
      <c r="N20" s="834"/>
      <c r="O20" s="861"/>
      <c r="P20" s="862"/>
      <c r="Q20" s="816" t="s">
        <v>0</v>
      </c>
      <c r="S20" s="838"/>
      <c r="T20" s="816"/>
    </row>
    <row r="21" spans="1:20" ht="25.5">
      <c r="A21" s="843" t="s">
        <v>300</v>
      </c>
      <c r="B21" s="822"/>
      <c r="C21" s="833"/>
      <c r="D21" s="834">
        <v>75100</v>
      </c>
      <c r="E21" s="860"/>
      <c r="F21" s="833"/>
      <c r="G21" s="834">
        <v>70100</v>
      </c>
      <c r="H21" s="860"/>
      <c r="I21" s="833"/>
      <c r="J21" s="834">
        <v>70100</v>
      </c>
      <c r="K21" s="833"/>
      <c r="L21" s="836">
        <f>6000+7200</f>
        <v>13200</v>
      </c>
      <c r="M21" s="833"/>
      <c r="N21" s="834"/>
      <c r="O21" s="833">
        <f t="shared" ref="O21:P21" si="1">+I21+K21+M21</f>
        <v>0</v>
      </c>
      <c r="P21" s="834">
        <f t="shared" si="1"/>
        <v>83300</v>
      </c>
      <c r="Q21" s="816" t="s">
        <v>0</v>
      </c>
      <c r="S21" s="838"/>
      <c r="T21" s="816"/>
    </row>
    <row r="22" spans="1:20">
      <c r="A22" s="842" t="s">
        <v>301</v>
      </c>
      <c r="B22" s="822"/>
      <c r="C22" s="833"/>
      <c r="D22" s="834"/>
      <c r="E22" s="860"/>
      <c r="F22" s="833"/>
      <c r="G22" s="834"/>
      <c r="H22" s="860"/>
      <c r="I22" s="833"/>
      <c r="J22" s="834"/>
      <c r="K22" s="833"/>
      <c r="L22" s="836"/>
      <c r="M22" s="833"/>
      <c r="N22" s="834"/>
      <c r="O22" s="833"/>
      <c r="P22" s="834"/>
      <c r="Q22" s="816" t="s">
        <v>0</v>
      </c>
      <c r="S22" s="838"/>
      <c r="T22" s="816"/>
    </row>
    <row r="23" spans="1:20">
      <c r="A23" s="842" t="s">
        <v>302</v>
      </c>
      <c r="B23" s="822"/>
      <c r="C23" s="833"/>
      <c r="D23" s="834"/>
      <c r="E23" s="860"/>
      <c r="F23" s="833"/>
      <c r="G23" s="834"/>
      <c r="H23" s="860"/>
      <c r="I23" s="833"/>
      <c r="J23" s="834"/>
      <c r="K23" s="833"/>
      <c r="L23" s="836"/>
      <c r="M23" s="833"/>
      <c r="N23" s="834"/>
      <c r="O23" s="833"/>
      <c r="P23" s="834"/>
      <c r="Q23" s="816" t="s">
        <v>0</v>
      </c>
      <c r="S23" s="838"/>
      <c r="T23" s="816"/>
    </row>
    <row r="24" spans="1:20">
      <c r="A24" s="842" t="s">
        <v>303</v>
      </c>
      <c r="B24" s="822"/>
      <c r="C24" s="833"/>
      <c r="D24" s="834"/>
      <c r="E24" s="860"/>
      <c r="F24" s="833"/>
      <c r="G24" s="834"/>
      <c r="H24" s="860"/>
      <c r="I24" s="833"/>
      <c r="J24" s="834"/>
      <c r="K24" s="833"/>
      <c r="L24" s="836"/>
      <c r="M24" s="833"/>
      <c r="N24" s="834"/>
      <c r="O24" s="833"/>
      <c r="P24" s="834"/>
      <c r="Q24" s="816" t="s">
        <v>0</v>
      </c>
      <c r="S24" s="838"/>
      <c r="T24" s="816"/>
    </row>
    <row r="25" spans="1:20" ht="25.5">
      <c r="A25" s="843" t="s">
        <v>304</v>
      </c>
      <c r="B25" s="822"/>
      <c r="C25" s="833"/>
      <c r="D25" s="834"/>
      <c r="E25" s="860"/>
      <c r="F25" s="833"/>
      <c r="G25" s="834"/>
      <c r="H25" s="860"/>
      <c r="I25" s="833"/>
      <c r="J25" s="834"/>
      <c r="K25" s="833"/>
      <c r="L25" s="836"/>
      <c r="M25" s="833"/>
      <c r="N25" s="834"/>
      <c r="O25" s="833"/>
      <c r="P25" s="834"/>
      <c r="Q25" s="816" t="s">
        <v>0</v>
      </c>
      <c r="S25" s="838"/>
      <c r="T25" s="816"/>
    </row>
    <row r="26" spans="1:20">
      <c r="A26" s="842" t="s">
        <v>305</v>
      </c>
      <c r="B26" s="822"/>
      <c r="C26" s="833"/>
      <c r="D26" s="834"/>
      <c r="E26" s="860"/>
      <c r="F26" s="833"/>
      <c r="G26" s="834"/>
      <c r="H26" s="860"/>
      <c r="I26" s="833"/>
      <c r="J26" s="834"/>
      <c r="K26" s="833"/>
      <c r="L26" s="836"/>
      <c r="M26" s="833"/>
      <c r="N26" s="834"/>
      <c r="O26" s="833"/>
      <c r="P26" s="834"/>
      <c r="Q26" s="816" t="s">
        <v>0</v>
      </c>
      <c r="S26" s="838"/>
      <c r="T26" s="816"/>
    </row>
    <row r="27" spans="1:20" ht="25.5">
      <c r="A27" s="843" t="s">
        <v>306</v>
      </c>
      <c r="B27" s="822"/>
      <c r="C27" s="833"/>
      <c r="D27" s="834"/>
      <c r="E27" s="860"/>
      <c r="F27" s="833"/>
      <c r="G27" s="834"/>
      <c r="H27" s="860"/>
      <c r="I27" s="833"/>
      <c r="J27" s="834"/>
      <c r="K27" s="833"/>
      <c r="L27" s="836"/>
      <c r="M27" s="833"/>
      <c r="N27" s="834"/>
      <c r="O27" s="833"/>
      <c r="P27" s="834"/>
      <c r="Q27" s="816" t="s">
        <v>0</v>
      </c>
      <c r="R27" s="838"/>
      <c r="S27" s="838"/>
      <c r="T27" s="816"/>
    </row>
    <row r="28" spans="1:20" ht="27.75" customHeight="1">
      <c r="A28" s="843" t="s">
        <v>307</v>
      </c>
      <c r="B28" s="844"/>
      <c r="C28" s="845"/>
      <c r="D28" s="846"/>
      <c r="E28" s="863"/>
      <c r="F28" s="845"/>
      <c r="G28" s="846"/>
      <c r="H28" s="864"/>
      <c r="I28" s="845"/>
      <c r="J28" s="846"/>
      <c r="K28" s="845"/>
      <c r="L28" s="849"/>
      <c r="M28" s="845"/>
      <c r="N28" s="846"/>
      <c r="O28" s="833"/>
      <c r="P28" s="865"/>
      <c r="Q28" s="816" t="s">
        <v>0</v>
      </c>
      <c r="R28" s="850"/>
      <c r="S28" s="850"/>
      <c r="T28" s="816"/>
    </row>
    <row r="29" spans="1:20">
      <c r="A29" s="851" t="s">
        <v>308</v>
      </c>
      <c r="B29" s="839"/>
      <c r="C29" s="852">
        <f>SUM(C21:C28)</f>
        <v>0</v>
      </c>
      <c r="D29" s="853">
        <f>SUM(D21:D28)</f>
        <v>75100</v>
      </c>
      <c r="E29" s="866"/>
      <c r="F29" s="852">
        <f>SUM(F21:F28)</f>
        <v>0</v>
      </c>
      <c r="G29" s="853">
        <f>SUM(G21:G28)</f>
        <v>70100</v>
      </c>
      <c r="H29" s="867"/>
      <c r="I29" s="852">
        <f t="shared" ref="I29:P29" si="2">SUM(I21:I28)</f>
        <v>0</v>
      </c>
      <c r="J29" s="853">
        <f t="shared" si="2"/>
        <v>70100</v>
      </c>
      <c r="K29" s="868">
        <f t="shared" si="2"/>
        <v>0</v>
      </c>
      <c r="L29" s="869">
        <f t="shared" si="2"/>
        <v>13200</v>
      </c>
      <c r="M29" s="852">
        <f t="shared" si="2"/>
        <v>0</v>
      </c>
      <c r="N29" s="853">
        <f t="shared" si="2"/>
        <v>0</v>
      </c>
      <c r="O29" s="868">
        <f t="shared" si="2"/>
        <v>0</v>
      </c>
      <c r="P29" s="853">
        <f t="shared" si="2"/>
        <v>83300</v>
      </c>
      <c r="Q29" s="816" t="s">
        <v>0</v>
      </c>
      <c r="R29" s="856"/>
      <c r="S29" s="856"/>
      <c r="T29" s="816"/>
    </row>
    <row r="30" spans="1:20">
      <c r="A30" s="844"/>
      <c r="B30" s="822"/>
      <c r="C30" s="833"/>
      <c r="D30" s="834"/>
      <c r="E30" s="822"/>
      <c r="F30" s="833"/>
      <c r="G30" s="834"/>
      <c r="H30" s="822"/>
      <c r="I30" s="833"/>
      <c r="J30" s="834"/>
      <c r="K30" s="833"/>
      <c r="L30" s="836"/>
      <c r="M30" s="833"/>
      <c r="N30" s="834"/>
      <c r="O30" s="833"/>
      <c r="P30" s="834"/>
      <c r="Q30" s="816" t="s">
        <v>0</v>
      </c>
      <c r="R30" s="838"/>
      <c r="S30" s="838"/>
      <c r="T30" s="816"/>
    </row>
    <row r="31" spans="1:20" ht="25.5">
      <c r="A31" s="859" t="s">
        <v>309</v>
      </c>
      <c r="B31" s="822"/>
      <c r="C31" s="833"/>
      <c r="D31" s="834"/>
      <c r="E31" s="835"/>
      <c r="F31" s="833"/>
      <c r="G31" s="834"/>
      <c r="H31" s="835"/>
      <c r="I31" s="833"/>
      <c r="J31" s="834"/>
      <c r="K31" s="833"/>
      <c r="L31" s="836"/>
      <c r="M31" s="833"/>
      <c r="N31" s="834"/>
      <c r="O31" s="833"/>
      <c r="P31" s="834"/>
      <c r="Q31" s="816" t="s">
        <v>0</v>
      </c>
      <c r="R31" s="838"/>
      <c r="S31" s="838"/>
      <c r="T31" s="816"/>
    </row>
    <row r="32" spans="1:20" ht="38.25">
      <c r="A32" s="843" t="s">
        <v>310</v>
      </c>
      <c r="B32" s="822"/>
      <c r="C32" s="833"/>
      <c r="D32" s="834"/>
      <c r="E32" s="835"/>
      <c r="F32" s="833"/>
      <c r="G32" s="834"/>
      <c r="H32" s="835"/>
      <c r="I32" s="833"/>
      <c r="J32" s="834"/>
      <c r="K32" s="833"/>
      <c r="L32" s="836"/>
      <c r="M32" s="833"/>
      <c r="N32" s="834"/>
      <c r="O32" s="833"/>
      <c r="P32" s="834"/>
      <c r="Q32" s="816" t="s">
        <v>0</v>
      </c>
      <c r="R32" s="838"/>
      <c r="S32" s="838"/>
      <c r="T32" s="816"/>
    </row>
    <row r="33" spans="1:20">
      <c r="A33" s="842" t="s">
        <v>311</v>
      </c>
      <c r="B33" s="822"/>
      <c r="C33" s="833"/>
      <c r="D33" s="834"/>
      <c r="E33" s="835"/>
      <c r="F33" s="833"/>
      <c r="G33" s="834"/>
      <c r="H33" s="835"/>
      <c r="I33" s="833"/>
      <c r="J33" s="834"/>
      <c r="K33" s="833"/>
      <c r="L33" s="836"/>
      <c r="M33" s="833"/>
      <c r="N33" s="834"/>
      <c r="O33" s="833"/>
      <c r="P33" s="834"/>
      <c r="Q33" s="816" t="s">
        <v>0</v>
      </c>
      <c r="R33" s="838"/>
      <c r="S33" s="838"/>
      <c r="T33" s="816"/>
    </row>
    <row r="34" spans="1:20" ht="42" customHeight="1">
      <c r="A34" s="843" t="s">
        <v>312</v>
      </c>
      <c r="B34" s="822"/>
      <c r="C34" s="833"/>
      <c r="D34" s="834"/>
      <c r="E34" s="835"/>
      <c r="F34" s="833"/>
      <c r="G34" s="834"/>
      <c r="H34" s="835"/>
      <c r="I34" s="833"/>
      <c r="J34" s="834"/>
      <c r="K34" s="833"/>
      <c r="L34" s="836"/>
      <c r="M34" s="833"/>
      <c r="N34" s="834"/>
      <c r="O34" s="833"/>
      <c r="P34" s="834"/>
      <c r="Q34" s="816" t="s">
        <v>0</v>
      </c>
      <c r="R34" s="838"/>
      <c r="S34" s="838"/>
      <c r="T34" s="816"/>
    </row>
    <row r="35" spans="1:20" ht="38.25">
      <c r="A35" s="843" t="s">
        <v>313</v>
      </c>
      <c r="B35" s="822"/>
      <c r="C35" s="833"/>
      <c r="D35" s="834"/>
      <c r="E35" s="835"/>
      <c r="F35" s="833"/>
      <c r="G35" s="834"/>
      <c r="H35" s="835"/>
      <c r="I35" s="833"/>
      <c r="J35" s="834"/>
      <c r="K35" s="833"/>
      <c r="L35" s="836"/>
      <c r="M35" s="833"/>
      <c r="N35" s="834"/>
      <c r="O35" s="833"/>
      <c r="P35" s="834"/>
      <c r="Q35" s="816" t="s">
        <v>0</v>
      </c>
      <c r="R35" s="838"/>
      <c r="S35" s="838"/>
      <c r="T35" s="816"/>
    </row>
    <row r="36" spans="1:20" ht="25.5">
      <c r="A36" s="843" t="s">
        <v>314</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456</v>
      </c>
      <c r="B37" s="822"/>
      <c r="C37" s="833"/>
      <c r="D37" s="834"/>
      <c r="E37" s="835"/>
      <c r="F37" s="833"/>
      <c r="G37" s="834"/>
      <c r="H37" s="835"/>
      <c r="I37" s="833"/>
      <c r="J37" s="834"/>
      <c r="K37" s="833"/>
      <c r="L37" s="836"/>
      <c r="M37" s="833"/>
      <c r="N37" s="834"/>
      <c r="O37" s="833"/>
      <c r="P37" s="834"/>
      <c r="Q37" s="816" t="s">
        <v>0</v>
      </c>
      <c r="R37" s="838"/>
      <c r="S37" s="838"/>
      <c r="T37" s="816"/>
    </row>
    <row r="38" spans="1:20">
      <c r="A38" s="842" t="s">
        <v>315</v>
      </c>
      <c r="B38" s="822"/>
      <c r="C38" s="833"/>
      <c r="D38" s="834"/>
      <c r="E38" s="835"/>
      <c r="F38" s="833"/>
      <c r="G38" s="834"/>
      <c r="H38" s="835"/>
      <c r="I38" s="833"/>
      <c r="J38" s="834"/>
      <c r="K38" s="833"/>
      <c r="L38" s="836"/>
      <c r="M38" s="833"/>
      <c r="N38" s="834"/>
      <c r="O38" s="833"/>
      <c r="P38" s="834"/>
      <c r="Q38" s="816" t="s">
        <v>0</v>
      </c>
      <c r="R38" s="838"/>
      <c r="S38" s="838"/>
      <c r="T38" s="816"/>
    </row>
    <row r="39" spans="1:20">
      <c r="A39" s="851" t="s">
        <v>316</v>
      </c>
      <c r="B39" s="839"/>
      <c r="C39" s="852">
        <f>SUM(C32:C38)</f>
        <v>0</v>
      </c>
      <c r="D39" s="853">
        <f>SUM(D32:D38)</f>
        <v>0</v>
      </c>
      <c r="E39" s="854"/>
      <c r="F39" s="852">
        <f>SUM(F32:F38)</f>
        <v>0</v>
      </c>
      <c r="G39" s="853">
        <f>SUM(G32:G38)</f>
        <v>0</v>
      </c>
      <c r="H39" s="855"/>
      <c r="I39" s="852">
        <f t="shared" ref="I39:P39" si="3">SUM(I32:I38)</f>
        <v>0</v>
      </c>
      <c r="J39" s="853">
        <f t="shared" si="3"/>
        <v>0</v>
      </c>
      <c r="K39" s="852">
        <f t="shared" si="3"/>
        <v>0</v>
      </c>
      <c r="L39" s="869">
        <f t="shared" si="3"/>
        <v>0</v>
      </c>
      <c r="M39" s="852">
        <f t="shared" si="3"/>
        <v>0</v>
      </c>
      <c r="N39" s="853">
        <f t="shared" si="3"/>
        <v>0</v>
      </c>
      <c r="O39" s="852">
        <f t="shared" si="3"/>
        <v>0</v>
      </c>
      <c r="P39" s="853">
        <f t="shared" si="3"/>
        <v>0</v>
      </c>
      <c r="Q39" s="816" t="s">
        <v>0</v>
      </c>
      <c r="R39" s="856"/>
      <c r="S39" s="856"/>
      <c r="T39" s="816"/>
    </row>
    <row r="40" spans="1:20" ht="13.5" thickBot="1">
      <c r="A40" s="822"/>
      <c r="B40" s="822"/>
      <c r="C40" s="822"/>
      <c r="D40" s="822"/>
      <c r="E40" s="822"/>
      <c r="F40" s="822"/>
      <c r="G40" s="822"/>
      <c r="H40" s="822"/>
      <c r="I40" s="822"/>
      <c r="J40" s="822"/>
      <c r="K40" s="874"/>
      <c r="L40" s="874"/>
      <c r="M40" s="1358"/>
      <c r="N40" s="822"/>
      <c r="O40" s="822"/>
      <c r="P40" s="822"/>
      <c r="Q40" s="816" t="s">
        <v>0</v>
      </c>
      <c r="R40" s="838"/>
      <c r="S40" s="838"/>
      <c r="T40" s="816"/>
    </row>
    <row r="41" spans="1:20" s="883" customFormat="1" ht="18.75" customHeight="1" thickBot="1">
      <c r="A41" s="876" t="s">
        <v>317</v>
      </c>
      <c r="B41" s="877"/>
      <c r="C41" s="878">
        <f>C18+C29+C39</f>
        <v>0</v>
      </c>
      <c r="D41" s="879">
        <f>D18+D29+D39</f>
        <v>75100</v>
      </c>
      <c r="E41" s="880"/>
      <c r="F41" s="878">
        <f>F18+F29+F39</f>
        <v>0</v>
      </c>
      <c r="G41" s="879">
        <f>G18+G29+G39</f>
        <v>70100</v>
      </c>
      <c r="H41" s="880"/>
      <c r="I41" s="878">
        <f t="shared" ref="I41:P41" si="4">I18+I29+I39</f>
        <v>0</v>
      </c>
      <c r="J41" s="879">
        <f t="shared" si="4"/>
        <v>70100</v>
      </c>
      <c r="K41" s="878">
        <f t="shared" si="4"/>
        <v>0</v>
      </c>
      <c r="L41" s="879">
        <f t="shared" si="4"/>
        <v>13200</v>
      </c>
      <c r="M41" s="878">
        <f t="shared" si="4"/>
        <v>0</v>
      </c>
      <c r="N41" s="879">
        <f t="shared" si="4"/>
        <v>0</v>
      </c>
      <c r="O41" s="878">
        <f t="shared" si="4"/>
        <v>0</v>
      </c>
      <c r="P41" s="879">
        <f t="shared" si="4"/>
        <v>83300</v>
      </c>
      <c r="Q41" s="816" t="s">
        <v>24</v>
      </c>
      <c r="R41" s="881"/>
      <c r="S41" s="882"/>
      <c r="T41" s="816"/>
    </row>
    <row r="42" spans="1:20">
      <c r="A42" s="884"/>
      <c r="B42" s="884"/>
      <c r="C42" s="881"/>
      <c r="D42" s="882"/>
      <c r="E42" s="884"/>
      <c r="F42" s="881"/>
      <c r="G42" s="882"/>
      <c r="H42" s="884"/>
      <c r="I42" s="881"/>
      <c r="J42" s="882"/>
      <c r="K42" s="883"/>
      <c r="L42" s="883"/>
      <c r="M42" s="883"/>
      <c r="N42" s="883"/>
      <c r="O42" s="883"/>
      <c r="P42" s="883"/>
      <c r="Q42" s="883"/>
      <c r="R42" s="885"/>
      <c r="S42" s="885"/>
      <c r="T42" s="816"/>
    </row>
    <row r="43" spans="1:20">
      <c r="A43" s="884"/>
      <c r="B43" s="884"/>
      <c r="C43" s="881"/>
      <c r="D43" s="882"/>
      <c r="E43" s="884"/>
      <c r="F43" s="881"/>
      <c r="G43" s="882"/>
      <c r="H43" s="884"/>
      <c r="I43" s="881"/>
      <c r="J43" s="882"/>
      <c r="K43" s="883"/>
      <c r="L43" s="883"/>
      <c r="M43" s="883"/>
      <c r="N43" s="883"/>
      <c r="O43" s="883"/>
      <c r="P43" s="883"/>
      <c r="Q43" s="883"/>
      <c r="R43" s="885"/>
      <c r="S43" s="885"/>
      <c r="T43" s="816"/>
    </row>
    <row r="44" spans="1:20">
      <c r="A44" s="886"/>
      <c r="B44" s="887"/>
      <c r="C44" s="888"/>
      <c r="D44" s="889"/>
      <c r="E44" s="887"/>
      <c r="F44" s="888"/>
      <c r="G44" s="889"/>
      <c r="H44" s="887"/>
      <c r="I44" s="888"/>
      <c r="J44" s="889"/>
      <c r="K44" s="888"/>
      <c r="L44" s="890"/>
      <c r="M44" s="888"/>
      <c r="N44" s="889"/>
      <c r="O44" s="888"/>
      <c r="P44" s="889"/>
      <c r="Q44" s="883"/>
      <c r="R44" s="891"/>
      <c r="S44" s="892"/>
      <c r="T44" s="816"/>
    </row>
    <row r="45" spans="1:20">
      <c r="A45" s="884"/>
      <c r="B45" s="884"/>
      <c r="C45" s="881"/>
      <c r="D45" s="882"/>
      <c r="E45" s="884"/>
      <c r="F45" s="881"/>
      <c r="G45" s="882"/>
      <c r="H45" s="884"/>
      <c r="I45" s="881"/>
      <c r="J45" s="882"/>
      <c r="K45" s="883"/>
      <c r="L45" s="883"/>
      <c r="M45" s="883"/>
      <c r="N45" s="883"/>
      <c r="O45" s="883"/>
      <c r="P45" s="883"/>
      <c r="Q45" s="883"/>
      <c r="R45" s="885"/>
      <c r="S45" s="885"/>
    </row>
    <row r="47" spans="1:20" ht="15.75">
      <c r="A47" s="2192"/>
      <c r="B47" s="2192"/>
      <c r="C47" s="2192"/>
      <c r="D47" s="2192"/>
      <c r="E47" s="2192"/>
      <c r="F47" s="2192"/>
      <c r="G47" s="2192"/>
      <c r="H47" s="2192"/>
      <c r="I47" s="893"/>
      <c r="J47" s="894"/>
      <c r="K47" s="895"/>
      <c r="L47" s="895"/>
      <c r="M47" s="895"/>
      <c r="N47" s="895"/>
      <c r="O47" s="895"/>
      <c r="P47" s="895"/>
      <c r="Q47" s="895"/>
      <c r="R47" s="895"/>
      <c r="S47" s="895"/>
    </row>
    <row r="48" spans="1:20" ht="15.75">
      <c r="A48" s="896"/>
      <c r="B48" s="897"/>
      <c r="C48" s="898"/>
      <c r="D48" s="898"/>
      <c r="E48" s="897"/>
      <c r="F48" s="898"/>
      <c r="G48" s="898"/>
      <c r="H48" s="897"/>
      <c r="I48" s="893"/>
      <c r="J48" s="894"/>
      <c r="K48" s="895"/>
      <c r="L48" s="895"/>
      <c r="M48" s="895"/>
      <c r="N48" s="895"/>
      <c r="O48" s="895"/>
      <c r="P48" s="895"/>
      <c r="Q48" s="895"/>
      <c r="R48" s="895"/>
      <c r="S48" s="895"/>
    </row>
    <row r="49" spans="1:19" ht="68.25" customHeight="1">
      <c r="A49" s="2193"/>
      <c r="B49" s="2194"/>
      <c r="C49" s="2194"/>
      <c r="D49" s="2194"/>
      <c r="E49" s="2194"/>
      <c r="F49" s="2194"/>
      <c r="G49" s="2194"/>
      <c r="H49" s="899"/>
      <c r="I49" s="756"/>
      <c r="J49" s="900"/>
      <c r="K49" s="900"/>
      <c r="L49" s="900"/>
      <c r="M49" s="900"/>
      <c r="N49" s="900"/>
      <c r="O49" s="900"/>
      <c r="P49" s="900"/>
      <c r="Q49" s="900"/>
      <c r="R49" s="900"/>
      <c r="S49" s="900"/>
    </row>
    <row r="50" spans="1:19" ht="15" customHeight="1">
      <c r="A50" s="899"/>
      <c r="B50" s="899"/>
      <c r="C50" s="899"/>
      <c r="D50" s="899"/>
      <c r="E50" s="899"/>
      <c r="F50" s="899"/>
      <c r="G50" s="899"/>
      <c r="H50" s="899"/>
      <c r="I50" s="756"/>
      <c r="J50" s="900"/>
      <c r="K50" s="900"/>
      <c r="L50" s="900"/>
      <c r="M50" s="900"/>
      <c r="N50" s="900"/>
      <c r="O50" s="900"/>
      <c r="P50" s="900"/>
      <c r="Q50" s="900"/>
      <c r="R50" s="900"/>
      <c r="S50" s="900"/>
    </row>
    <row r="51" spans="1:19" ht="15">
      <c r="A51" s="2195"/>
      <c r="B51" s="2196"/>
      <c r="C51" s="2196"/>
      <c r="D51" s="2196"/>
      <c r="E51" s="2196"/>
      <c r="F51" s="2196"/>
      <c r="G51" s="2196"/>
      <c r="H51" s="901"/>
      <c r="I51" s="902"/>
      <c r="J51" s="902"/>
      <c r="K51" s="902"/>
      <c r="L51" s="902"/>
      <c r="M51" s="902"/>
      <c r="N51" s="902"/>
      <c r="O51" s="902"/>
      <c r="P51" s="902"/>
      <c r="Q51" s="902"/>
      <c r="R51" s="902"/>
      <c r="S51" s="902"/>
    </row>
    <row r="52" spans="1:19">
      <c r="A52" s="903"/>
      <c r="B52" s="903"/>
      <c r="C52" s="903"/>
      <c r="D52" s="903"/>
      <c r="E52" s="903"/>
      <c r="F52" s="903"/>
      <c r="G52" s="903"/>
      <c r="H52" s="903"/>
      <c r="I52" s="895"/>
      <c r="J52" s="895"/>
      <c r="K52" s="895"/>
      <c r="L52" s="895"/>
      <c r="M52" s="895"/>
      <c r="N52" s="895"/>
      <c r="O52" s="895"/>
      <c r="P52" s="895"/>
      <c r="Q52" s="895"/>
      <c r="R52" s="895"/>
      <c r="S52" s="895"/>
    </row>
    <row r="53" spans="1:19" ht="57" customHeight="1">
      <c r="A53" s="2182"/>
      <c r="B53" s="2183"/>
      <c r="C53" s="2183"/>
      <c r="D53" s="2183"/>
      <c r="E53" s="2183"/>
      <c r="F53" s="2183"/>
      <c r="G53" s="2183"/>
      <c r="H53" s="899"/>
      <c r="I53" s="756"/>
      <c r="J53" s="900"/>
      <c r="K53" s="900"/>
      <c r="L53" s="900"/>
      <c r="M53" s="900"/>
      <c r="N53" s="900"/>
      <c r="O53" s="900"/>
      <c r="P53" s="900"/>
      <c r="Q53" s="900"/>
      <c r="R53" s="900"/>
      <c r="S53" s="900"/>
    </row>
    <row r="54" spans="1:19" ht="33.75" customHeight="1">
      <c r="A54" s="2182"/>
      <c r="B54" s="2183"/>
      <c r="C54" s="2183"/>
      <c r="D54" s="2183"/>
      <c r="E54" s="2183"/>
      <c r="F54" s="2183"/>
      <c r="G54" s="2183"/>
      <c r="H54" s="899"/>
      <c r="I54" s="756"/>
      <c r="J54" s="900"/>
      <c r="K54" s="900"/>
      <c r="L54" s="900"/>
      <c r="M54" s="900"/>
      <c r="N54" s="900"/>
      <c r="O54" s="900"/>
      <c r="P54" s="900"/>
      <c r="Q54" s="900"/>
      <c r="R54" s="900"/>
      <c r="S54" s="900"/>
    </row>
    <row r="55" spans="1:19" ht="15">
      <c r="A55" s="2184"/>
      <c r="B55" s="2185"/>
      <c r="C55" s="2185"/>
      <c r="D55" s="2185"/>
      <c r="E55" s="2185"/>
      <c r="F55" s="2185"/>
      <c r="G55" s="2185"/>
      <c r="H55" s="2185"/>
      <c r="I55" s="2185"/>
      <c r="J55" s="2186"/>
      <c r="K55" s="2186"/>
      <c r="L55" s="2186"/>
      <c r="M55" s="2186"/>
      <c r="N55" s="2186"/>
      <c r="O55" s="2186"/>
      <c r="P55" s="2186"/>
      <c r="Q55" s="2186"/>
      <c r="R55" s="2186"/>
      <c r="S55" s="2186"/>
    </row>
    <row r="56" spans="1:19" ht="15">
      <c r="A56" s="2184"/>
      <c r="B56" s="2185"/>
      <c r="C56" s="2185"/>
      <c r="D56" s="2185"/>
      <c r="E56" s="2185"/>
      <c r="F56" s="2185"/>
      <c r="G56" s="2185"/>
      <c r="H56" s="2185"/>
      <c r="I56" s="2185"/>
      <c r="J56" s="2186"/>
      <c r="K56" s="2186"/>
      <c r="L56" s="2186"/>
      <c r="M56" s="2186"/>
      <c r="N56" s="2186"/>
      <c r="O56" s="2186"/>
      <c r="P56" s="2186"/>
      <c r="Q56" s="2186"/>
      <c r="R56" s="2186"/>
      <c r="S56" s="2186"/>
    </row>
    <row r="57" spans="1:19">
      <c r="S57" s="816"/>
    </row>
  </sheetData>
  <mergeCells count="20">
    <mergeCell ref="A53:G53"/>
    <mergeCell ref="A54:G54"/>
    <mergeCell ref="A55:S55"/>
    <mergeCell ref="A56:S56"/>
    <mergeCell ref="K9:L9"/>
    <mergeCell ref="M9:N9"/>
    <mergeCell ref="A10:A11"/>
    <mergeCell ref="A47:H47"/>
    <mergeCell ref="A49:G49"/>
    <mergeCell ref="A51:G51"/>
    <mergeCell ref="C8:D9"/>
    <mergeCell ref="F8:G9"/>
    <mergeCell ref="I8:J9"/>
    <mergeCell ref="K8:N8"/>
    <mergeCell ref="O8:P9"/>
    <mergeCell ref="A1:P1"/>
    <mergeCell ref="A3:P3"/>
    <mergeCell ref="A4:P4"/>
    <mergeCell ref="A5:P5"/>
    <mergeCell ref="A6:P6"/>
  </mergeCells>
  <printOptions horizontalCentered="1"/>
  <pageMargins left="0.5" right="0.4" top="0.5" bottom="0.25" header="0" footer="0"/>
  <pageSetup scale="68" firstPageNumber="8" fitToHeight="0" orientation="landscape" useFirstPageNumber="1" r:id="rId1"/>
  <headerFooter alignWithMargins="0">
    <oddFooter>&amp;C&amp;"Times New Roman,Regular"Exhibit D - Resources by DOJ Strategic Goals Strategic Objectives&amp;R&amp;"Times New Roman,Regular"Public Safety Officers Benefits</oddFooter>
  </headerFooter>
</worksheet>
</file>

<file path=xl/worksheets/sheet49.xml><?xml version="1.0" encoding="utf-8"?>
<worksheet xmlns="http://schemas.openxmlformats.org/spreadsheetml/2006/main" xmlns:r="http://schemas.openxmlformats.org/officeDocument/2006/relationships">
  <sheetPr>
    <pageSetUpPr fitToPage="1"/>
  </sheetPr>
  <dimension ref="A1:AF35"/>
  <sheetViews>
    <sheetView showGridLines="0" showOutlineSymbols="0" view="pageBreakPreview" zoomScale="75" zoomScaleNormal="100" zoomScaleSheetLayoutView="75" workbookViewId="0">
      <selection activeCell="F48" sqref="F48"/>
    </sheetView>
  </sheetViews>
  <sheetFormatPr defaultColWidth="9.6640625" defaultRowHeight="15.75"/>
  <cols>
    <col min="1" max="1" width="30.5546875"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9" width="5.6640625" style="684" customWidth="1"/>
    <col min="10" max="10" width="10.44140625" style="684" bestFit="1" customWidth="1"/>
    <col min="11" max="11" width="5.5546875" style="684" customWidth="1"/>
    <col min="12" max="12" width="5.6640625" style="684" customWidth="1"/>
    <col min="13" max="13" width="7.77734375" style="684" customWidth="1"/>
    <col min="14" max="14" width="8.77734375" style="684" customWidth="1"/>
    <col min="15" max="15" width="10" style="684" customWidth="1"/>
    <col min="16" max="16" width="7.5546875" style="684" bestFit="1" customWidth="1"/>
    <col min="17" max="17" width="6.77734375" style="684" customWidth="1"/>
    <col min="18" max="18" width="10.88671875" style="684" bestFit="1" customWidth="1"/>
    <col min="19" max="19" width="1" style="948" customWidth="1"/>
    <col min="20" max="16384" width="9.6640625" style="684"/>
  </cols>
  <sheetData>
    <row r="1" spans="1:32" ht="20.25">
      <c r="A1" s="2156" t="s">
        <v>240</v>
      </c>
      <c r="B1" s="2157"/>
      <c r="C1" s="2157"/>
      <c r="D1" s="2157"/>
      <c r="E1" s="2157"/>
      <c r="F1" s="2157"/>
      <c r="G1" s="2157"/>
      <c r="H1" s="2157"/>
      <c r="I1" s="2157"/>
      <c r="J1" s="2157"/>
      <c r="K1" s="2157"/>
      <c r="L1" s="2157"/>
      <c r="M1" s="2157"/>
      <c r="N1" s="2157"/>
      <c r="O1" s="2157"/>
      <c r="P1" s="2157"/>
      <c r="Q1" s="2157"/>
      <c r="R1" s="2157"/>
      <c r="S1" s="904" t="s">
        <v>0</v>
      </c>
    </row>
    <row r="2" spans="1:32">
      <c r="A2" s="2209"/>
      <c r="B2" s="2209"/>
      <c r="C2" s="2209"/>
      <c r="D2" s="2209"/>
      <c r="E2" s="2209"/>
      <c r="F2" s="2209"/>
      <c r="G2" s="2209"/>
      <c r="H2" s="2209"/>
      <c r="I2" s="2209"/>
      <c r="J2" s="2209"/>
      <c r="K2" s="2209"/>
      <c r="L2" s="2209"/>
      <c r="M2" s="2209"/>
      <c r="N2" s="2209"/>
      <c r="O2" s="2209"/>
      <c r="P2" s="2209"/>
      <c r="Q2" s="2209"/>
      <c r="R2" s="2209"/>
      <c r="S2" s="904" t="s">
        <v>0</v>
      </c>
    </row>
    <row r="3" spans="1:32" ht="18.75">
      <c r="A3" s="2210" t="s">
        <v>231</v>
      </c>
      <c r="B3" s="2211"/>
      <c r="C3" s="2211"/>
      <c r="D3" s="2211"/>
      <c r="E3" s="2211"/>
      <c r="F3" s="2211"/>
      <c r="G3" s="2211"/>
      <c r="H3" s="2211"/>
      <c r="I3" s="2211"/>
      <c r="J3" s="2211"/>
      <c r="K3" s="2211"/>
      <c r="L3" s="2211"/>
      <c r="M3" s="2211"/>
      <c r="N3" s="2211"/>
      <c r="O3" s="2211"/>
      <c r="P3" s="2211"/>
      <c r="Q3" s="2211"/>
      <c r="R3" s="2211"/>
      <c r="S3" s="904" t="s">
        <v>0</v>
      </c>
    </row>
    <row r="4" spans="1:32" ht="16.5">
      <c r="A4" s="2212" t="str">
        <f>+'B. Summ of Reqs - PSOB'!A5</f>
        <v>Office of Justice Programs</v>
      </c>
      <c r="B4" s="2208"/>
      <c r="C4" s="2208"/>
      <c r="D4" s="2208"/>
      <c r="E4" s="2208"/>
      <c r="F4" s="2208"/>
      <c r="G4" s="2208"/>
      <c r="H4" s="2208"/>
      <c r="I4" s="2208"/>
      <c r="J4" s="2208"/>
      <c r="K4" s="2208"/>
      <c r="L4" s="2208"/>
      <c r="M4" s="2208"/>
      <c r="N4" s="2208"/>
      <c r="O4" s="2208"/>
      <c r="P4" s="2208"/>
      <c r="Q4" s="2208"/>
      <c r="R4" s="2208"/>
      <c r="S4" s="904" t="s">
        <v>0</v>
      </c>
    </row>
    <row r="5" spans="1:32" ht="16.5">
      <c r="A5" s="2212" t="str">
        <f>+'B. Summ of Reqs - PSOB'!A6</f>
        <v>Public Safety Officers Benefits</v>
      </c>
      <c r="B5" s="2211"/>
      <c r="C5" s="2211"/>
      <c r="D5" s="2211"/>
      <c r="E5" s="2211"/>
      <c r="F5" s="2211"/>
      <c r="G5" s="2211"/>
      <c r="H5" s="2211"/>
      <c r="I5" s="2211"/>
      <c r="J5" s="2211"/>
      <c r="K5" s="2211"/>
      <c r="L5" s="2211"/>
      <c r="M5" s="2211"/>
      <c r="N5" s="2211"/>
      <c r="O5" s="2211"/>
      <c r="P5" s="2211"/>
      <c r="Q5" s="2211"/>
      <c r="R5" s="2211"/>
      <c r="S5" s="904" t="s">
        <v>0</v>
      </c>
    </row>
    <row r="6" spans="1:32">
      <c r="A6" s="2207" t="s">
        <v>257</v>
      </c>
      <c r="B6" s="2208"/>
      <c r="C6" s="2208"/>
      <c r="D6" s="2208"/>
      <c r="E6" s="2208"/>
      <c r="F6" s="2208"/>
      <c r="G6" s="2208"/>
      <c r="H6" s="2208"/>
      <c r="I6" s="2208"/>
      <c r="J6" s="2208"/>
      <c r="K6" s="2208"/>
      <c r="L6" s="2208"/>
      <c r="M6" s="2208"/>
      <c r="N6" s="2208"/>
      <c r="O6" s="2208"/>
      <c r="P6" s="2208"/>
      <c r="Q6" s="2208"/>
      <c r="R6" s="2208"/>
      <c r="S6" s="904" t="s">
        <v>0</v>
      </c>
    </row>
    <row r="7" spans="1:32">
      <c r="A7" s="2209"/>
      <c r="B7" s="2209"/>
      <c r="C7" s="2209"/>
      <c r="D7" s="2209"/>
      <c r="E7" s="2209"/>
      <c r="F7" s="2209"/>
      <c r="G7" s="2209"/>
      <c r="H7" s="2209"/>
      <c r="I7" s="2209"/>
      <c r="J7" s="2209"/>
      <c r="K7" s="2209"/>
      <c r="L7" s="2209"/>
      <c r="M7" s="2209"/>
      <c r="N7" s="2209"/>
      <c r="O7" s="2209"/>
      <c r="P7" s="2209"/>
      <c r="Q7" s="2209"/>
      <c r="R7" s="2209"/>
      <c r="S7" s="904" t="s">
        <v>0</v>
      </c>
    </row>
    <row r="8" spans="1:32">
      <c r="A8" s="2213"/>
      <c r="B8" s="2213"/>
      <c r="C8" s="2213"/>
      <c r="D8" s="2213"/>
      <c r="E8" s="2213"/>
      <c r="F8" s="2213"/>
      <c r="G8" s="2213"/>
      <c r="H8" s="2213"/>
      <c r="I8" s="2213"/>
      <c r="J8" s="2213"/>
      <c r="K8" s="2213"/>
      <c r="L8" s="2213"/>
      <c r="M8" s="2213"/>
      <c r="N8" s="2213"/>
      <c r="O8" s="2213"/>
      <c r="P8" s="2213"/>
      <c r="Q8" s="2213"/>
      <c r="R8" s="2213"/>
      <c r="S8" s="904" t="s">
        <v>0</v>
      </c>
    </row>
    <row r="9" spans="1:32" ht="15.75" customHeight="1">
      <c r="A9" s="2214" t="s">
        <v>45</v>
      </c>
      <c r="B9" s="2217" t="s">
        <v>19</v>
      </c>
      <c r="C9" s="2218"/>
      <c r="D9" s="2219"/>
      <c r="E9" s="2223" t="s">
        <v>269</v>
      </c>
      <c r="F9" s="2224"/>
      <c r="G9" s="2225"/>
      <c r="H9" s="2223" t="s">
        <v>270</v>
      </c>
      <c r="I9" s="2224"/>
      <c r="J9" s="2225"/>
      <c r="K9" s="2217" t="s">
        <v>23</v>
      </c>
      <c r="L9" s="2218"/>
      <c r="M9" s="2218"/>
      <c r="N9" s="2229" t="s">
        <v>356</v>
      </c>
      <c r="O9" s="2229" t="s">
        <v>357</v>
      </c>
      <c r="P9" s="2217" t="s">
        <v>35</v>
      </c>
      <c r="Q9" s="2218"/>
      <c r="R9" s="2219"/>
      <c r="S9" s="904" t="s">
        <v>0</v>
      </c>
    </row>
    <row r="10" spans="1:32">
      <c r="A10" s="2215"/>
      <c r="B10" s="2220"/>
      <c r="C10" s="2221"/>
      <c r="D10" s="2222"/>
      <c r="E10" s="2226"/>
      <c r="F10" s="2227"/>
      <c r="G10" s="2228"/>
      <c r="H10" s="2226"/>
      <c r="I10" s="2227"/>
      <c r="J10" s="2228"/>
      <c r="K10" s="2220"/>
      <c r="L10" s="2221"/>
      <c r="M10" s="2221"/>
      <c r="N10" s="2230"/>
      <c r="O10" s="2230"/>
      <c r="P10" s="2220"/>
      <c r="Q10" s="2221"/>
      <c r="R10" s="2222"/>
      <c r="S10" s="904" t="s">
        <v>0</v>
      </c>
    </row>
    <row r="11" spans="1:32" ht="16.5" thickBot="1">
      <c r="A11" s="2216"/>
      <c r="B11" s="905" t="s">
        <v>277</v>
      </c>
      <c r="C11" s="906" t="s">
        <v>49</v>
      </c>
      <c r="D11" s="906" t="s">
        <v>279</v>
      </c>
      <c r="E11" s="905" t="s">
        <v>277</v>
      </c>
      <c r="F11" s="906" t="s">
        <v>49</v>
      </c>
      <c r="G11" s="906" t="s">
        <v>279</v>
      </c>
      <c r="H11" s="905" t="s">
        <v>277</v>
      </c>
      <c r="I11" s="906" t="s">
        <v>49</v>
      </c>
      <c r="J11" s="906" t="s">
        <v>279</v>
      </c>
      <c r="K11" s="905" t="s">
        <v>277</v>
      </c>
      <c r="L11" s="906" t="s">
        <v>49</v>
      </c>
      <c r="M11" s="906" t="s">
        <v>279</v>
      </c>
      <c r="N11" s="907" t="s">
        <v>279</v>
      </c>
      <c r="O11" s="908" t="s">
        <v>279</v>
      </c>
      <c r="P11" s="905" t="s">
        <v>277</v>
      </c>
      <c r="Q11" s="906" t="s">
        <v>49</v>
      </c>
      <c r="R11" s="909" t="s">
        <v>279</v>
      </c>
      <c r="S11" s="904" t="s">
        <v>0</v>
      </c>
    </row>
    <row r="12" spans="1:32">
      <c r="A12" s="910" t="s">
        <v>683</v>
      </c>
      <c r="B12" s="738"/>
      <c r="C12" s="697"/>
      <c r="D12" s="697">
        <v>66000</v>
      </c>
      <c r="E12" s="738"/>
      <c r="F12" s="697"/>
      <c r="G12" s="697"/>
      <c r="H12" s="738"/>
      <c r="I12" s="697"/>
      <c r="J12" s="697"/>
      <c r="K12" s="738"/>
      <c r="L12" s="697"/>
      <c r="M12" s="697"/>
      <c r="N12" s="676"/>
      <c r="O12" s="697"/>
      <c r="P12" s="738"/>
      <c r="Q12" s="697"/>
      <c r="R12" s="667">
        <f>D12+G12+J12+M12+N12</f>
        <v>66000</v>
      </c>
      <c r="S12" s="904" t="s">
        <v>0</v>
      </c>
    </row>
    <row r="13" spans="1:32">
      <c r="A13" s="911" t="s">
        <v>684</v>
      </c>
      <c r="B13" s="738"/>
      <c r="C13" s="697"/>
      <c r="D13" s="697">
        <f>5000+4100</f>
        <v>9100</v>
      </c>
      <c r="E13" s="738"/>
      <c r="F13" s="697"/>
      <c r="G13" s="1125"/>
      <c r="H13" s="738"/>
      <c r="I13" s="697"/>
      <c r="J13" s="697"/>
      <c r="K13" s="738"/>
      <c r="L13" s="697"/>
      <c r="M13" s="697"/>
      <c r="N13" s="676"/>
      <c r="O13" s="697">
        <v>490</v>
      </c>
      <c r="P13" s="1240"/>
      <c r="Q13" s="1155"/>
      <c r="R13" s="667">
        <f>D13+G13+J13+M13+N13+O13</f>
        <v>9590</v>
      </c>
      <c r="S13" s="904" t="s">
        <v>0</v>
      </c>
    </row>
    <row r="14" spans="1:32">
      <c r="A14" s="918" t="s">
        <v>286</v>
      </c>
      <c r="B14" s="919">
        <f t="shared" ref="B14:R14" si="0">SUM(B12:B13)</f>
        <v>0</v>
      </c>
      <c r="C14" s="920">
        <f t="shared" si="0"/>
        <v>0</v>
      </c>
      <c r="D14" s="921">
        <f t="shared" si="0"/>
        <v>75100</v>
      </c>
      <c r="E14" s="919">
        <f t="shared" si="0"/>
        <v>0</v>
      </c>
      <c r="F14" s="920">
        <f t="shared" si="0"/>
        <v>0</v>
      </c>
      <c r="G14" s="921">
        <f t="shared" si="0"/>
        <v>0</v>
      </c>
      <c r="H14" s="919">
        <f t="shared" si="0"/>
        <v>0</v>
      </c>
      <c r="I14" s="920">
        <f t="shared" si="0"/>
        <v>0</v>
      </c>
      <c r="J14" s="921">
        <f t="shared" si="0"/>
        <v>0</v>
      </c>
      <c r="K14" s="919">
        <f t="shared" si="0"/>
        <v>0</v>
      </c>
      <c r="L14" s="920">
        <f t="shared" si="0"/>
        <v>0</v>
      </c>
      <c r="M14" s="921">
        <f t="shared" si="0"/>
        <v>0</v>
      </c>
      <c r="N14" s="923">
        <f t="shared" si="0"/>
        <v>0</v>
      </c>
      <c r="O14" s="921">
        <f t="shared" si="0"/>
        <v>490</v>
      </c>
      <c r="P14" s="919">
        <f t="shared" si="0"/>
        <v>0</v>
      </c>
      <c r="Q14" s="920">
        <f t="shared" si="0"/>
        <v>0</v>
      </c>
      <c r="R14" s="926">
        <f t="shared" si="0"/>
        <v>75590</v>
      </c>
      <c r="S14" s="904" t="s">
        <v>0</v>
      </c>
    </row>
    <row r="15" spans="1:32">
      <c r="A15" s="927" t="s">
        <v>263</v>
      </c>
      <c r="B15" s="735" t="s">
        <v>278</v>
      </c>
      <c r="C15" s="736"/>
      <c r="D15" s="736"/>
      <c r="E15" s="735"/>
      <c r="F15" s="736"/>
      <c r="G15" s="736"/>
      <c r="H15" s="735"/>
      <c r="I15" s="736"/>
      <c r="J15" s="736"/>
      <c r="K15" s="735"/>
      <c r="L15" s="736"/>
      <c r="M15" s="736"/>
      <c r="N15" s="682"/>
      <c r="O15" s="736"/>
      <c r="P15" s="735"/>
      <c r="Q15" s="736"/>
      <c r="R15" s="737"/>
      <c r="S15" s="904" t="s">
        <v>0</v>
      </c>
      <c r="T15" s="928"/>
      <c r="U15" s="928"/>
      <c r="V15" s="928"/>
      <c r="W15" s="928"/>
      <c r="X15" s="928"/>
      <c r="Y15" s="928"/>
      <c r="Z15" s="928"/>
      <c r="AA15" s="928"/>
      <c r="AB15" s="928"/>
      <c r="AC15" s="928"/>
      <c r="AD15" s="928"/>
      <c r="AE15" s="928"/>
      <c r="AF15" s="928"/>
    </row>
    <row r="16" spans="1:32">
      <c r="A16" s="927" t="s">
        <v>262</v>
      </c>
      <c r="B16" s="929"/>
      <c r="C16" s="930">
        <f>SUM(C14:C15)</f>
        <v>0</v>
      </c>
      <c r="D16" s="930"/>
      <c r="E16" s="929"/>
      <c r="F16" s="930">
        <f>+F14+F15</f>
        <v>0</v>
      </c>
      <c r="G16" s="930"/>
      <c r="H16" s="929"/>
      <c r="I16" s="930">
        <f>+I14+I15</f>
        <v>0</v>
      </c>
      <c r="J16" s="930"/>
      <c r="K16" s="929"/>
      <c r="L16" s="930">
        <f>+L14+L15</f>
        <v>0</v>
      </c>
      <c r="M16" s="930"/>
      <c r="N16" s="931"/>
      <c r="O16" s="930"/>
      <c r="P16" s="929"/>
      <c r="Q16" s="930">
        <f>SUM(Q14:Q15)</f>
        <v>0</v>
      </c>
      <c r="R16" s="932"/>
      <c r="S16" s="904" t="s">
        <v>0</v>
      </c>
    </row>
    <row r="17" spans="1:19">
      <c r="A17" s="933" t="s">
        <v>264</v>
      </c>
      <c r="B17" s="738"/>
      <c r="C17" s="697"/>
      <c r="D17" s="697"/>
      <c r="E17" s="738"/>
      <c r="F17" s="697"/>
      <c r="G17" s="697"/>
      <c r="H17" s="738"/>
      <c r="I17" s="697"/>
      <c r="J17" s="697"/>
      <c r="K17" s="738"/>
      <c r="L17" s="697"/>
      <c r="M17" s="697"/>
      <c r="N17" s="676"/>
      <c r="O17" s="697"/>
      <c r="P17" s="738"/>
      <c r="Q17" s="697"/>
      <c r="R17" s="667"/>
      <c r="S17" s="904" t="s">
        <v>0</v>
      </c>
    </row>
    <row r="18" spans="1:19">
      <c r="A18" s="934" t="s">
        <v>55</v>
      </c>
      <c r="B18" s="738"/>
      <c r="C18" s="697"/>
      <c r="D18" s="697"/>
      <c r="E18" s="738"/>
      <c r="F18" s="697"/>
      <c r="G18" s="697"/>
      <c r="H18" s="738"/>
      <c r="I18" s="697"/>
      <c r="J18" s="697"/>
      <c r="K18" s="738"/>
      <c r="L18" s="697"/>
      <c r="M18" s="697"/>
      <c r="N18" s="676"/>
      <c r="O18" s="697"/>
      <c r="P18" s="738"/>
      <c r="Q18" s="697"/>
      <c r="R18" s="667"/>
      <c r="S18" s="904" t="s">
        <v>0</v>
      </c>
    </row>
    <row r="19" spans="1:19">
      <c r="A19" s="935" t="s">
        <v>103</v>
      </c>
      <c r="B19" s="735"/>
      <c r="C19" s="736"/>
      <c r="D19" s="736"/>
      <c r="E19" s="735"/>
      <c r="F19" s="736"/>
      <c r="G19" s="736"/>
      <c r="H19" s="735"/>
      <c r="I19" s="736"/>
      <c r="J19" s="736"/>
      <c r="K19" s="735"/>
      <c r="L19" s="736"/>
      <c r="M19" s="736"/>
      <c r="N19" s="682"/>
      <c r="O19" s="736"/>
      <c r="P19" s="735"/>
      <c r="Q19" s="736"/>
      <c r="R19" s="737"/>
      <c r="S19" s="904" t="s">
        <v>0</v>
      </c>
    </row>
    <row r="20" spans="1:19">
      <c r="A20" s="927" t="s">
        <v>265</v>
      </c>
      <c r="B20" s="735"/>
      <c r="C20" s="736">
        <f>C19+C18+C16</f>
        <v>0</v>
      </c>
      <c r="D20" s="936"/>
      <c r="E20" s="735"/>
      <c r="F20" s="736">
        <f>F19+F18+F16</f>
        <v>0</v>
      </c>
      <c r="G20" s="936"/>
      <c r="H20" s="735"/>
      <c r="I20" s="736">
        <f>I19+I18+I16</f>
        <v>0</v>
      </c>
      <c r="J20" s="936"/>
      <c r="K20" s="735"/>
      <c r="L20" s="736">
        <f>L19+L18+L16</f>
        <v>0</v>
      </c>
      <c r="M20" s="936"/>
      <c r="N20" s="937"/>
      <c r="O20" s="936"/>
      <c r="P20" s="735"/>
      <c r="Q20" s="736">
        <f>Q19+Q18+Q16</f>
        <v>0</v>
      </c>
      <c r="R20" s="938"/>
      <c r="S20" s="904" t="s">
        <v>24</v>
      </c>
    </row>
    <row r="21" spans="1:19">
      <c r="A21" s="2233"/>
      <c r="B21" s="2232"/>
      <c r="C21" s="2232"/>
      <c r="D21" s="2232"/>
      <c r="E21" s="2232"/>
      <c r="F21" s="2232"/>
      <c r="G21" s="2232"/>
      <c r="H21" s="2232"/>
      <c r="I21" s="2232"/>
      <c r="J21" s="2232"/>
      <c r="K21" s="2232"/>
      <c r="L21" s="2232"/>
      <c r="M21" s="2232"/>
      <c r="N21" s="2232"/>
      <c r="O21" s="2232"/>
      <c r="P21" s="2232"/>
      <c r="Q21" s="2232"/>
      <c r="R21" s="2232"/>
      <c r="S21" s="684"/>
    </row>
    <row r="22" spans="1:19">
      <c r="A22" s="943"/>
      <c r="B22" s="944"/>
      <c r="C22" s="944"/>
      <c r="D22" s="944"/>
      <c r="E22" s="944"/>
      <c r="F22" s="944"/>
      <c r="G22" s="944"/>
      <c r="H22" s="944"/>
      <c r="I22" s="944"/>
      <c r="J22" s="944"/>
      <c r="K22" s="944"/>
      <c r="L22" s="944"/>
      <c r="M22" s="944"/>
      <c r="N22" s="944"/>
      <c r="O22" s="944"/>
      <c r="P22" s="944"/>
      <c r="Q22" s="944"/>
      <c r="R22" s="944"/>
      <c r="S22" s="684"/>
    </row>
    <row r="23" spans="1:19">
      <c r="A23" s="2234"/>
      <c r="B23" s="2235"/>
      <c r="C23" s="2235"/>
      <c r="D23" s="2235"/>
      <c r="E23" s="2235"/>
      <c r="F23" s="2235"/>
      <c r="G23" s="2235"/>
      <c r="H23" s="2235"/>
      <c r="I23" s="2235"/>
      <c r="J23" s="2235"/>
      <c r="K23" s="2235"/>
      <c r="L23" s="2235"/>
      <c r="M23" s="2235"/>
      <c r="N23" s="2235"/>
      <c r="O23" s="2235"/>
      <c r="P23" s="2235"/>
      <c r="Q23" s="2235"/>
      <c r="R23" s="2235"/>
      <c r="S23" s="684"/>
    </row>
    <row r="24" spans="1:19" ht="24" customHeight="1">
      <c r="A24" s="2236"/>
      <c r="B24" s="2235"/>
      <c r="C24" s="2235"/>
      <c r="D24" s="2235"/>
      <c r="E24" s="2235"/>
      <c r="F24" s="2235"/>
      <c r="G24" s="2235"/>
      <c r="H24" s="2235"/>
      <c r="I24" s="2235"/>
      <c r="J24" s="2235"/>
      <c r="K24" s="2235"/>
      <c r="L24" s="2235"/>
      <c r="M24" s="2235"/>
      <c r="N24" s="2235"/>
      <c r="O24" s="2235"/>
      <c r="P24" s="2235"/>
      <c r="Q24" s="2235"/>
      <c r="R24" s="2235"/>
      <c r="S24" s="684"/>
    </row>
    <row r="25" spans="1:19" ht="23.25" customHeight="1">
      <c r="A25" s="2234"/>
      <c r="B25" s="2236"/>
      <c r="C25" s="2236"/>
      <c r="D25" s="2236"/>
      <c r="E25" s="2236"/>
      <c r="F25" s="2236"/>
      <c r="G25" s="2236"/>
      <c r="H25" s="2236"/>
      <c r="I25" s="2236"/>
      <c r="J25" s="2236"/>
      <c r="K25" s="2236"/>
      <c r="L25" s="2236"/>
      <c r="M25" s="2236"/>
      <c r="N25" s="2236"/>
      <c r="O25" s="2236"/>
      <c r="P25" s="2236"/>
      <c r="Q25" s="2236"/>
      <c r="R25" s="2236"/>
      <c r="S25" s="684"/>
    </row>
    <row r="26" spans="1:19" ht="9.75" customHeight="1">
      <c r="A26" s="752"/>
      <c r="B26" s="752"/>
      <c r="C26" s="752"/>
      <c r="D26" s="752"/>
      <c r="E26" s="752"/>
      <c r="F26" s="752"/>
      <c r="G26" s="752"/>
      <c r="H26" s="752"/>
      <c r="I26" s="752"/>
      <c r="J26" s="752"/>
      <c r="K26" s="752"/>
      <c r="L26" s="752"/>
      <c r="M26" s="752"/>
      <c r="N26" s="752"/>
      <c r="O26" s="752"/>
      <c r="P26" s="752"/>
      <c r="Q26" s="752"/>
      <c r="R26" s="752"/>
      <c r="S26" s="684"/>
    </row>
    <row r="27" spans="1:19" ht="11.25" customHeight="1">
      <c r="A27" s="752"/>
      <c r="B27" s="752"/>
      <c r="C27" s="752"/>
      <c r="D27" s="752"/>
      <c r="E27" s="752"/>
      <c r="F27" s="752"/>
      <c r="G27" s="752"/>
      <c r="H27" s="752"/>
      <c r="I27" s="752"/>
      <c r="J27" s="752"/>
      <c r="K27" s="752"/>
      <c r="L27" s="752"/>
      <c r="M27" s="752"/>
      <c r="N27" s="752"/>
      <c r="O27" s="752"/>
      <c r="P27" s="752"/>
      <c r="Q27" s="752"/>
      <c r="R27" s="752"/>
      <c r="S27" s="684"/>
    </row>
    <row r="28" spans="1:19">
      <c r="A28" s="2236"/>
      <c r="B28" s="2236"/>
      <c r="C28" s="2236"/>
      <c r="D28" s="2236"/>
      <c r="E28" s="2236"/>
      <c r="F28" s="2236"/>
      <c r="G28" s="2236"/>
      <c r="H28" s="2236"/>
      <c r="I28" s="2236"/>
      <c r="J28" s="2236"/>
      <c r="K28" s="2236"/>
      <c r="L28" s="2236"/>
      <c r="M28" s="2236"/>
      <c r="N28" s="2236"/>
      <c r="O28" s="2236"/>
      <c r="P28" s="2236"/>
      <c r="Q28" s="2236"/>
      <c r="R28" s="2236"/>
      <c r="S28" s="684"/>
    </row>
    <row r="29" spans="1:19" ht="7.5" customHeight="1">
      <c r="A29" s="945"/>
      <c r="B29" s="945"/>
      <c r="C29" s="945"/>
      <c r="D29" s="945"/>
      <c r="E29" s="945"/>
      <c r="F29" s="945"/>
      <c r="G29" s="945"/>
      <c r="H29" s="945"/>
      <c r="I29" s="945"/>
      <c r="J29" s="945"/>
      <c r="K29" s="945"/>
      <c r="L29" s="945"/>
      <c r="M29" s="945"/>
      <c r="N29" s="945"/>
      <c r="O29" s="945"/>
      <c r="P29" s="945"/>
      <c r="Q29" s="945"/>
      <c r="R29" s="945"/>
      <c r="S29" s="684"/>
    </row>
    <row r="30" spans="1:19">
      <c r="A30" s="946"/>
      <c r="B30" s="945"/>
      <c r="C30" s="945"/>
      <c r="D30" s="945"/>
      <c r="E30" s="945"/>
      <c r="F30" s="945"/>
      <c r="G30" s="945"/>
      <c r="H30" s="945"/>
      <c r="I30" s="945"/>
      <c r="J30" s="945"/>
      <c r="K30" s="945"/>
      <c r="L30" s="945"/>
      <c r="M30" s="945"/>
      <c r="N30" s="945"/>
      <c r="O30" s="945"/>
      <c r="P30" s="945"/>
      <c r="Q30" s="945"/>
      <c r="R30" s="945"/>
      <c r="S30" s="684"/>
    </row>
    <row r="31" spans="1:19" ht="11.25" customHeight="1">
      <c r="A31" s="752"/>
      <c r="B31" s="752"/>
      <c r="C31" s="752"/>
      <c r="D31" s="752"/>
      <c r="E31" s="752"/>
      <c r="F31" s="752"/>
      <c r="G31" s="752"/>
      <c r="H31" s="752"/>
      <c r="I31" s="752"/>
      <c r="J31" s="752"/>
      <c r="K31" s="752"/>
      <c r="L31" s="752"/>
      <c r="M31" s="752"/>
      <c r="N31" s="752"/>
      <c r="O31" s="752"/>
      <c r="P31" s="752"/>
      <c r="Q31" s="752"/>
      <c r="R31" s="752"/>
      <c r="S31" s="684"/>
    </row>
    <row r="32" spans="1:19" ht="15" customHeight="1">
      <c r="A32" s="2236"/>
      <c r="B32" s="2235"/>
      <c r="C32" s="2235"/>
      <c r="D32" s="2235"/>
      <c r="E32" s="2235"/>
      <c r="F32" s="2235"/>
      <c r="G32" s="2235"/>
      <c r="H32" s="2235"/>
      <c r="I32" s="2235"/>
      <c r="J32" s="2235"/>
      <c r="K32" s="2235"/>
      <c r="L32" s="2235"/>
      <c r="M32" s="2235"/>
      <c r="N32" s="2235"/>
      <c r="O32" s="2235"/>
      <c r="P32" s="2235"/>
      <c r="Q32" s="2235"/>
      <c r="R32" s="2235"/>
      <c r="S32" s="684"/>
    </row>
    <row r="33" spans="1:19" ht="12" customHeight="1">
      <c r="A33" s="747"/>
      <c r="B33" s="747"/>
      <c r="C33" s="747"/>
      <c r="D33" s="747"/>
      <c r="E33" s="747"/>
      <c r="F33" s="747"/>
      <c r="G33" s="747"/>
      <c r="H33" s="747"/>
      <c r="I33" s="747"/>
      <c r="J33" s="747"/>
      <c r="K33" s="747"/>
      <c r="L33" s="747"/>
      <c r="M33" s="747"/>
      <c r="N33" s="747"/>
      <c r="O33" s="747"/>
      <c r="P33" s="747"/>
      <c r="Q33" s="747"/>
      <c r="R33" s="947"/>
      <c r="S33" s="684"/>
    </row>
    <row r="34" spans="1:19" ht="36" customHeight="1">
      <c r="A34" s="2231"/>
      <c r="B34" s="2232"/>
      <c r="C34" s="2232"/>
      <c r="D34" s="2232"/>
      <c r="E34" s="2232"/>
      <c r="F34" s="2232"/>
      <c r="G34" s="2232"/>
      <c r="H34" s="2232"/>
      <c r="I34" s="2232"/>
      <c r="J34" s="2232"/>
      <c r="K34" s="2232"/>
      <c r="L34" s="2232"/>
      <c r="M34" s="2232"/>
      <c r="N34" s="2232"/>
      <c r="O34" s="2232"/>
      <c r="P34" s="2232"/>
      <c r="Q34" s="2232"/>
      <c r="R34" s="2232"/>
      <c r="S34" s="2232"/>
    </row>
    <row r="35" spans="1:19">
      <c r="S35" s="684"/>
    </row>
  </sheetData>
  <mergeCells count="23">
    <mergeCell ref="A34:S34"/>
    <mergeCell ref="A21:R21"/>
    <mergeCell ref="A23:R23"/>
    <mergeCell ref="A24:R24"/>
    <mergeCell ref="A25:R25"/>
    <mergeCell ref="A28:R28"/>
    <mergeCell ref="A32:R32"/>
    <mergeCell ref="A7:R7"/>
    <mergeCell ref="A8:R8"/>
    <mergeCell ref="A9:A11"/>
    <mergeCell ref="B9:D10"/>
    <mergeCell ref="E9:G10"/>
    <mergeCell ref="H9:J10"/>
    <mergeCell ref="K9:M10"/>
    <mergeCell ref="N9:N10"/>
    <mergeCell ref="O9:O10"/>
    <mergeCell ref="P9:R10"/>
    <mergeCell ref="A6:R6"/>
    <mergeCell ref="A1:R1"/>
    <mergeCell ref="A2:R2"/>
    <mergeCell ref="A3:R3"/>
    <mergeCell ref="A4:R4"/>
    <mergeCell ref="A5:R5"/>
  </mergeCells>
  <printOptions horizontalCentered="1"/>
  <pageMargins left="0.5" right="0.4" top="0.5" bottom="0.25" header="0" footer="0"/>
  <pageSetup scale="67" firstPageNumber="8" fitToHeight="0" orientation="landscape" useFirstPageNumber="1" r:id="rId1"/>
  <headerFooter alignWithMargins="0">
    <oddFooter>&amp;C&amp;"Times New Roman,Regular"Exhibit F - Crosswalk of 2010 Availability&amp;R&amp;"Times New Roman,Regular"Public Safety Officers Benefits</oddFooter>
  </headerFooter>
</worksheet>
</file>

<file path=xl/worksheets/sheet5.xml><?xml version="1.0" encoding="utf-8"?>
<worksheet xmlns="http://schemas.openxmlformats.org/spreadsheetml/2006/main" xmlns:r="http://schemas.openxmlformats.org/officeDocument/2006/relationships">
  <sheetPr codeName="Sheet11">
    <pageSetUpPr fitToPage="1"/>
  </sheetPr>
  <dimension ref="A1:AC43"/>
  <sheetViews>
    <sheetView showGridLines="0" showOutlineSymbols="0" view="pageBreakPreview" zoomScale="75" zoomScaleNormal="75" workbookViewId="0">
      <selection activeCell="C25" sqref="C25"/>
    </sheetView>
  </sheetViews>
  <sheetFormatPr defaultColWidth="9.6640625" defaultRowHeight="15.75"/>
  <cols>
    <col min="1" max="1" width="27.77734375" style="8" customWidth="1"/>
    <col min="2" max="2" width="7.5546875" style="8" bestFit="1" customWidth="1"/>
    <col min="3" max="3" width="6.77734375" style="8" customWidth="1"/>
    <col min="4" max="4" width="10.88671875" style="8" bestFit="1" customWidth="1"/>
    <col min="5" max="5" width="5.77734375" style="8" customWidth="1"/>
    <col min="6" max="6" width="5.6640625" style="8" customWidth="1"/>
    <col min="7" max="7" width="7.77734375" style="8" customWidth="1"/>
    <col min="8" max="8" width="5.5546875" style="8" customWidth="1"/>
    <col min="9" max="9" width="5.6640625" style="8" customWidth="1"/>
    <col min="10" max="10" width="7.77734375" style="8" customWidth="1"/>
    <col min="11" max="11" width="8.77734375" style="8" customWidth="1"/>
    <col min="12" max="12" width="10" style="8" customWidth="1"/>
    <col min="13" max="13" width="7.5546875" style="8" bestFit="1" customWidth="1"/>
    <col min="14" max="14" width="6.77734375" style="8" customWidth="1"/>
    <col min="15" max="15" width="10.88671875" style="8" bestFit="1" customWidth="1"/>
    <col min="16" max="16" width="1" style="109" customWidth="1"/>
    <col min="17" max="16384" width="9.6640625" style="8"/>
  </cols>
  <sheetData>
    <row r="1" spans="1:29" ht="20.25">
      <c r="A1" s="1823" t="s">
        <v>240</v>
      </c>
      <c r="B1" s="1824"/>
      <c r="C1" s="1824"/>
      <c r="D1" s="1824"/>
      <c r="E1" s="1824"/>
      <c r="F1" s="1824"/>
      <c r="G1" s="1824"/>
      <c r="H1" s="1824"/>
      <c r="I1" s="1824"/>
      <c r="J1" s="1824"/>
      <c r="K1" s="1824"/>
      <c r="L1" s="1824"/>
      <c r="M1" s="1824"/>
      <c r="N1" s="1824"/>
      <c r="O1" s="1824"/>
      <c r="P1" s="108" t="s">
        <v>0</v>
      </c>
    </row>
    <row r="2" spans="1:29">
      <c r="A2" s="1902"/>
      <c r="B2" s="1902"/>
      <c r="C2" s="1902"/>
      <c r="D2" s="1902"/>
      <c r="E2" s="1902"/>
      <c r="F2" s="1902"/>
      <c r="G2" s="1902"/>
      <c r="H2" s="1902"/>
      <c r="I2" s="1902"/>
      <c r="J2" s="1902"/>
      <c r="K2" s="1902"/>
      <c r="L2" s="1902"/>
      <c r="M2" s="1902"/>
      <c r="N2" s="1902"/>
      <c r="O2" s="1902"/>
      <c r="P2" s="108" t="s">
        <v>0</v>
      </c>
    </row>
    <row r="3" spans="1:29" ht="18.75">
      <c r="A3" s="1906" t="s">
        <v>231</v>
      </c>
      <c r="B3" s="1907"/>
      <c r="C3" s="1907"/>
      <c r="D3" s="1907"/>
      <c r="E3" s="1907"/>
      <c r="F3" s="1907"/>
      <c r="G3" s="1907"/>
      <c r="H3" s="1907"/>
      <c r="I3" s="1907"/>
      <c r="J3" s="1907"/>
      <c r="K3" s="1907"/>
      <c r="L3" s="1907"/>
      <c r="M3" s="1907"/>
      <c r="N3" s="1907"/>
      <c r="O3" s="1907"/>
      <c r="P3" s="108" t="s">
        <v>0</v>
      </c>
    </row>
    <row r="4" spans="1:29" ht="16.5">
      <c r="A4" s="1908" t="str">
        <f>+'B. Summ of Reqs - S&amp;E '!A5</f>
        <v>Office of Justice Programs</v>
      </c>
      <c r="B4" s="1905"/>
      <c r="C4" s="1905"/>
      <c r="D4" s="1905"/>
      <c r="E4" s="1905"/>
      <c r="F4" s="1905"/>
      <c r="G4" s="1905"/>
      <c r="H4" s="1905"/>
      <c r="I4" s="1905"/>
      <c r="J4" s="1905"/>
      <c r="K4" s="1905"/>
      <c r="L4" s="1905"/>
      <c r="M4" s="1905"/>
      <c r="N4" s="1905"/>
      <c r="O4" s="1905"/>
      <c r="P4" s="108" t="s">
        <v>0</v>
      </c>
    </row>
    <row r="5" spans="1:29" ht="16.5">
      <c r="A5" s="1908" t="str">
        <f>+'B. Summ of Reqs - S&amp;E '!A6</f>
        <v>Salaries and Expenses</v>
      </c>
      <c r="B5" s="1907"/>
      <c r="C5" s="1907"/>
      <c r="D5" s="1907"/>
      <c r="E5" s="1907"/>
      <c r="F5" s="1907"/>
      <c r="G5" s="1907"/>
      <c r="H5" s="1907"/>
      <c r="I5" s="1907"/>
      <c r="J5" s="1907"/>
      <c r="K5" s="1907"/>
      <c r="L5" s="1907"/>
      <c r="M5" s="1907"/>
      <c r="N5" s="1907"/>
      <c r="O5" s="1907"/>
      <c r="P5" s="108" t="s">
        <v>0</v>
      </c>
    </row>
    <row r="6" spans="1:29">
      <c r="A6" s="1904" t="s">
        <v>257</v>
      </c>
      <c r="B6" s="1905"/>
      <c r="C6" s="1905"/>
      <c r="D6" s="1905"/>
      <c r="E6" s="1905"/>
      <c r="F6" s="1905"/>
      <c r="G6" s="1905"/>
      <c r="H6" s="1905"/>
      <c r="I6" s="1905"/>
      <c r="J6" s="1905"/>
      <c r="K6" s="1905"/>
      <c r="L6" s="1905"/>
      <c r="M6" s="1905"/>
      <c r="N6" s="1905"/>
      <c r="O6" s="1905"/>
      <c r="P6" s="108" t="s">
        <v>0</v>
      </c>
    </row>
    <row r="7" spans="1:29">
      <c r="A7" s="1902"/>
      <c r="B7" s="1902"/>
      <c r="C7" s="1902"/>
      <c r="D7" s="1902"/>
      <c r="E7" s="1902"/>
      <c r="F7" s="1902"/>
      <c r="G7" s="1902"/>
      <c r="H7" s="1902"/>
      <c r="I7" s="1902"/>
      <c r="J7" s="1902"/>
      <c r="K7" s="1902"/>
      <c r="L7" s="1902"/>
      <c r="M7" s="1902"/>
      <c r="N7" s="1902"/>
      <c r="O7" s="1902"/>
      <c r="P7" s="108" t="s">
        <v>0</v>
      </c>
    </row>
    <row r="8" spans="1:29">
      <c r="A8" s="1903"/>
      <c r="B8" s="1903"/>
      <c r="C8" s="1903"/>
      <c r="D8" s="1903"/>
      <c r="E8" s="1903"/>
      <c r="F8" s="1903"/>
      <c r="G8" s="1903"/>
      <c r="H8" s="1903"/>
      <c r="I8" s="1903"/>
      <c r="J8" s="1903"/>
      <c r="K8" s="1903"/>
      <c r="L8" s="1903"/>
      <c r="M8" s="1903"/>
      <c r="N8" s="1903"/>
      <c r="O8" s="1903"/>
      <c r="P8" s="108" t="s">
        <v>0</v>
      </c>
    </row>
    <row r="9" spans="1:29" ht="15.75" customHeight="1">
      <c r="A9" s="1898" t="s">
        <v>45</v>
      </c>
      <c r="B9" s="1880" t="s">
        <v>19</v>
      </c>
      <c r="C9" s="1881"/>
      <c r="D9" s="1882"/>
      <c r="E9" s="1892" t="s">
        <v>269</v>
      </c>
      <c r="F9" s="1893"/>
      <c r="G9" s="1894"/>
      <c r="H9" s="1880" t="s">
        <v>23</v>
      </c>
      <c r="I9" s="1881"/>
      <c r="J9" s="1881"/>
      <c r="K9" s="1890" t="s">
        <v>356</v>
      </c>
      <c r="L9" s="1890" t="s">
        <v>357</v>
      </c>
      <c r="M9" s="1880" t="s">
        <v>35</v>
      </c>
      <c r="N9" s="1881"/>
      <c r="O9" s="1882"/>
      <c r="P9" s="108" t="s">
        <v>0</v>
      </c>
    </row>
    <row r="10" spans="1:29">
      <c r="A10" s="1899"/>
      <c r="B10" s="1883"/>
      <c r="C10" s="1884"/>
      <c r="D10" s="1885"/>
      <c r="E10" s="1895"/>
      <c r="F10" s="1896"/>
      <c r="G10" s="1897"/>
      <c r="H10" s="1883"/>
      <c r="I10" s="1884"/>
      <c r="J10" s="1884"/>
      <c r="K10" s="1891"/>
      <c r="L10" s="1891"/>
      <c r="M10" s="1883"/>
      <c r="N10" s="1884"/>
      <c r="O10" s="1885"/>
      <c r="P10" s="108" t="s">
        <v>0</v>
      </c>
    </row>
    <row r="11" spans="1:29" ht="16.5" thickBot="1">
      <c r="A11" s="1900"/>
      <c r="B11" s="320" t="s">
        <v>277</v>
      </c>
      <c r="C11" s="321" t="s">
        <v>49</v>
      </c>
      <c r="D11" s="321" t="s">
        <v>279</v>
      </c>
      <c r="E11" s="320" t="s">
        <v>277</v>
      </c>
      <c r="F11" s="321" t="s">
        <v>49</v>
      </c>
      <c r="G11" s="321" t="s">
        <v>279</v>
      </c>
      <c r="H11" s="320" t="s">
        <v>277</v>
      </c>
      <c r="I11" s="321" t="s">
        <v>49</v>
      </c>
      <c r="J11" s="321" t="s">
        <v>279</v>
      </c>
      <c r="K11" s="568" t="s">
        <v>279</v>
      </c>
      <c r="L11" s="569" t="s">
        <v>279</v>
      </c>
      <c r="M11" s="320" t="s">
        <v>277</v>
      </c>
      <c r="N11" s="321" t="s">
        <v>49</v>
      </c>
      <c r="O11" s="322" t="s">
        <v>279</v>
      </c>
      <c r="P11" s="108" t="s">
        <v>0</v>
      </c>
    </row>
    <row r="12" spans="1:29">
      <c r="A12" s="619" t="s">
        <v>258</v>
      </c>
      <c r="B12" s="240">
        <v>702</v>
      </c>
      <c r="C12" s="188">
        <v>680</v>
      </c>
      <c r="D12" s="188">
        <v>139218</v>
      </c>
      <c r="E12" s="240"/>
      <c r="F12" s="188"/>
      <c r="G12" s="188"/>
      <c r="H12" s="240"/>
      <c r="I12" s="188"/>
      <c r="J12" s="188">
        <v>30426</v>
      </c>
      <c r="K12" s="114"/>
      <c r="L12" s="188"/>
      <c r="M12" s="240">
        <f>B12+E12+H12</f>
        <v>702</v>
      </c>
      <c r="N12" s="188">
        <f>C12+F12+I12</f>
        <v>680</v>
      </c>
      <c r="O12" s="115">
        <f>D12+G12+J12+K12</f>
        <v>169644</v>
      </c>
      <c r="P12" s="108" t="s">
        <v>0</v>
      </c>
    </row>
    <row r="13" spans="1:29" ht="31.5">
      <c r="A13" s="620" t="s">
        <v>372</v>
      </c>
      <c r="B13" s="240"/>
      <c r="C13" s="188"/>
      <c r="D13" s="188">
        <v>21000</v>
      </c>
      <c r="E13" s="240"/>
      <c r="F13" s="188"/>
      <c r="G13" s="1618"/>
      <c r="H13" s="240"/>
      <c r="I13" s="188"/>
      <c r="J13" s="188"/>
      <c r="K13" s="114"/>
      <c r="L13" s="188"/>
      <c r="M13" s="240">
        <f>B13+E13+H13</f>
        <v>0</v>
      </c>
      <c r="N13" s="188">
        <f>C13+F13+I13</f>
        <v>0</v>
      </c>
      <c r="O13" s="115">
        <f>D13+G13+J13+K13</f>
        <v>21000</v>
      </c>
      <c r="P13" s="108" t="s">
        <v>0</v>
      </c>
    </row>
    <row r="14" spans="1:29">
      <c r="A14" s="326" t="s">
        <v>286</v>
      </c>
      <c r="B14" s="327">
        <f t="shared" ref="B14:O14" si="0">SUM(B12:B13)</f>
        <v>702</v>
      </c>
      <c r="C14" s="328">
        <f t="shared" si="0"/>
        <v>680</v>
      </c>
      <c r="D14" s="329">
        <f t="shared" si="0"/>
        <v>160218</v>
      </c>
      <c r="E14" s="327">
        <f t="shared" si="0"/>
        <v>0</v>
      </c>
      <c r="F14" s="328">
        <f t="shared" si="0"/>
        <v>0</v>
      </c>
      <c r="G14" s="329">
        <f t="shared" si="0"/>
        <v>0</v>
      </c>
      <c r="H14" s="327">
        <f t="shared" si="0"/>
        <v>0</v>
      </c>
      <c r="I14" s="328">
        <f t="shared" si="0"/>
        <v>0</v>
      </c>
      <c r="J14" s="329">
        <f t="shared" si="0"/>
        <v>30426</v>
      </c>
      <c r="K14" s="565">
        <f t="shared" si="0"/>
        <v>0</v>
      </c>
      <c r="L14" s="329">
        <f t="shared" si="0"/>
        <v>0</v>
      </c>
      <c r="M14" s="327">
        <f t="shared" si="0"/>
        <v>702</v>
      </c>
      <c r="N14" s="328">
        <f t="shared" si="0"/>
        <v>680</v>
      </c>
      <c r="O14" s="330">
        <f t="shared" si="0"/>
        <v>190644</v>
      </c>
      <c r="P14" s="108" t="s">
        <v>0</v>
      </c>
    </row>
    <row r="15" spans="1:29">
      <c r="A15" s="319" t="s">
        <v>263</v>
      </c>
      <c r="B15" s="238" t="s">
        <v>278</v>
      </c>
      <c r="C15" s="239"/>
      <c r="D15" s="239"/>
      <c r="E15" s="238"/>
      <c r="F15" s="239"/>
      <c r="G15" s="239"/>
      <c r="H15" s="238"/>
      <c r="I15" s="239"/>
      <c r="J15" s="239"/>
      <c r="K15" s="119"/>
      <c r="L15" s="239"/>
      <c r="M15" s="238"/>
      <c r="N15" s="239"/>
      <c r="O15" s="331"/>
      <c r="P15" s="108" t="s">
        <v>0</v>
      </c>
      <c r="Q15" s="10"/>
      <c r="R15" s="10"/>
      <c r="S15" s="10"/>
      <c r="T15" s="10"/>
      <c r="U15" s="10"/>
      <c r="V15" s="10"/>
      <c r="W15" s="10"/>
      <c r="X15" s="10"/>
      <c r="Y15" s="10"/>
      <c r="Z15" s="10"/>
      <c r="AA15" s="10"/>
      <c r="AB15" s="10"/>
      <c r="AC15" s="10"/>
    </row>
    <row r="16" spans="1:29">
      <c r="A16" s="319" t="s">
        <v>262</v>
      </c>
      <c r="B16" s="332"/>
      <c r="C16" s="333">
        <f>SUM(C14:C15)</f>
        <v>680</v>
      </c>
      <c r="D16" s="333"/>
      <c r="E16" s="332"/>
      <c r="F16" s="333">
        <f>+F14+F15</f>
        <v>0</v>
      </c>
      <c r="G16" s="333"/>
      <c r="H16" s="332"/>
      <c r="I16" s="333">
        <f>+I14+I15</f>
        <v>0</v>
      </c>
      <c r="J16" s="333"/>
      <c r="K16" s="566"/>
      <c r="L16" s="333"/>
      <c r="M16" s="332"/>
      <c r="N16" s="333">
        <f>SUM(N14:N15)</f>
        <v>680</v>
      </c>
      <c r="O16" s="334"/>
      <c r="P16" s="108" t="s">
        <v>0</v>
      </c>
    </row>
    <row r="17" spans="1:16">
      <c r="A17" s="335" t="s">
        <v>264</v>
      </c>
      <c r="B17" s="240"/>
      <c r="C17" s="188"/>
      <c r="D17" s="188"/>
      <c r="E17" s="240"/>
      <c r="F17" s="188"/>
      <c r="G17" s="188"/>
      <c r="H17" s="240"/>
      <c r="I17" s="188"/>
      <c r="J17" s="188"/>
      <c r="K17" s="114"/>
      <c r="L17" s="188"/>
      <c r="M17" s="240"/>
      <c r="N17" s="188"/>
      <c r="O17" s="115"/>
      <c r="P17" s="108" t="s">
        <v>0</v>
      </c>
    </row>
    <row r="18" spans="1:16">
      <c r="A18" s="336" t="s">
        <v>55</v>
      </c>
      <c r="B18" s="240"/>
      <c r="C18" s="188"/>
      <c r="D18" s="188"/>
      <c r="E18" s="240"/>
      <c r="F18" s="188"/>
      <c r="G18" s="188"/>
      <c r="H18" s="240"/>
      <c r="I18" s="188"/>
      <c r="J18" s="188"/>
      <c r="K18" s="114"/>
      <c r="L18" s="188"/>
      <c r="M18" s="240"/>
      <c r="N18" s="188"/>
      <c r="O18" s="115"/>
      <c r="P18" s="108" t="s">
        <v>0</v>
      </c>
    </row>
    <row r="19" spans="1:16">
      <c r="A19" s="337" t="s">
        <v>103</v>
      </c>
      <c r="B19" s="238"/>
      <c r="C19" s="239"/>
      <c r="D19" s="239"/>
      <c r="E19" s="238"/>
      <c r="F19" s="239"/>
      <c r="G19" s="239"/>
      <c r="H19" s="238"/>
      <c r="I19" s="239"/>
      <c r="J19" s="239"/>
      <c r="K19" s="119"/>
      <c r="L19" s="239"/>
      <c r="M19" s="238"/>
      <c r="N19" s="239"/>
      <c r="O19" s="331"/>
      <c r="P19" s="108" t="s">
        <v>0</v>
      </c>
    </row>
    <row r="20" spans="1:16">
      <c r="A20" s="319" t="s">
        <v>265</v>
      </c>
      <c r="B20" s="238"/>
      <c r="C20" s="239">
        <f>C19+C18+C16</f>
        <v>680</v>
      </c>
      <c r="D20" s="338"/>
      <c r="E20" s="238"/>
      <c r="F20" s="239">
        <f>F19+F18+F16</f>
        <v>0</v>
      </c>
      <c r="G20" s="338"/>
      <c r="H20" s="238"/>
      <c r="I20" s="239">
        <f>I19+I18+I16</f>
        <v>0</v>
      </c>
      <c r="J20" s="338"/>
      <c r="K20" s="567"/>
      <c r="L20" s="338"/>
      <c r="M20" s="238"/>
      <c r="N20" s="239">
        <f>N19+N18+N16</f>
        <v>680</v>
      </c>
      <c r="O20" s="339"/>
      <c r="P20" s="108" t="s">
        <v>0</v>
      </c>
    </row>
    <row r="21" spans="1:16">
      <c r="B21" s="1"/>
      <c r="C21" s="1"/>
      <c r="D21" s="1"/>
      <c r="E21" s="1"/>
      <c r="F21" s="1"/>
      <c r="G21" s="1"/>
      <c r="H21" s="1"/>
      <c r="I21" s="1"/>
      <c r="J21" s="1"/>
      <c r="K21" s="1"/>
      <c r="L21" s="1"/>
      <c r="M21" s="1"/>
      <c r="N21" s="1"/>
      <c r="O21" s="1"/>
      <c r="P21" s="108" t="s">
        <v>0</v>
      </c>
    </row>
    <row r="22" spans="1:16">
      <c r="A22" s="1"/>
      <c r="B22" s="20"/>
      <c r="C22" s="1"/>
      <c r="D22" s="1"/>
      <c r="E22" s="1"/>
      <c r="F22" s="1"/>
      <c r="G22" s="1"/>
      <c r="H22" s="1"/>
      <c r="I22" s="1"/>
      <c r="J22" s="1"/>
      <c r="K22" s="1"/>
      <c r="L22" s="1"/>
      <c r="M22" s="1"/>
      <c r="N22" s="1"/>
      <c r="O22" s="1"/>
      <c r="P22" s="108" t="s">
        <v>0</v>
      </c>
    </row>
    <row r="23" spans="1:16">
      <c r="A23" s="1"/>
      <c r="B23" s="20"/>
      <c r="C23" s="1"/>
      <c r="D23" s="1"/>
      <c r="E23" s="1"/>
      <c r="F23" s="1"/>
      <c r="G23" s="1"/>
      <c r="H23" s="1"/>
      <c r="I23" s="1"/>
      <c r="J23" s="1"/>
      <c r="K23" s="1"/>
      <c r="L23" s="1"/>
      <c r="M23" s="1"/>
      <c r="N23" s="1"/>
      <c r="O23" s="1"/>
      <c r="P23" s="108" t="s">
        <v>0</v>
      </c>
    </row>
    <row r="24" spans="1:16" ht="42" customHeight="1">
      <c r="A24" s="1901" t="s">
        <v>409</v>
      </c>
      <c r="B24" s="1901"/>
      <c r="C24" s="1901"/>
      <c r="D24" s="1901"/>
      <c r="E24" s="1901"/>
      <c r="F24" s="1901"/>
      <c r="G24" s="1901"/>
      <c r="H24" s="1901"/>
      <c r="I24" s="1901"/>
      <c r="J24" s="1901"/>
      <c r="K24" s="1901"/>
      <c r="L24" s="1901"/>
      <c r="M24" s="1901"/>
      <c r="N24" s="1901"/>
      <c r="O24" s="1901"/>
      <c r="P24" s="342" t="s">
        <v>24</v>
      </c>
    </row>
    <row r="25" spans="1:16">
      <c r="A25" s="1"/>
      <c r="B25" s="20"/>
      <c r="C25" s="1"/>
      <c r="D25" s="1"/>
      <c r="E25" s="1"/>
      <c r="F25" s="1"/>
      <c r="G25" s="1"/>
      <c r="H25" s="1"/>
      <c r="I25" s="1"/>
      <c r="J25" s="1"/>
      <c r="K25" s="1"/>
      <c r="L25" s="1"/>
      <c r="M25" s="1"/>
      <c r="N25" s="1"/>
      <c r="O25" s="1"/>
      <c r="P25" s="108"/>
    </row>
    <row r="26" spans="1:16" ht="14.45" customHeight="1">
      <c r="A26" s="1"/>
      <c r="B26" s="32"/>
      <c r="C26" s="32"/>
      <c r="D26" s="32"/>
      <c r="E26" s="32"/>
      <c r="F26" s="32"/>
      <c r="G26" s="32"/>
      <c r="H26" s="32"/>
      <c r="I26" s="32"/>
      <c r="J26" s="32"/>
      <c r="K26" s="32"/>
      <c r="L26" s="561"/>
      <c r="M26" s="1"/>
      <c r="N26" s="1"/>
      <c r="O26" s="1"/>
      <c r="P26" s="108"/>
    </row>
    <row r="27" spans="1:16">
      <c r="A27" s="307"/>
      <c r="B27" s="1"/>
      <c r="C27" s="1"/>
      <c r="D27" s="1"/>
      <c r="E27" s="1"/>
      <c r="F27" s="1"/>
      <c r="G27" s="1"/>
      <c r="H27" s="1"/>
      <c r="I27" s="1"/>
      <c r="J27" s="1"/>
      <c r="K27" s="1"/>
      <c r="L27" s="1"/>
      <c r="M27" s="1"/>
      <c r="N27" s="1"/>
      <c r="O27" s="1"/>
    </row>
    <row r="28" spans="1:16">
      <c r="A28" s="38"/>
      <c r="B28" s="38"/>
      <c r="C28" s="38"/>
      <c r="D28" s="38"/>
      <c r="E28" s="38"/>
      <c r="F28" s="38"/>
      <c r="G28" s="38"/>
      <c r="H28" s="1"/>
      <c r="I28" s="1"/>
      <c r="J28" s="1"/>
      <c r="K28" s="1"/>
      <c r="L28" s="1"/>
      <c r="M28" s="1"/>
      <c r="N28" s="1"/>
      <c r="O28" s="1"/>
    </row>
    <row r="29" spans="1:16">
      <c r="A29" s="1888"/>
      <c r="B29" s="1879"/>
      <c r="C29" s="1879"/>
      <c r="D29" s="1879"/>
      <c r="E29" s="1879"/>
      <c r="F29" s="1879"/>
      <c r="G29" s="1879"/>
      <c r="H29" s="1879"/>
      <c r="I29" s="1879"/>
      <c r="J29" s="1879"/>
      <c r="K29" s="1879"/>
      <c r="L29" s="1879"/>
      <c r="M29" s="1879"/>
      <c r="N29" s="1879"/>
      <c r="O29" s="1879"/>
      <c r="P29" s="20"/>
    </row>
    <row r="30" spans="1:16">
      <c r="A30" s="551"/>
      <c r="B30" s="76"/>
      <c r="C30" s="76"/>
      <c r="D30" s="76"/>
      <c r="E30" s="76"/>
      <c r="F30" s="76"/>
      <c r="G30" s="76"/>
      <c r="H30" s="76"/>
      <c r="I30" s="76"/>
      <c r="J30" s="76"/>
      <c r="K30" s="76"/>
      <c r="L30" s="76"/>
      <c r="M30" s="76"/>
      <c r="N30" s="76"/>
      <c r="O30" s="76"/>
      <c r="P30" s="20"/>
    </row>
    <row r="31" spans="1:16">
      <c r="A31" s="1889"/>
      <c r="B31" s="1887"/>
      <c r="C31" s="1887"/>
      <c r="D31" s="1887"/>
      <c r="E31" s="1887"/>
      <c r="F31" s="1887"/>
      <c r="G31" s="1887"/>
      <c r="H31" s="1887"/>
      <c r="I31" s="1887"/>
      <c r="J31" s="1887"/>
      <c r="K31" s="1887"/>
      <c r="L31" s="1887"/>
      <c r="M31" s="1887"/>
      <c r="N31" s="1887"/>
      <c r="O31" s="1887"/>
      <c r="P31" s="20"/>
    </row>
    <row r="32" spans="1:16" ht="24" customHeight="1">
      <c r="A32" s="1886"/>
      <c r="B32" s="1887"/>
      <c r="C32" s="1887"/>
      <c r="D32" s="1887"/>
      <c r="E32" s="1887"/>
      <c r="F32" s="1887"/>
      <c r="G32" s="1887"/>
      <c r="H32" s="1887"/>
      <c r="I32" s="1887"/>
      <c r="J32" s="1887"/>
      <c r="K32" s="1887"/>
      <c r="L32" s="1887"/>
      <c r="M32" s="1887"/>
      <c r="N32" s="1887"/>
      <c r="O32" s="1887"/>
      <c r="P32" s="20"/>
    </row>
    <row r="33" spans="1:16" ht="23.25" customHeight="1">
      <c r="A33" s="1889"/>
      <c r="B33" s="1886"/>
      <c r="C33" s="1886"/>
      <c r="D33" s="1886"/>
      <c r="E33" s="1886"/>
      <c r="F33" s="1886"/>
      <c r="G33" s="1886"/>
      <c r="H33" s="1886"/>
      <c r="I33" s="1886"/>
      <c r="J33" s="1886"/>
      <c r="K33" s="1886"/>
      <c r="L33" s="1886"/>
      <c r="M33" s="1886"/>
      <c r="N33" s="1886"/>
      <c r="O33" s="1886"/>
      <c r="P33" s="20"/>
    </row>
    <row r="34" spans="1:16" ht="9.75" customHeight="1">
      <c r="A34" s="73"/>
      <c r="B34" s="73"/>
      <c r="C34" s="73"/>
      <c r="D34" s="73"/>
      <c r="E34" s="73"/>
      <c r="F34" s="73"/>
      <c r="G34" s="73"/>
      <c r="H34" s="73"/>
      <c r="I34" s="73"/>
      <c r="J34" s="73"/>
      <c r="K34" s="73"/>
      <c r="L34" s="73"/>
      <c r="M34" s="73"/>
      <c r="N34" s="73"/>
      <c r="O34" s="73"/>
      <c r="P34" s="20"/>
    </row>
    <row r="35" spans="1:16" ht="11.25" customHeight="1">
      <c r="A35" s="73"/>
      <c r="B35" s="73"/>
      <c r="C35" s="73"/>
      <c r="D35" s="73"/>
      <c r="E35" s="73"/>
      <c r="F35" s="73"/>
      <c r="G35" s="73"/>
      <c r="H35" s="73"/>
      <c r="I35" s="73"/>
      <c r="J35" s="73"/>
      <c r="K35" s="73"/>
      <c r="L35" s="73"/>
      <c r="M35" s="73"/>
      <c r="N35" s="73"/>
      <c r="O35" s="73"/>
      <c r="P35" s="20"/>
    </row>
    <row r="36" spans="1:16">
      <c r="A36" s="1886"/>
      <c r="B36" s="1886"/>
      <c r="C36" s="1886"/>
      <c r="D36" s="1886"/>
      <c r="E36" s="1886"/>
      <c r="F36" s="1886"/>
      <c r="G36" s="1886"/>
      <c r="H36" s="1886"/>
      <c r="I36" s="1886"/>
      <c r="J36" s="1886"/>
      <c r="K36" s="1886"/>
      <c r="L36" s="1886"/>
      <c r="M36" s="1886"/>
      <c r="N36" s="1886"/>
      <c r="O36" s="1886"/>
      <c r="P36" s="20"/>
    </row>
    <row r="37" spans="1:16" ht="7.5" customHeight="1">
      <c r="A37" s="552"/>
      <c r="B37" s="552"/>
      <c r="C37" s="552"/>
      <c r="D37" s="552"/>
      <c r="E37" s="552"/>
      <c r="F37" s="552"/>
      <c r="G37" s="552"/>
      <c r="H37" s="552"/>
      <c r="I37" s="552"/>
      <c r="J37" s="552"/>
      <c r="K37" s="552"/>
      <c r="L37" s="562"/>
      <c r="M37" s="552"/>
      <c r="N37" s="552"/>
      <c r="O37" s="552"/>
      <c r="P37" s="20"/>
    </row>
    <row r="38" spans="1:16">
      <c r="A38" s="553"/>
      <c r="B38" s="552"/>
      <c r="C38" s="552"/>
      <c r="D38" s="552"/>
      <c r="E38" s="552"/>
      <c r="F38" s="552"/>
      <c r="G38" s="552"/>
      <c r="H38" s="552"/>
      <c r="I38" s="552"/>
      <c r="J38" s="552"/>
      <c r="K38" s="552"/>
      <c r="L38" s="562"/>
      <c r="M38" s="552"/>
      <c r="N38" s="552"/>
      <c r="O38" s="552"/>
      <c r="P38" s="20"/>
    </row>
    <row r="39" spans="1:16" ht="11.25" customHeight="1">
      <c r="A39" s="73"/>
      <c r="B39" s="73"/>
      <c r="C39" s="73"/>
      <c r="D39" s="73"/>
      <c r="E39" s="73"/>
      <c r="F39" s="73"/>
      <c r="G39" s="73"/>
      <c r="H39" s="73"/>
      <c r="I39" s="73"/>
      <c r="J39" s="73"/>
      <c r="K39" s="73"/>
      <c r="L39" s="73"/>
      <c r="M39" s="73"/>
      <c r="N39" s="73"/>
      <c r="O39" s="73"/>
      <c r="P39" s="20"/>
    </row>
    <row r="40" spans="1:16" ht="15" customHeight="1">
      <c r="A40" s="1886"/>
      <c r="B40" s="1887"/>
      <c r="C40" s="1887"/>
      <c r="D40" s="1887"/>
      <c r="E40" s="1887"/>
      <c r="F40" s="1887"/>
      <c r="G40" s="1887"/>
      <c r="H40" s="1887"/>
      <c r="I40" s="1887"/>
      <c r="J40" s="1887"/>
      <c r="K40" s="1887"/>
      <c r="L40" s="1887"/>
      <c r="M40" s="1887"/>
      <c r="N40" s="1887"/>
      <c r="O40" s="1887"/>
      <c r="P40" s="20"/>
    </row>
    <row r="41" spans="1:16" ht="12" customHeight="1">
      <c r="A41" s="545"/>
      <c r="B41" s="545"/>
      <c r="C41" s="545"/>
      <c r="D41" s="545"/>
      <c r="E41" s="545"/>
      <c r="F41" s="545"/>
      <c r="G41" s="545"/>
      <c r="H41" s="545"/>
      <c r="I41" s="545"/>
      <c r="J41" s="545"/>
      <c r="K41" s="545"/>
      <c r="L41" s="545"/>
      <c r="M41" s="545"/>
      <c r="N41" s="545"/>
      <c r="O41" s="554"/>
      <c r="P41" s="20"/>
    </row>
    <row r="42" spans="1:16" ht="36" customHeight="1">
      <c r="A42" s="1878"/>
      <c r="B42" s="1879"/>
      <c r="C42" s="1879"/>
      <c r="D42" s="1879"/>
      <c r="E42" s="1879"/>
      <c r="F42" s="1879"/>
      <c r="G42" s="1879"/>
      <c r="H42" s="1879"/>
      <c r="I42" s="1879"/>
      <c r="J42" s="1879"/>
      <c r="K42" s="1879"/>
      <c r="L42" s="1879"/>
      <c r="M42" s="1879"/>
      <c r="N42" s="1879"/>
      <c r="O42" s="1879"/>
      <c r="P42" s="1879"/>
    </row>
    <row r="43" spans="1:16">
      <c r="A43" s="20"/>
      <c r="B43" s="20"/>
      <c r="C43" s="20"/>
      <c r="D43" s="20"/>
      <c r="E43" s="20"/>
      <c r="F43" s="20"/>
      <c r="G43" s="20"/>
      <c r="H43" s="20"/>
      <c r="I43" s="20"/>
      <c r="J43" s="20"/>
      <c r="K43" s="20"/>
      <c r="L43" s="20"/>
      <c r="M43" s="20"/>
      <c r="N43" s="20"/>
      <c r="O43" s="20"/>
      <c r="P43" s="20"/>
    </row>
  </sheetData>
  <mergeCells count="23">
    <mergeCell ref="A7:O7"/>
    <mergeCell ref="A8:O8"/>
    <mergeCell ref="A2:O2"/>
    <mergeCell ref="A6:O6"/>
    <mergeCell ref="A1:O1"/>
    <mergeCell ref="A3:O3"/>
    <mergeCell ref="A4:O4"/>
    <mergeCell ref="A5:O5"/>
    <mergeCell ref="A42:P42"/>
    <mergeCell ref="M9:O10"/>
    <mergeCell ref="A32:O32"/>
    <mergeCell ref="A40:O40"/>
    <mergeCell ref="A29:O29"/>
    <mergeCell ref="A31:O31"/>
    <mergeCell ref="A33:O33"/>
    <mergeCell ref="A36:O36"/>
    <mergeCell ref="H9:J10"/>
    <mergeCell ref="K9:K10"/>
    <mergeCell ref="L9:L10"/>
    <mergeCell ref="E9:G10"/>
    <mergeCell ref="B9:D10"/>
    <mergeCell ref="A9:A11"/>
    <mergeCell ref="A24:O24"/>
  </mergeCells>
  <phoneticPr fontId="0" type="noConversion"/>
  <printOptions horizontalCentered="1"/>
  <pageMargins left="0.5" right="0.4" top="0.5" bottom="0.25" header="0" footer="0"/>
  <pageSetup scale="79" firstPageNumber="8" fitToHeight="0" orientation="landscape" useFirstPageNumber="1" r:id="rId1"/>
  <headerFooter alignWithMargins="0">
    <oddFooter>&amp;C&amp;"Times New Roman,Regular"Exhibit F - Crosswalk of 2010 Availability&amp;R&amp;"Times New Roman,Regular"Salaries and Expenses</oddFooter>
  </headerFooter>
  <ignoredErrors>
    <ignoredError sqref="N14 D14" formula="1"/>
  </ignoredErrors>
</worksheet>
</file>

<file path=xl/worksheets/sheet50.xml><?xml version="1.0" encoding="utf-8"?>
<worksheet xmlns="http://schemas.openxmlformats.org/spreadsheetml/2006/main" xmlns:r="http://schemas.openxmlformats.org/officeDocument/2006/relationships">
  <sheetPr>
    <pageSetUpPr fitToPage="1"/>
  </sheetPr>
  <dimension ref="A1:Q38"/>
  <sheetViews>
    <sheetView view="pageBreakPreview" zoomScale="70" zoomScaleNormal="100" zoomScaleSheetLayoutView="70" workbookViewId="0">
      <selection activeCell="F42" sqref="F42"/>
    </sheetView>
  </sheetViews>
  <sheetFormatPr defaultRowHeight="15.75"/>
  <cols>
    <col min="1" max="1" width="35.21875" style="949" customWidth="1"/>
    <col min="2" max="10" width="8.88671875" style="949"/>
    <col min="11" max="11" width="9.44140625" style="684" customWidth="1"/>
    <col min="12" max="12" width="10" style="684" customWidth="1"/>
    <col min="13" max="16384" width="8.88671875" style="949"/>
  </cols>
  <sheetData>
    <row r="1" spans="1:17" ht="20.25">
      <c r="A1" s="2156" t="s">
        <v>613</v>
      </c>
      <c r="B1" s="2157"/>
      <c r="C1" s="2157"/>
      <c r="D1" s="2157"/>
      <c r="E1" s="2157"/>
      <c r="F1" s="2157"/>
      <c r="G1" s="2157"/>
      <c r="H1" s="2157"/>
      <c r="I1" s="2157"/>
      <c r="J1" s="2157"/>
      <c r="K1" s="2157"/>
      <c r="L1" s="2157"/>
      <c r="M1" s="2157"/>
      <c r="N1" s="2157"/>
      <c r="O1" s="2157"/>
      <c r="P1" s="904" t="s">
        <v>0</v>
      </c>
      <c r="Q1" s="684"/>
    </row>
    <row r="2" spans="1:17">
      <c r="A2" s="2209"/>
      <c r="B2" s="2209"/>
      <c r="C2" s="2209"/>
      <c r="D2" s="2209"/>
      <c r="E2" s="2209"/>
      <c r="F2" s="2209"/>
      <c r="G2" s="2209"/>
      <c r="H2" s="2209"/>
      <c r="I2" s="2209"/>
      <c r="J2" s="2209"/>
      <c r="K2" s="2209"/>
      <c r="L2" s="2209"/>
      <c r="M2" s="2209"/>
      <c r="N2" s="2209"/>
      <c r="O2" s="2209"/>
      <c r="P2" s="904" t="s">
        <v>0</v>
      </c>
      <c r="Q2" s="684"/>
    </row>
    <row r="3" spans="1:17" ht="18.75">
      <c r="A3" s="2210" t="s">
        <v>329</v>
      </c>
      <c r="B3" s="2211"/>
      <c r="C3" s="2211"/>
      <c r="D3" s="2211"/>
      <c r="E3" s="2211"/>
      <c r="F3" s="2211"/>
      <c r="G3" s="2211"/>
      <c r="H3" s="2211"/>
      <c r="I3" s="2211"/>
      <c r="J3" s="2211"/>
      <c r="K3" s="2211"/>
      <c r="L3" s="2211"/>
      <c r="M3" s="2211"/>
      <c r="N3" s="2211"/>
      <c r="O3" s="2211"/>
      <c r="P3" s="904" t="s">
        <v>0</v>
      </c>
      <c r="Q3" s="684"/>
    </row>
    <row r="4" spans="1:17" ht="16.5">
      <c r="A4" s="2212" t="str">
        <f>+'B. Summ of Reqs - PSOB'!A5</f>
        <v>Office of Justice Programs</v>
      </c>
      <c r="B4" s="2208"/>
      <c r="C4" s="2208"/>
      <c r="D4" s="2208"/>
      <c r="E4" s="2208"/>
      <c r="F4" s="2208"/>
      <c r="G4" s="2208"/>
      <c r="H4" s="2208"/>
      <c r="I4" s="2208"/>
      <c r="J4" s="2208"/>
      <c r="K4" s="2208"/>
      <c r="L4" s="2208"/>
      <c r="M4" s="2208"/>
      <c r="N4" s="2208"/>
      <c r="O4" s="2208"/>
      <c r="P4" s="904" t="s">
        <v>0</v>
      </c>
      <c r="Q4" s="684"/>
    </row>
    <row r="5" spans="1:17" ht="16.5">
      <c r="A5" s="2212" t="str">
        <f>+'B. Summ of Reqs - PSOB'!A6</f>
        <v>Public Safety Officers Benefits</v>
      </c>
      <c r="B5" s="2211"/>
      <c r="C5" s="2211"/>
      <c r="D5" s="2211"/>
      <c r="E5" s="2211"/>
      <c r="F5" s="2211"/>
      <c r="G5" s="2211"/>
      <c r="H5" s="2211"/>
      <c r="I5" s="2211"/>
      <c r="J5" s="2211"/>
      <c r="K5" s="2211"/>
      <c r="L5" s="2211"/>
      <c r="M5" s="2211"/>
      <c r="N5" s="2211"/>
      <c r="O5" s="2211"/>
      <c r="P5" s="904" t="s">
        <v>0</v>
      </c>
      <c r="Q5" s="684"/>
    </row>
    <row r="6" spans="1:17">
      <c r="A6" s="2207" t="s">
        <v>257</v>
      </c>
      <c r="B6" s="2208"/>
      <c r="C6" s="2208"/>
      <c r="D6" s="2208"/>
      <c r="E6" s="2208"/>
      <c r="F6" s="2208"/>
      <c r="G6" s="2208"/>
      <c r="H6" s="2208"/>
      <c r="I6" s="2208"/>
      <c r="J6" s="2208"/>
      <c r="K6" s="2208"/>
      <c r="L6" s="2208"/>
      <c r="M6" s="2208"/>
      <c r="N6" s="2208"/>
      <c r="O6" s="2208"/>
      <c r="P6" s="904" t="s">
        <v>0</v>
      </c>
      <c r="Q6" s="684"/>
    </row>
    <row r="7" spans="1:17">
      <c r="A7" s="2209"/>
      <c r="B7" s="2209"/>
      <c r="C7" s="2209"/>
      <c r="D7" s="2209"/>
      <c r="E7" s="2209"/>
      <c r="F7" s="2209"/>
      <c r="G7" s="2209"/>
      <c r="H7" s="2209"/>
      <c r="I7" s="2209"/>
      <c r="J7" s="2209"/>
      <c r="K7" s="2209"/>
      <c r="L7" s="2209"/>
      <c r="M7" s="2209"/>
      <c r="N7" s="2209"/>
      <c r="O7" s="2209"/>
      <c r="P7" s="904" t="s">
        <v>0</v>
      </c>
      <c r="Q7" s="684"/>
    </row>
    <row r="8" spans="1:17">
      <c r="A8" s="2213"/>
      <c r="B8" s="2213"/>
      <c r="C8" s="2213"/>
      <c r="D8" s="2213"/>
      <c r="E8" s="2213"/>
      <c r="F8" s="2213"/>
      <c r="G8" s="2213"/>
      <c r="H8" s="2213"/>
      <c r="I8" s="2213"/>
      <c r="J8" s="2213"/>
      <c r="K8" s="2213"/>
      <c r="L8" s="2213"/>
      <c r="M8" s="2213"/>
      <c r="N8" s="2213"/>
      <c r="O8" s="2213"/>
      <c r="P8" s="904" t="s">
        <v>0</v>
      </c>
      <c r="Q8" s="684"/>
    </row>
    <row r="9" spans="1:17" ht="15.75" customHeight="1">
      <c r="A9" s="2214" t="s">
        <v>45</v>
      </c>
      <c r="B9" s="2217" t="s">
        <v>359</v>
      </c>
      <c r="C9" s="2218"/>
      <c r="D9" s="2219"/>
      <c r="E9" s="2223" t="s">
        <v>269</v>
      </c>
      <c r="F9" s="2224"/>
      <c r="G9" s="2225"/>
      <c r="H9" s="2217" t="s">
        <v>23</v>
      </c>
      <c r="I9" s="2218"/>
      <c r="J9" s="2219"/>
      <c r="K9" s="2229" t="s">
        <v>356</v>
      </c>
      <c r="L9" s="2237" t="s">
        <v>357</v>
      </c>
      <c r="M9" s="2217" t="s">
        <v>330</v>
      </c>
      <c r="N9" s="2218"/>
      <c r="O9" s="2219"/>
      <c r="P9" s="904" t="s">
        <v>0</v>
      </c>
      <c r="Q9" s="684"/>
    </row>
    <row r="10" spans="1:17">
      <c r="A10" s="2215"/>
      <c r="B10" s="2220"/>
      <c r="C10" s="2221"/>
      <c r="D10" s="2222"/>
      <c r="E10" s="2226"/>
      <c r="F10" s="2227"/>
      <c r="G10" s="2228"/>
      <c r="H10" s="2220"/>
      <c r="I10" s="2221"/>
      <c r="J10" s="2222"/>
      <c r="K10" s="2230"/>
      <c r="L10" s="2238"/>
      <c r="M10" s="2220"/>
      <c r="N10" s="2221"/>
      <c r="O10" s="2222"/>
      <c r="P10" s="904" t="s">
        <v>0</v>
      </c>
      <c r="Q10" s="684"/>
    </row>
    <row r="11" spans="1:17"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c r="Q11" s="684"/>
    </row>
    <row r="12" spans="1:17">
      <c r="A12" s="910" t="s">
        <v>683</v>
      </c>
      <c r="B12" s="738"/>
      <c r="C12" s="697"/>
      <c r="D12" s="697">
        <v>61000</v>
      </c>
      <c r="E12" s="738"/>
      <c r="F12" s="697"/>
      <c r="G12" s="697"/>
      <c r="H12" s="738"/>
      <c r="I12" s="697"/>
      <c r="J12" s="697"/>
      <c r="K12" s="676"/>
      <c r="L12" s="697"/>
      <c r="M12" s="738"/>
      <c r="N12" s="697"/>
      <c r="O12" s="667">
        <f>D12+G12+J12+K12+L12</f>
        <v>61000</v>
      </c>
      <c r="P12" s="904" t="s">
        <v>0</v>
      </c>
      <c r="Q12" s="684"/>
    </row>
    <row r="13" spans="1:17">
      <c r="A13" s="911" t="s">
        <v>684</v>
      </c>
      <c r="B13" s="738"/>
      <c r="C13" s="697"/>
      <c r="D13" s="697">
        <f>5000+4100</f>
        <v>9100</v>
      </c>
      <c r="E13" s="738"/>
      <c r="F13" s="697"/>
      <c r="G13" s="1125"/>
      <c r="H13" s="738"/>
      <c r="I13" s="697"/>
      <c r="J13" s="697"/>
      <c r="K13" s="676"/>
      <c r="L13" s="697">
        <v>2092</v>
      </c>
      <c r="M13" s="738"/>
      <c r="N13" s="697"/>
      <c r="O13" s="667">
        <f>D13+G13+J13+K13+L13</f>
        <v>11192</v>
      </c>
      <c r="P13" s="904" t="s">
        <v>0</v>
      </c>
      <c r="Q13" s="684"/>
    </row>
    <row r="14" spans="1:17">
      <c r="A14" s="918" t="s">
        <v>286</v>
      </c>
      <c r="B14" s="919">
        <f t="shared" ref="B14:O14" si="0">SUM(B12:B13)</f>
        <v>0</v>
      </c>
      <c r="C14" s="920">
        <f t="shared" si="0"/>
        <v>0</v>
      </c>
      <c r="D14" s="921">
        <f t="shared" si="0"/>
        <v>70100</v>
      </c>
      <c r="E14" s="919">
        <f t="shared" si="0"/>
        <v>0</v>
      </c>
      <c r="F14" s="920">
        <f t="shared" si="0"/>
        <v>0</v>
      </c>
      <c r="G14" s="921">
        <f t="shared" si="0"/>
        <v>0</v>
      </c>
      <c r="H14" s="919">
        <f t="shared" si="0"/>
        <v>0</v>
      </c>
      <c r="I14" s="920">
        <f t="shared" si="0"/>
        <v>0</v>
      </c>
      <c r="J14" s="921">
        <f t="shared" si="0"/>
        <v>0</v>
      </c>
      <c r="K14" s="923">
        <f t="shared" si="0"/>
        <v>0</v>
      </c>
      <c r="L14" s="921">
        <f t="shared" si="0"/>
        <v>2092</v>
      </c>
      <c r="M14" s="919">
        <f t="shared" si="0"/>
        <v>0</v>
      </c>
      <c r="N14" s="920">
        <f t="shared" si="0"/>
        <v>0</v>
      </c>
      <c r="O14" s="926">
        <f t="shared" si="0"/>
        <v>72192</v>
      </c>
      <c r="P14" s="904" t="s">
        <v>0</v>
      </c>
      <c r="Q14" s="684"/>
    </row>
    <row r="15" spans="1:17">
      <c r="A15" s="927" t="s">
        <v>263</v>
      </c>
      <c r="B15" s="735" t="s">
        <v>278</v>
      </c>
      <c r="C15" s="736"/>
      <c r="D15" s="736"/>
      <c r="E15" s="735"/>
      <c r="F15" s="736"/>
      <c r="G15" s="736"/>
      <c r="H15" s="735"/>
      <c r="I15" s="736"/>
      <c r="J15" s="736"/>
      <c r="K15" s="682"/>
      <c r="L15" s="736"/>
      <c r="M15" s="735"/>
      <c r="N15" s="736"/>
      <c r="O15" s="737"/>
      <c r="P15" s="904" t="s">
        <v>0</v>
      </c>
      <c r="Q15" s="928"/>
    </row>
    <row r="16" spans="1:17">
      <c r="A16" s="927" t="s">
        <v>262</v>
      </c>
      <c r="B16" s="929"/>
      <c r="C16" s="930">
        <f>SUM(C14:C15)</f>
        <v>0</v>
      </c>
      <c r="D16" s="930"/>
      <c r="E16" s="929"/>
      <c r="F16" s="930">
        <f>+F14+F15</f>
        <v>0</v>
      </c>
      <c r="G16" s="930"/>
      <c r="H16" s="929"/>
      <c r="I16" s="930">
        <f>+I14+I15</f>
        <v>0</v>
      </c>
      <c r="J16" s="930"/>
      <c r="K16" s="931"/>
      <c r="L16" s="930"/>
      <c r="M16" s="929"/>
      <c r="N16" s="930">
        <f>SUM(N14:N15)</f>
        <v>0</v>
      </c>
      <c r="O16" s="932"/>
      <c r="P16" s="904" t="s">
        <v>0</v>
      </c>
      <c r="Q16" s="684"/>
    </row>
    <row r="17" spans="1:17">
      <c r="A17" s="933" t="s">
        <v>264</v>
      </c>
      <c r="B17" s="738"/>
      <c r="C17" s="697"/>
      <c r="D17" s="697"/>
      <c r="E17" s="738"/>
      <c r="F17" s="697"/>
      <c r="G17" s="697"/>
      <c r="H17" s="738"/>
      <c r="I17" s="697"/>
      <c r="J17" s="697"/>
      <c r="K17" s="676"/>
      <c r="L17" s="697"/>
      <c r="M17" s="738"/>
      <c r="N17" s="697"/>
      <c r="O17" s="667"/>
      <c r="P17" s="904" t="s">
        <v>0</v>
      </c>
      <c r="Q17" s="684"/>
    </row>
    <row r="18" spans="1:17">
      <c r="A18" s="934" t="s">
        <v>55</v>
      </c>
      <c r="B18" s="738"/>
      <c r="C18" s="697"/>
      <c r="D18" s="697"/>
      <c r="E18" s="738"/>
      <c r="F18" s="697"/>
      <c r="G18" s="697"/>
      <c r="H18" s="738"/>
      <c r="I18" s="697"/>
      <c r="J18" s="697"/>
      <c r="K18" s="676"/>
      <c r="L18" s="697"/>
      <c r="M18" s="738"/>
      <c r="N18" s="697"/>
      <c r="O18" s="667"/>
      <c r="P18" s="904" t="s">
        <v>0</v>
      </c>
      <c r="Q18" s="684"/>
    </row>
    <row r="19" spans="1:17">
      <c r="A19" s="935" t="s">
        <v>103</v>
      </c>
      <c r="B19" s="735"/>
      <c r="C19" s="736"/>
      <c r="D19" s="736"/>
      <c r="E19" s="735"/>
      <c r="F19" s="736"/>
      <c r="G19" s="736"/>
      <c r="H19" s="735"/>
      <c r="I19" s="736"/>
      <c r="J19" s="736"/>
      <c r="K19" s="682"/>
      <c r="L19" s="736"/>
      <c r="M19" s="735"/>
      <c r="N19" s="736"/>
      <c r="O19" s="737"/>
      <c r="P19" s="904" t="s">
        <v>0</v>
      </c>
      <c r="Q19" s="684"/>
    </row>
    <row r="20" spans="1:17">
      <c r="A20" s="927" t="s">
        <v>265</v>
      </c>
      <c r="B20" s="735"/>
      <c r="C20" s="736">
        <f>C19+C18+C16</f>
        <v>0</v>
      </c>
      <c r="D20" s="936"/>
      <c r="E20" s="735"/>
      <c r="F20" s="736">
        <f>F19+F18+F16</f>
        <v>0</v>
      </c>
      <c r="G20" s="936"/>
      <c r="H20" s="735"/>
      <c r="I20" s="736">
        <f>I19+I18+I16</f>
        <v>0</v>
      </c>
      <c r="J20" s="936"/>
      <c r="K20" s="937"/>
      <c r="L20" s="936"/>
      <c r="M20" s="735"/>
      <c r="N20" s="736">
        <f>N19+N18+N16</f>
        <v>0</v>
      </c>
      <c r="O20" s="938"/>
      <c r="P20" s="904" t="s">
        <v>24</v>
      </c>
      <c r="Q20" s="684"/>
    </row>
    <row r="21" spans="1:17">
      <c r="A21" s="941"/>
      <c r="B21" s="939"/>
      <c r="C21" s="939"/>
      <c r="D21" s="939"/>
      <c r="E21" s="939"/>
      <c r="F21" s="939"/>
      <c r="G21" s="939"/>
      <c r="H21" s="939"/>
      <c r="I21" s="939"/>
      <c r="J21" s="939"/>
      <c r="K21" s="939"/>
      <c r="L21" s="939"/>
      <c r="M21" s="939"/>
      <c r="N21" s="939"/>
      <c r="O21" s="939"/>
      <c r="P21" s="948"/>
      <c r="Q21" s="684"/>
    </row>
    <row r="22" spans="1:17">
      <c r="A22" s="942"/>
      <c r="B22" s="942"/>
      <c r="C22" s="942"/>
      <c r="D22" s="942"/>
      <c r="E22" s="942"/>
      <c r="F22" s="942"/>
      <c r="G22" s="942"/>
      <c r="H22" s="939"/>
      <c r="I22" s="939"/>
      <c r="J22" s="939"/>
      <c r="K22" s="939"/>
      <c r="L22" s="939"/>
      <c r="M22" s="939"/>
      <c r="N22" s="939"/>
      <c r="O22" s="939"/>
      <c r="P22" s="948"/>
      <c r="Q22" s="684"/>
    </row>
    <row r="23" spans="1:17">
      <c r="A23" s="2233"/>
      <c r="B23" s="2232"/>
      <c r="C23" s="2232"/>
      <c r="D23" s="2232"/>
      <c r="E23" s="2232"/>
      <c r="F23" s="2232"/>
      <c r="G23" s="2232"/>
      <c r="H23" s="2232"/>
      <c r="I23" s="2232"/>
      <c r="J23" s="2232"/>
      <c r="K23" s="2232"/>
      <c r="L23" s="2232"/>
      <c r="M23" s="2232"/>
      <c r="N23" s="2232"/>
      <c r="O23" s="2232"/>
      <c r="P23" s="684"/>
      <c r="Q23" s="684"/>
    </row>
    <row r="24" spans="1:17">
      <c r="A24" s="943"/>
      <c r="B24" s="944"/>
      <c r="C24" s="944"/>
      <c r="D24" s="944"/>
      <c r="E24" s="944"/>
      <c r="F24" s="944"/>
      <c r="G24" s="944"/>
      <c r="H24" s="944"/>
      <c r="I24" s="944"/>
      <c r="J24" s="944"/>
      <c r="K24" s="944"/>
      <c r="L24" s="944"/>
      <c r="M24" s="944"/>
      <c r="N24" s="944"/>
      <c r="O24" s="944"/>
      <c r="P24" s="684"/>
      <c r="Q24" s="684"/>
    </row>
    <row r="25" spans="1:17">
      <c r="A25" s="2234"/>
      <c r="B25" s="2235"/>
      <c r="C25" s="2235"/>
      <c r="D25" s="2235"/>
      <c r="E25" s="2235"/>
      <c r="F25" s="2235"/>
      <c r="G25" s="2235"/>
      <c r="H25" s="2235"/>
      <c r="I25" s="2235"/>
      <c r="J25" s="2235"/>
      <c r="K25" s="2235"/>
      <c r="L25" s="2235"/>
      <c r="M25" s="2235"/>
      <c r="N25" s="2235"/>
      <c r="O25" s="2235"/>
      <c r="P25" s="684"/>
      <c r="Q25" s="684"/>
    </row>
    <row r="26" spans="1:17">
      <c r="A26" s="2236"/>
      <c r="B26" s="2235"/>
      <c r="C26" s="2235"/>
      <c r="D26" s="2235"/>
      <c r="E26" s="2235"/>
      <c r="F26" s="2235"/>
      <c r="G26" s="2235"/>
      <c r="H26" s="2235"/>
      <c r="I26" s="2235"/>
      <c r="J26" s="2235"/>
      <c r="K26" s="2235"/>
      <c r="L26" s="2235"/>
      <c r="M26" s="2235"/>
      <c r="N26" s="2235"/>
      <c r="O26" s="2235"/>
      <c r="P26" s="684"/>
      <c r="Q26" s="684"/>
    </row>
    <row r="27" spans="1:17" ht="18" customHeight="1">
      <c r="A27" s="2234"/>
      <c r="B27" s="2236"/>
      <c r="C27" s="2236"/>
      <c r="D27" s="2236"/>
      <c r="E27" s="2236"/>
      <c r="F27" s="2236"/>
      <c r="G27" s="2236"/>
      <c r="H27" s="2236"/>
      <c r="I27" s="2236"/>
      <c r="J27" s="2236"/>
      <c r="K27" s="2236"/>
      <c r="L27" s="2236"/>
      <c r="M27" s="2236"/>
      <c r="N27" s="2236"/>
      <c r="O27" s="2236"/>
      <c r="P27" s="684"/>
      <c r="Q27" s="684"/>
    </row>
    <row r="28" spans="1:17" ht="18" customHeight="1">
      <c r="A28" s="752"/>
      <c r="B28" s="752"/>
      <c r="C28" s="752"/>
      <c r="D28" s="752"/>
      <c r="E28" s="752"/>
      <c r="F28" s="752"/>
      <c r="G28" s="752"/>
      <c r="H28" s="752"/>
      <c r="I28" s="752"/>
      <c r="J28" s="752"/>
      <c r="K28" s="752"/>
      <c r="L28" s="752"/>
      <c r="M28" s="752"/>
      <c r="N28" s="752"/>
      <c r="O28" s="752"/>
      <c r="P28" s="684"/>
      <c r="Q28" s="684"/>
    </row>
    <row r="29" spans="1:17">
      <c r="A29" s="752"/>
      <c r="B29" s="752"/>
      <c r="C29" s="752"/>
      <c r="D29" s="752"/>
      <c r="E29" s="752"/>
      <c r="F29" s="752"/>
      <c r="G29" s="752"/>
      <c r="H29" s="752"/>
      <c r="I29" s="752"/>
      <c r="J29" s="752"/>
      <c r="K29" s="752"/>
      <c r="L29" s="752"/>
      <c r="M29" s="752"/>
      <c r="N29" s="752"/>
      <c r="O29" s="752"/>
      <c r="P29" s="684"/>
      <c r="Q29" s="684"/>
    </row>
    <row r="30" spans="1:17" s="684" customFormat="1">
      <c r="A30" s="2236"/>
      <c r="B30" s="2236"/>
      <c r="C30" s="2236"/>
      <c r="D30" s="2236"/>
      <c r="E30" s="2236"/>
      <c r="F30" s="2236"/>
      <c r="G30" s="2236"/>
      <c r="H30" s="2236"/>
      <c r="I30" s="2236"/>
      <c r="J30" s="2236"/>
      <c r="K30" s="2236"/>
      <c r="L30" s="2236"/>
      <c r="M30" s="2236"/>
      <c r="N30" s="2236"/>
      <c r="O30" s="2236"/>
    </row>
    <row r="31" spans="1:17" s="684" customFormat="1" ht="7.5" customHeight="1">
      <c r="A31" s="945"/>
      <c r="B31" s="945"/>
      <c r="C31" s="945"/>
      <c r="D31" s="945"/>
      <c r="E31" s="945"/>
      <c r="F31" s="945"/>
      <c r="G31" s="945"/>
      <c r="H31" s="945"/>
      <c r="I31" s="945"/>
      <c r="J31" s="945"/>
      <c r="K31" s="945"/>
      <c r="L31" s="945"/>
      <c r="M31" s="945"/>
      <c r="N31" s="945"/>
      <c r="O31" s="945"/>
    </row>
    <row r="32" spans="1:17" s="684" customFormat="1">
      <c r="A32" s="946"/>
      <c r="B32" s="945"/>
      <c r="C32" s="945"/>
      <c r="D32" s="945"/>
      <c r="E32" s="945"/>
      <c r="F32" s="945"/>
      <c r="G32" s="945"/>
      <c r="H32" s="945"/>
      <c r="I32" s="945"/>
      <c r="J32" s="945"/>
      <c r="K32" s="945"/>
      <c r="L32" s="945"/>
      <c r="M32" s="945"/>
      <c r="N32" s="945"/>
      <c r="O32" s="945"/>
    </row>
    <row r="33" spans="1:17" s="684" customFormat="1" ht="11.25" customHeight="1">
      <c r="A33" s="752"/>
      <c r="B33" s="752"/>
      <c r="C33" s="752"/>
      <c r="D33" s="752"/>
      <c r="E33" s="752"/>
      <c r="F33" s="752"/>
      <c r="G33" s="752"/>
      <c r="H33" s="752"/>
      <c r="I33" s="752"/>
      <c r="J33" s="752"/>
      <c r="K33" s="752"/>
      <c r="L33" s="752"/>
      <c r="M33" s="752"/>
      <c r="N33" s="752"/>
      <c r="O33" s="752"/>
    </row>
    <row r="34" spans="1:17" s="684" customFormat="1" ht="15" customHeight="1">
      <c r="A34" s="2236"/>
      <c r="B34" s="2235"/>
      <c r="C34" s="2235"/>
      <c r="D34" s="2235"/>
      <c r="E34" s="2235"/>
      <c r="F34" s="2235"/>
      <c r="G34" s="2235"/>
      <c r="H34" s="2235"/>
      <c r="I34" s="2235"/>
      <c r="J34" s="2235"/>
      <c r="K34" s="2235"/>
      <c r="L34" s="2235"/>
      <c r="M34" s="2235"/>
      <c r="N34" s="2235"/>
      <c r="O34" s="2235"/>
    </row>
    <row r="35" spans="1:17">
      <c r="A35" s="747"/>
      <c r="B35" s="747"/>
      <c r="C35" s="747"/>
      <c r="D35" s="747"/>
      <c r="E35" s="747"/>
      <c r="F35" s="747"/>
      <c r="G35" s="747"/>
      <c r="H35" s="747"/>
      <c r="I35" s="747"/>
      <c r="J35" s="747"/>
      <c r="K35" s="747"/>
      <c r="L35" s="747"/>
      <c r="M35" s="747"/>
      <c r="N35" s="747"/>
      <c r="O35" s="947"/>
      <c r="P35" s="684"/>
      <c r="Q35" s="684"/>
    </row>
    <row r="36" spans="1:17" ht="18" customHeight="1">
      <c r="A36" s="2231"/>
      <c r="B36" s="2232"/>
      <c r="C36" s="2232"/>
      <c r="D36" s="2232"/>
      <c r="E36" s="2232"/>
      <c r="F36" s="2232"/>
      <c r="G36" s="2232"/>
      <c r="H36" s="2232"/>
      <c r="I36" s="2232"/>
      <c r="J36" s="2232"/>
      <c r="K36" s="2232"/>
      <c r="L36" s="2232"/>
      <c r="M36" s="2232"/>
      <c r="N36" s="2232"/>
      <c r="O36" s="2232"/>
      <c r="P36" s="2232"/>
      <c r="Q36" s="684"/>
    </row>
    <row r="37" spans="1:17">
      <c r="A37" s="747"/>
      <c r="B37" s="747"/>
      <c r="C37" s="747"/>
      <c r="D37" s="747"/>
      <c r="E37" s="747"/>
      <c r="F37" s="747"/>
      <c r="G37" s="747"/>
      <c r="H37" s="747"/>
      <c r="I37" s="747"/>
      <c r="J37" s="747"/>
      <c r="M37" s="747"/>
      <c r="N37" s="747"/>
      <c r="O37" s="747"/>
      <c r="P37" s="947"/>
      <c r="Q37" s="948"/>
    </row>
    <row r="38" spans="1:17" ht="18">
      <c r="A38" s="952"/>
      <c r="B38" s="684"/>
      <c r="C38" s="684"/>
      <c r="D38" s="684"/>
      <c r="E38" s="684"/>
      <c r="F38" s="684"/>
      <c r="G38" s="684"/>
      <c r="H38" s="684"/>
      <c r="I38" s="684"/>
      <c r="J38" s="684"/>
      <c r="M38" s="684"/>
      <c r="N38" s="684"/>
      <c r="O38" s="684"/>
      <c r="P38" s="684"/>
      <c r="Q38" s="948"/>
    </row>
  </sheetData>
  <mergeCells count="22">
    <mergeCell ref="A36:P36"/>
    <mergeCell ref="A23:O23"/>
    <mergeCell ref="A25:O25"/>
    <mergeCell ref="A26:O26"/>
    <mergeCell ref="A27:O27"/>
    <mergeCell ref="A30:O30"/>
    <mergeCell ref="A34:O34"/>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4" top="0.5" bottom="0.25" header="0" footer="0"/>
  <pageSetup scale="66" firstPageNumber="8" fitToHeight="0" orientation="landscape" useFirstPageNumber="1" r:id="rId1"/>
  <headerFooter alignWithMargins="0">
    <oddFooter>&amp;C&amp;"Times New Roman,Regular"Exhibit G - Crosswalk of 2011 Availability&amp;R&amp;"Times New Roman,Regular"Public Safety Officers Benefits</oddFooter>
  </headerFooter>
</worksheet>
</file>

<file path=xl/worksheets/sheet51.xml><?xml version="1.0" encoding="utf-8"?>
<worksheet xmlns="http://schemas.openxmlformats.org/spreadsheetml/2006/main" xmlns:r="http://schemas.openxmlformats.org/officeDocument/2006/relationships">
  <sheetPr>
    <pageSetUpPr fitToPage="1"/>
  </sheetPr>
  <dimension ref="A1:V22"/>
  <sheetViews>
    <sheetView view="pageBreakPreview" zoomScale="70" zoomScaleNormal="75" zoomScaleSheetLayoutView="70" workbookViewId="0">
      <pane xSplit="1" ySplit="11" topLeftCell="B12" activePane="bottomRight" state="frozen"/>
      <selection activeCell="S74" sqref="S74"/>
      <selection pane="topRight" activeCell="S74" sqref="S74"/>
      <selection pane="bottomLeft" activeCell="S74" sqref="S74"/>
      <selection pane="bottomRight" activeCell="A19" sqref="A19:E19"/>
    </sheetView>
  </sheetViews>
  <sheetFormatPr defaultRowHeight="15"/>
  <cols>
    <col min="1" max="1" width="57.44140625" style="949" customWidth="1"/>
    <col min="2" max="2" width="6.21875" style="949" customWidth="1"/>
    <col min="3" max="3" width="11.88671875" style="820" customWidth="1"/>
    <col min="4" max="4" width="6.21875" style="949" customWidth="1"/>
    <col min="5" max="5" width="13" style="820" customWidth="1"/>
    <col min="6" max="6" width="10.5546875" style="949" bestFit="1" customWidth="1"/>
    <col min="7" max="7" width="9.77734375" style="820" customWidth="1"/>
    <col min="8" max="8" width="6.21875" style="992" customWidth="1"/>
    <col min="9" max="16384" width="8.88671875" style="949"/>
  </cols>
  <sheetData>
    <row r="1" spans="1:22" ht="20.25">
      <c r="A1" s="953" t="s">
        <v>29</v>
      </c>
      <c r="B1" s="954"/>
      <c r="C1" s="955"/>
      <c r="D1" s="954"/>
      <c r="E1" s="955"/>
      <c r="F1" s="954"/>
      <c r="G1" s="956"/>
      <c r="H1" s="957" t="s">
        <v>0</v>
      </c>
    </row>
    <row r="2" spans="1:22" ht="13.15" customHeight="1">
      <c r="A2" s="2285"/>
      <c r="B2" s="2285"/>
      <c r="C2" s="2285"/>
      <c r="D2" s="2285"/>
      <c r="E2" s="2285"/>
      <c r="F2" s="2285"/>
      <c r="G2" s="2464"/>
      <c r="H2" s="957" t="s">
        <v>0</v>
      </c>
    </row>
    <row r="3" spans="1:22" ht="18.75">
      <c r="A3" s="2241" t="s">
        <v>4</v>
      </c>
      <c r="B3" s="2241"/>
      <c r="C3" s="2241"/>
      <c r="D3" s="2241"/>
      <c r="E3" s="2241"/>
      <c r="F3" s="2241"/>
      <c r="G3" s="2241"/>
      <c r="H3" s="957" t="s">
        <v>0</v>
      </c>
    </row>
    <row r="4" spans="1:22" ht="16.5">
      <c r="A4" s="2243" t="str">
        <f>+'B. Summ of Reqs - PSOB'!A5</f>
        <v>Office of Justice Programs</v>
      </c>
      <c r="B4" s="2243"/>
      <c r="C4" s="2243"/>
      <c r="D4" s="2243"/>
      <c r="E4" s="2243"/>
      <c r="F4" s="2243"/>
      <c r="G4" s="2243"/>
      <c r="H4" s="957" t="s">
        <v>0</v>
      </c>
    </row>
    <row r="5" spans="1:22" ht="16.5">
      <c r="A5" s="2243" t="str">
        <f>+'B. Summ of Reqs - PSOB'!A6</f>
        <v>Public Safety Officers Benefits</v>
      </c>
      <c r="B5" s="2243"/>
      <c r="C5" s="2243"/>
      <c r="D5" s="2243"/>
      <c r="E5" s="2243"/>
      <c r="F5" s="2243"/>
      <c r="G5" s="2243"/>
      <c r="H5" s="957" t="s">
        <v>0</v>
      </c>
    </row>
    <row r="6" spans="1:22">
      <c r="A6" s="2245" t="s">
        <v>257</v>
      </c>
      <c r="B6" s="2245"/>
      <c r="C6" s="2245"/>
      <c r="D6" s="2245"/>
      <c r="E6" s="2245"/>
      <c r="F6" s="2245"/>
      <c r="G6" s="2245"/>
      <c r="H6" s="957" t="s">
        <v>0</v>
      </c>
    </row>
    <row r="7" spans="1:22">
      <c r="A7" s="2463"/>
      <c r="B7" s="2464"/>
      <c r="C7" s="2464"/>
      <c r="D7" s="2464"/>
      <c r="E7" s="2464"/>
      <c r="F7" s="2463"/>
      <c r="G7" s="2463"/>
      <c r="H7" s="957" t="s">
        <v>0</v>
      </c>
    </row>
    <row r="8" spans="1:22" ht="15.75" customHeight="1">
      <c r="A8" s="2531"/>
      <c r="B8" s="2511" t="s">
        <v>685</v>
      </c>
      <c r="C8" s="2534"/>
      <c r="D8" s="2534"/>
      <c r="E8" s="2534"/>
      <c r="F8" s="2535" t="s">
        <v>105</v>
      </c>
      <c r="G8" s="2472"/>
      <c r="H8" s="957" t="s">
        <v>0</v>
      </c>
    </row>
    <row r="9" spans="1:22" ht="23.25" customHeight="1">
      <c r="A9" s="2532"/>
      <c r="B9" s="2511" t="s">
        <v>469</v>
      </c>
      <c r="C9" s="2512"/>
      <c r="D9" s="2511" t="s">
        <v>469</v>
      </c>
      <c r="E9" s="2512"/>
      <c r="F9" s="2287"/>
      <c r="G9" s="2536"/>
      <c r="H9" s="957" t="s">
        <v>0</v>
      </c>
    </row>
    <row r="10" spans="1:22" ht="36" customHeight="1">
      <c r="A10" s="2533"/>
      <c r="B10" s="2511" t="s">
        <v>683</v>
      </c>
      <c r="C10" s="2512"/>
      <c r="D10" s="2502" t="s">
        <v>683</v>
      </c>
      <c r="E10" s="2503"/>
      <c r="F10" s="2537"/>
      <c r="G10" s="2474"/>
      <c r="H10" s="957" t="s">
        <v>0</v>
      </c>
    </row>
    <row r="11" spans="1:22" ht="36" customHeight="1" thickBot="1">
      <c r="A11" s="2283"/>
      <c r="B11" s="1512" t="s">
        <v>277</v>
      </c>
      <c r="C11" s="1513" t="s">
        <v>255</v>
      </c>
      <c r="D11" s="1514" t="s">
        <v>277</v>
      </c>
      <c r="E11" s="1513" t="s">
        <v>255</v>
      </c>
      <c r="F11" s="961" t="s">
        <v>277</v>
      </c>
      <c r="G11" s="1360" t="s">
        <v>255</v>
      </c>
      <c r="H11" s="957" t="s">
        <v>0</v>
      </c>
    </row>
    <row r="12" spans="1:22" ht="20.25">
      <c r="A12" s="1361" t="s">
        <v>686</v>
      </c>
      <c r="B12" s="965"/>
      <c r="C12" s="967">
        <v>6000</v>
      </c>
      <c r="D12" s="1362"/>
      <c r="E12" s="981">
        <v>7200</v>
      </c>
      <c r="F12" s="965">
        <f>SUM(D12,B12)</f>
        <v>0</v>
      </c>
      <c r="G12" s="1363">
        <f>SUM(E12,C12)</f>
        <v>13200</v>
      </c>
      <c r="H12" s="957" t="s">
        <v>0</v>
      </c>
    </row>
    <row r="13" spans="1:22" ht="21" thickBot="1">
      <c r="A13" s="984" t="s">
        <v>272</v>
      </c>
      <c r="B13" s="1364">
        <f t="shared" ref="B13:G13" si="0">SUM(B12:B12)</f>
        <v>0</v>
      </c>
      <c r="C13" s="1365">
        <f t="shared" si="0"/>
        <v>6000</v>
      </c>
      <c r="D13" s="1366">
        <f t="shared" si="0"/>
        <v>0</v>
      </c>
      <c r="E13" s="1365">
        <f t="shared" si="0"/>
        <v>7200</v>
      </c>
      <c r="F13" s="1368">
        <f t="shared" si="0"/>
        <v>0</v>
      </c>
      <c r="G13" s="1369">
        <f t="shared" si="0"/>
        <v>13200</v>
      </c>
      <c r="H13" s="957" t="s">
        <v>24</v>
      </c>
    </row>
    <row r="14" spans="1:22">
      <c r="A14" s="2465"/>
      <c r="B14" s="2466"/>
      <c r="C14" s="2466"/>
      <c r="D14" s="2466"/>
      <c r="E14" s="2466"/>
      <c r="F14" s="2466"/>
      <c r="G14" s="2467"/>
      <c r="H14" s="1370"/>
      <c r="I14" s="978"/>
      <c r="J14" s="978"/>
      <c r="K14" s="978"/>
      <c r="L14" s="978"/>
      <c r="M14" s="978"/>
      <c r="N14" s="978"/>
      <c r="O14" s="978"/>
      <c r="P14" s="978"/>
      <c r="Q14" s="978"/>
      <c r="R14" s="978"/>
      <c r="S14" s="978"/>
      <c r="T14" s="978"/>
      <c r="U14" s="978"/>
      <c r="V14" s="978"/>
    </row>
    <row r="15" spans="1:22">
      <c r="A15" s="1371"/>
      <c r="B15" s="1371"/>
      <c r="C15" s="1372"/>
      <c r="D15" s="1371"/>
      <c r="E15" s="1372"/>
      <c r="F15" s="1371"/>
      <c r="G15" s="1372"/>
      <c r="H15" s="1373"/>
      <c r="I15" s="978"/>
      <c r="J15" s="978"/>
      <c r="K15" s="978"/>
      <c r="L15" s="978"/>
      <c r="M15" s="978"/>
      <c r="N15" s="978"/>
      <c r="O15" s="978"/>
      <c r="P15" s="978"/>
      <c r="Q15" s="978"/>
      <c r="R15" s="978"/>
      <c r="S15" s="978"/>
      <c r="T15" s="978"/>
      <c r="U15" s="978"/>
      <c r="V15" s="978"/>
    </row>
    <row r="17" spans="1:7" ht="18.75">
      <c r="A17" s="2291"/>
      <c r="B17" s="2291"/>
      <c r="C17" s="2291"/>
      <c r="D17" s="2291"/>
      <c r="E17" s="2291"/>
      <c r="F17" s="991"/>
      <c r="G17" s="990"/>
    </row>
    <row r="18" spans="1:7" ht="18.75">
      <c r="A18" s="993"/>
      <c r="B18" s="993"/>
      <c r="C18" s="993"/>
      <c r="D18" s="993"/>
      <c r="E18" s="993"/>
      <c r="F18" s="991"/>
      <c r="G18" s="990"/>
    </row>
    <row r="19" spans="1:7" ht="141.75" customHeight="1">
      <c r="A19" s="2147"/>
      <c r="B19" s="2301"/>
      <c r="C19" s="2301"/>
      <c r="D19" s="2301"/>
      <c r="E19" s="2301"/>
      <c r="F19" s="995"/>
      <c r="G19" s="994"/>
    </row>
    <row r="22" spans="1:7">
      <c r="G22" s="996"/>
    </row>
  </sheetData>
  <mergeCells count="16">
    <mergeCell ref="A14:G14"/>
    <mergeCell ref="A17:E17"/>
    <mergeCell ref="A19:E19"/>
    <mergeCell ref="A8:A11"/>
    <mergeCell ref="B8:E8"/>
    <mergeCell ref="F8:G10"/>
    <mergeCell ref="B9:C9"/>
    <mergeCell ref="D9:E9"/>
    <mergeCell ref="B10:C10"/>
    <mergeCell ref="D10:E10"/>
    <mergeCell ref="A7:G7"/>
    <mergeCell ref="A2:G2"/>
    <mergeCell ref="A3:G3"/>
    <mergeCell ref="A4:G4"/>
    <mergeCell ref="A5:G5"/>
    <mergeCell ref="A6:G6"/>
  </mergeCells>
  <printOptions horizontalCentered="1"/>
  <pageMargins left="0.5" right="0.4" top="0.5" bottom="0.25" header="0" footer="0"/>
  <pageSetup scale="93" firstPageNumber="8" fitToHeight="0" orientation="landscape" useFirstPageNumber="1" r:id="rId1"/>
  <headerFooter alignWithMargins="0">
    <oddFooter>&amp;C&amp;"Times New Roman,Regular"Exhibit J - Financial Analysis of Program Changes&amp;R&amp;"Times New Roman,Regular"Public Safety Officers Benefits</oddFooter>
  </headerFooter>
</worksheet>
</file>

<file path=xl/worksheets/sheet52.xml><?xml version="1.0" encoding="utf-8"?>
<worksheet xmlns="http://schemas.openxmlformats.org/spreadsheetml/2006/main" xmlns:r="http://schemas.openxmlformats.org/officeDocument/2006/relationships">
  <dimension ref="A1:O202"/>
  <sheetViews>
    <sheetView view="pageBreakPreview" zoomScale="80" zoomScaleNormal="75" zoomScaleSheetLayoutView="80" workbookViewId="0">
      <selection sqref="A1:I1"/>
    </sheetView>
  </sheetViews>
  <sheetFormatPr defaultRowHeight="15.75"/>
  <cols>
    <col min="1" max="1" width="62.6640625" style="1020" customWidth="1"/>
    <col min="2" max="2" width="8.88671875" style="1020"/>
    <col min="3" max="3" width="10.109375" style="1020" customWidth="1"/>
    <col min="4" max="4" width="8.88671875" style="1020"/>
    <col min="5" max="5" width="10.6640625" style="1020" customWidth="1"/>
    <col min="6" max="6" width="8.88671875" style="1020"/>
    <col min="7" max="7" width="10.5546875" style="1020" bestFit="1" customWidth="1"/>
    <col min="8" max="8" width="8.88671875" style="1020"/>
    <col min="9" max="9" width="10.33203125" style="1020" customWidth="1"/>
    <col min="10" max="12" width="0" style="1020" hidden="1" customWidth="1"/>
    <col min="13" max="13" width="3.21875" style="1069" customWidth="1"/>
    <col min="14" max="14" width="8.88671875" style="949"/>
    <col min="15" max="16384" width="8.88671875" style="1020"/>
  </cols>
  <sheetData>
    <row r="1" spans="1:13" ht="19.149999999999999" customHeight="1">
      <c r="A1" s="2061" t="s">
        <v>236</v>
      </c>
      <c r="B1" s="2295"/>
      <c r="C1" s="2295"/>
      <c r="D1" s="2295"/>
      <c r="E1" s="2295"/>
      <c r="F1" s="2295"/>
      <c r="G1" s="2295"/>
      <c r="H1" s="2295"/>
      <c r="I1" s="2295"/>
      <c r="M1" s="1021" t="s">
        <v>0</v>
      </c>
    </row>
    <row r="2" spans="1:13" ht="19.149999999999999" customHeight="1">
      <c r="A2" s="2296"/>
      <c r="B2" s="2297"/>
      <c r="C2" s="2297"/>
      <c r="D2" s="2297"/>
      <c r="E2" s="2297"/>
      <c r="F2" s="2297"/>
      <c r="G2" s="2297"/>
      <c r="H2" s="2297"/>
      <c r="I2" s="2297"/>
      <c r="M2" s="1021" t="s">
        <v>0</v>
      </c>
    </row>
    <row r="3" spans="1:13" ht="18.75">
      <c r="A3" s="2298" t="s">
        <v>102</v>
      </c>
      <c r="B3" s="2295"/>
      <c r="C3" s="2295"/>
      <c r="D3" s="2295"/>
      <c r="E3" s="2295"/>
      <c r="F3" s="2295"/>
      <c r="G3" s="2295"/>
      <c r="H3" s="2295"/>
      <c r="I3" s="2295"/>
      <c r="M3" s="1021" t="s">
        <v>0</v>
      </c>
    </row>
    <row r="4" spans="1:13" ht="16.5">
      <c r="A4" s="2299" t="str">
        <f>+'B. Summ of Reqs - PSOB'!A5</f>
        <v>Office of Justice Programs</v>
      </c>
      <c r="B4" s="2295"/>
      <c r="C4" s="2295"/>
      <c r="D4" s="2295"/>
      <c r="E4" s="2295"/>
      <c r="F4" s="2295"/>
      <c r="G4" s="2295"/>
      <c r="H4" s="2295"/>
      <c r="I4" s="2295"/>
      <c r="M4" s="1021" t="s">
        <v>0</v>
      </c>
    </row>
    <row r="5" spans="1:13" ht="16.5">
      <c r="A5" s="2299" t="str">
        <f>+'B. Summ of Reqs - PSOB'!A6</f>
        <v>Public Safety Officers Benefits</v>
      </c>
      <c r="B5" s="2295"/>
      <c r="C5" s="2295"/>
      <c r="D5" s="2295"/>
      <c r="E5" s="2295"/>
      <c r="F5" s="2295"/>
      <c r="G5" s="2295"/>
      <c r="H5" s="2295"/>
      <c r="I5" s="2295"/>
      <c r="M5" s="1021" t="s">
        <v>0</v>
      </c>
    </row>
    <row r="6" spans="1:13">
      <c r="A6" s="2294" t="s">
        <v>257</v>
      </c>
      <c r="B6" s="2295"/>
      <c r="C6" s="2295"/>
      <c r="D6" s="2295"/>
      <c r="E6" s="2295"/>
      <c r="F6" s="2295"/>
      <c r="G6" s="2295"/>
      <c r="H6" s="2295"/>
      <c r="I6" s="2295"/>
      <c r="M6" s="1021" t="s">
        <v>0</v>
      </c>
    </row>
    <row r="7" spans="1:13" ht="11.25" customHeight="1">
      <c r="A7" s="2213"/>
      <c r="B7" s="2213"/>
      <c r="C7" s="2213"/>
      <c r="D7" s="2213"/>
      <c r="E7" s="2213"/>
      <c r="F7" s="2213"/>
      <c r="G7" s="2213"/>
      <c r="H7" s="2213"/>
      <c r="I7" s="2213"/>
      <c r="M7" s="1021" t="s">
        <v>0</v>
      </c>
    </row>
    <row r="8" spans="1:13" ht="44.25" customHeight="1">
      <c r="A8" s="2302" t="s">
        <v>99</v>
      </c>
      <c r="B8" s="2304" t="s">
        <v>808</v>
      </c>
      <c r="C8" s="2305"/>
      <c r="D8" s="2306" t="s">
        <v>330</v>
      </c>
      <c r="E8" s="2307"/>
      <c r="F8" s="2308" t="s">
        <v>42</v>
      </c>
      <c r="G8" s="2309"/>
      <c r="H8" s="2304" t="s">
        <v>811</v>
      </c>
      <c r="I8" s="2530"/>
      <c r="J8" s="684"/>
      <c r="M8" s="1021" t="s">
        <v>0</v>
      </c>
    </row>
    <row r="9" spans="1:13" ht="25.5" customHeight="1" thickBot="1">
      <c r="A9" s="2303"/>
      <c r="B9" s="1022" t="s">
        <v>49</v>
      </c>
      <c r="C9" s="1023" t="s">
        <v>279</v>
      </c>
      <c r="D9" s="1022" t="s">
        <v>49</v>
      </c>
      <c r="E9" s="1023" t="s">
        <v>279</v>
      </c>
      <c r="F9" s="1022" t="s">
        <v>49</v>
      </c>
      <c r="G9" s="1023" t="s">
        <v>279</v>
      </c>
      <c r="H9" s="1022" t="s">
        <v>49</v>
      </c>
      <c r="I9" s="1024" t="s">
        <v>279</v>
      </c>
      <c r="J9" s="684"/>
      <c r="M9" s="1021" t="s">
        <v>0</v>
      </c>
    </row>
    <row r="10" spans="1:13">
      <c r="A10" s="1025" t="s">
        <v>15</v>
      </c>
      <c r="B10" s="1026"/>
      <c r="C10" s="1027"/>
      <c r="D10" s="1026"/>
      <c r="E10" s="1027"/>
      <c r="F10" s="1026"/>
      <c r="G10" s="1027"/>
      <c r="H10" s="1026"/>
      <c r="I10" s="1028"/>
      <c r="J10" s="684"/>
      <c r="M10" s="1021" t="s">
        <v>0</v>
      </c>
    </row>
    <row r="11" spans="1:13">
      <c r="A11" s="1029" t="s">
        <v>71</v>
      </c>
      <c r="B11" s="1026"/>
      <c r="C11" s="1030"/>
      <c r="D11" s="1026"/>
      <c r="E11" s="1030"/>
      <c r="F11" s="1026"/>
      <c r="G11" s="1030"/>
      <c r="H11" s="1026"/>
      <c r="I11" s="1031"/>
      <c r="J11" s="1032" t="s">
        <v>47</v>
      </c>
      <c r="K11" s="1020" t="s">
        <v>48</v>
      </c>
      <c r="M11" s="1021" t="s">
        <v>0</v>
      </c>
    </row>
    <row r="12" spans="1:13">
      <c r="A12" s="1029" t="s">
        <v>56</v>
      </c>
      <c r="B12" s="1033"/>
      <c r="C12" s="1030"/>
      <c r="D12" s="1033"/>
      <c r="E12" s="1030"/>
      <c r="F12" s="1033"/>
      <c r="G12" s="1030"/>
      <c r="H12" s="1026"/>
      <c r="I12" s="1031"/>
      <c r="J12" s="684">
        <v>93</v>
      </c>
      <c r="M12" s="1021" t="s">
        <v>0</v>
      </c>
    </row>
    <row r="13" spans="1:13">
      <c r="A13" s="1034" t="s">
        <v>58</v>
      </c>
      <c r="B13" s="1035"/>
      <c r="C13" s="1036"/>
      <c r="D13" s="1035"/>
      <c r="E13" s="1036"/>
      <c r="F13" s="1035"/>
      <c r="G13" s="1036"/>
      <c r="H13" s="1035"/>
      <c r="I13" s="1037"/>
      <c r="J13" s="684"/>
      <c r="M13" s="1021" t="s">
        <v>0</v>
      </c>
    </row>
    <row r="14" spans="1:13">
      <c r="A14" s="1034" t="s">
        <v>57</v>
      </c>
      <c r="B14" s="1035"/>
      <c r="C14" s="1036"/>
      <c r="D14" s="1035"/>
      <c r="E14" s="1036"/>
      <c r="F14" s="1035"/>
      <c r="G14" s="1036"/>
      <c r="H14" s="1035"/>
      <c r="I14" s="1634"/>
      <c r="J14" s="684"/>
      <c r="M14" s="1021" t="s">
        <v>0</v>
      </c>
    </row>
    <row r="15" spans="1:13">
      <c r="A15" s="1038" t="s">
        <v>59</v>
      </c>
      <c r="B15" s="1039"/>
      <c r="C15" s="1040"/>
      <c r="D15" s="1039"/>
      <c r="E15" s="1040"/>
      <c r="F15" s="1039"/>
      <c r="G15" s="1040"/>
      <c r="H15" s="1039"/>
      <c r="I15" s="1041"/>
      <c r="J15" s="684"/>
      <c r="M15" s="1021" t="s">
        <v>0</v>
      </c>
    </row>
    <row r="16" spans="1:13">
      <c r="A16" s="1042" t="s">
        <v>16</v>
      </c>
      <c r="B16" s="1043">
        <f>+B10+B11+B12+B15</f>
        <v>0</v>
      </c>
      <c r="C16" s="1044">
        <f t="shared" ref="C16:I16" si="0">+C10+C11+C12+C15</f>
        <v>0</v>
      </c>
      <c r="D16" s="1043">
        <f>+D10+D11+D12+D15</f>
        <v>0</v>
      </c>
      <c r="E16" s="1044">
        <f t="shared" si="0"/>
        <v>0</v>
      </c>
      <c r="F16" s="1043">
        <f t="shared" si="0"/>
        <v>0</v>
      </c>
      <c r="G16" s="1045">
        <f t="shared" si="0"/>
        <v>0</v>
      </c>
      <c r="H16" s="1044">
        <f>+H10+H11+H12+H15</f>
        <v>0</v>
      </c>
      <c r="I16" s="1045">
        <f t="shared" si="0"/>
        <v>0</v>
      </c>
      <c r="J16" s="1046">
        <f>697+630+957+2333</f>
        <v>4617</v>
      </c>
      <c r="K16" s="1020">
        <f>2451-93</f>
        <v>2358</v>
      </c>
      <c r="L16" s="1020">
        <f>+E16-G16</f>
        <v>0</v>
      </c>
      <c r="M16" s="1021" t="s">
        <v>0</v>
      </c>
    </row>
    <row r="17" spans="1:15">
      <c r="A17" s="1029" t="s">
        <v>100</v>
      </c>
      <c r="B17" s="1026"/>
      <c r="C17" s="1030"/>
      <c r="D17" s="1026"/>
      <c r="E17" s="1030"/>
      <c r="F17" s="1026"/>
      <c r="G17" s="1030"/>
      <c r="H17" s="1026"/>
      <c r="I17" s="1031"/>
      <c r="J17" s="684"/>
      <c r="M17" s="1021" t="s">
        <v>0</v>
      </c>
    </row>
    <row r="18" spans="1:15">
      <c r="A18" s="1047" t="s">
        <v>61</v>
      </c>
      <c r="B18" s="1026"/>
      <c r="C18" s="1030"/>
      <c r="D18" s="1026"/>
      <c r="E18" s="1030"/>
      <c r="F18" s="1026"/>
      <c r="G18" s="1030"/>
      <c r="H18" s="1026"/>
      <c r="I18" s="1031"/>
      <c r="J18" s="684">
        <v>359</v>
      </c>
      <c r="K18" s="1020">
        <f>1171+93</f>
        <v>1264</v>
      </c>
      <c r="L18" s="1020">
        <f t="shared" ref="L18:L35" si="1">+E18-G18</f>
        <v>0</v>
      </c>
      <c r="M18" s="1021" t="s">
        <v>0</v>
      </c>
    </row>
    <row r="19" spans="1:15">
      <c r="A19" s="1047" t="s">
        <v>62</v>
      </c>
      <c r="B19" s="1026"/>
      <c r="C19" s="1030"/>
      <c r="D19" s="1026"/>
      <c r="E19" s="1030"/>
      <c r="F19" s="1026"/>
      <c r="G19" s="1030"/>
      <c r="H19" s="1026"/>
      <c r="I19" s="1031"/>
      <c r="J19" s="684"/>
      <c r="K19" s="1020">
        <v>110</v>
      </c>
      <c r="L19" s="1020">
        <f t="shared" si="1"/>
        <v>0</v>
      </c>
      <c r="M19" s="1021" t="s">
        <v>0</v>
      </c>
    </row>
    <row r="20" spans="1:15">
      <c r="A20" s="1047" t="s">
        <v>63</v>
      </c>
      <c r="B20" s="1026"/>
      <c r="C20" s="1030"/>
      <c r="D20" s="1026"/>
      <c r="E20" s="1030"/>
      <c r="F20" s="1026"/>
      <c r="G20" s="1030"/>
      <c r="H20" s="1026"/>
      <c r="I20" s="1031"/>
      <c r="J20" s="684"/>
      <c r="K20" s="1020">
        <v>0</v>
      </c>
      <c r="L20" s="1020">
        <f t="shared" si="1"/>
        <v>0</v>
      </c>
      <c r="M20" s="1021" t="s">
        <v>0</v>
      </c>
    </row>
    <row r="21" spans="1:15">
      <c r="A21" s="1047" t="s">
        <v>234</v>
      </c>
      <c r="B21" s="1026"/>
      <c r="C21" s="1030"/>
      <c r="D21" s="1026"/>
      <c r="E21" s="1030"/>
      <c r="F21" s="1026"/>
      <c r="G21" s="1030"/>
      <c r="H21" s="1026"/>
      <c r="I21" s="1031"/>
      <c r="J21" s="684">
        <f>4220-576</f>
        <v>3644</v>
      </c>
      <c r="L21" s="1020">
        <f t="shared" si="1"/>
        <v>0</v>
      </c>
      <c r="M21" s="1021" t="s">
        <v>0</v>
      </c>
    </row>
    <row r="22" spans="1:15">
      <c r="A22" s="1047" t="s">
        <v>36</v>
      </c>
      <c r="B22" s="1026"/>
      <c r="C22" s="1030"/>
      <c r="D22" s="1026"/>
      <c r="E22" s="1030"/>
      <c r="F22" s="1026"/>
      <c r="G22" s="1030"/>
      <c r="H22" s="1026"/>
      <c r="I22" s="1031"/>
      <c r="J22" s="684"/>
      <c r="L22" s="1020">
        <f t="shared" si="1"/>
        <v>0</v>
      </c>
      <c r="M22" s="1021" t="s">
        <v>0</v>
      </c>
    </row>
    <row r="23" spans="1:15">
      <c r="A23" s="1047" t="s">
        <v>64</v>
      </c>
      <c r="B23" s="1026"/>
      <c r="C23" s="1030"/>
      <c r="D23" s="1026"/>
      <c r="E23" s="1030"/>
      <c r="F23" s="1026"/>
      <c r="G23" s="1030"/>
      <c r="H23" s="1026"/>
      <c r="I23" s="1031"/>
      <c r="J23" s="684">
        <v>332</v>
      </c>
      <c r="K23" s="1020">
        <v>175</v>
      </c>
      <c r="L23" s="1020">
        <f t="shared" si="1"/>
        <v>0</v>
      </c>
      <c r="M23" s="1021" t="s">
        <v>0</v>
      </c>
    </row>
    <row r="24" spans="1:15">
      <c r="A24" s="1047" t="s">
        <v>65</v>
      </c>
      <c r="B24" s="1026"/>
      <c r="C24" s="1030"/>
      <c r="D24" s="1026"/>
      <c r="E24" s="1030"/>
      <c r="F24" s="1026"/>
      <c r="G24" s="1030"/>
      <c r="H24" s="1026"/>
      <c r="I24" s="1031"/>
      <c r="J24" s="684"/>
      <c r="L24" s="1020">
        <f t="shared" si="1"/>
        <v>0</v>
      </c>
      <c r="M24" s="1021" t="s">
        <v>0</v>
      </c>
    </row>
    <row r="25" spans="1:15">
      <c r="A25" s="1047" t="s">
        <v>66</v>
      </c>
      <c r="B25" s="1026"/>
      <c r="C25" s="1030"/>
      <c r="D25" s="1026"/>
      <c r="E25" s="1030"/>
      <c r="F25" s="1026"/>
      <c r="G25" s="1030"/>
      <c r="H25" s="1026"/>
      <c r="I25" s="1031"/>
      <c r="J25" s="684"/>
      <c r="K25" s="1020">
        <v>14918</v>
      </c>
      <c r="L25" s="1020">
        <f t="shared" si="1"/>
        <v>0</v>
      </c>
      <c r="M25" s="1021" t="s">
        <v>0</v>
      </c>
    </row>
    <row r="26" spans="1:15">
      <c r="A26" s="1047" t="s">
        <v>67</v>
      </c>
      <c r="B26" s="1026"/>
      <c r="C26" s="1030">
        <v>1100</v>
      </c>
      <c r="D26" s="1026"/>
      <c r="E26" s="1030">
        <v>1000</v>
      </c>
      <c r="F26" s="1026"/>
      <c r="G26" s="1030">
        <f>((C26/$C$35)*(7200+6000))+E26</f>
        <v>1197.5563960924108</v>
      </c>
      <c r="H26" s="1026"/>
      <c r="I26" s="1031">
        <f>G26-E26</f>
        <v>197.55639609241075</v>
      </c>
      <c r="J26" s="684">
        <v>276</v>
      </c>
      <c r="K26" s="1020">
        <v>14853</v>
      </c>
      <c r="L26" s="1020">
        <f t="shared" si="1"/>
        <v>-197.55639609241075</v>
      </c>
      <c r="M26" s="1021" t="s">
        <v>0</v>
      </c>
    </row>
    <row r="27" spans="1:15">
      <c r="A27" s="1047" t="s">
        <v>475</v>
      </c>
      <c r="B27" s="1026"/>
      <c r="C27" s="1030"/>
      <c r="D27" s="1026"/>
      <c r="E27" s="1030"/>
      <c r="F27" s="1026"/>
      <c r="G27" s="1030"/>
      <c r="H27" s="1026"/>
      <c r="I27" s="1031"/>
      <c r="J27" s="684"/>
      <c r="K27" s="1020">
        <v>135</v>
      </c>
      <c r="L27" s="1020">
        <f t="shared" si="1"/>
        <v>0</v>
      </c>
      <c r="M27" s="1021" t="s">
        <v>0</v>
      </c>
    </row>
    <row r="28" spans="1:15">
      <c r="A28" s="1047" t="s">
        <v>235</v>
      </c>
      <c r="B28" s="1026"/>
      <c r="C28" s="1030"/>
      <c r="D28" s="1026"/>
      <c r="E28" s="1030"/>
      <c r="F28" s="1026"/>
      <c r="G28" s="1030"/>
      <c r="H28" s="1026"/>
      <c r="I28" s="1031"/>
      <c r="J28" s="684"/>
      <c r="L28" s="1020">
        <f t="shared" si="1"/>
        <v>0</v>
      </c>
      <c r="M28" s="1021" t="s">
        <v>0</v>
      </c>
      <c r="O28" s="1046"/>
    </row>
    <row r="29" spans="1:15">
      <c r="A29" s="1047" t="s">
        <v>476</v>
      </c>
      <c r="B29" s="1026"/>
      <c r="C29" s="1030"/>
      <c r="D29" s="1026"/>
      <c r="E29" s="1030"/>
      <c r="F29" s="1026"/>
      <c r="G29" s="1030"/>
      <c r="H29" s="1026"/>
      <c r="I29" s="1031"/>
      <c r="J29" s="684"/>
      <c r="L29" s="1020">
        <f t="shared" si="1"/>
        <v>0</v>
      </c>
      <c r="M29" s="1021" t="s">
        <v>0</v>
      </c>
    </row>
    <row r="30" spans="1:15">
      <c r="A30" s="1047" t="s">
        <v>241</v>
      </c>
      <c r="B30" s="1026"/>
      <c r="C30" s="1030"/>
      <c r="D30" s="1026"/>
      <c r="E30" s="1030"/>
      <c r="F30" s="1026"/>
      <c r="G30" s="1030"/>
      <c r="H30" s="1026"/>
      <c r="I30" s="1031"/>
      <c r="J30" s="684"/>
      <c r="K30" s="1020">
        <v>10</v>
      </c>
      <c r="L30" s="1020">
        <f t="shared" si="1"/>
        <v>0</v>
      </c>
      <c r="M30" s="1021" t="s">
        <v>0</v>
      </c>
      <c r="O30" s="1046"/>
    </row>
    <row r="31" spans="1:15">
      <c r="A31" s="1047" t="s">
        <v>68</v>
      </c>
      <c r="B31" s="1026"/>
      <c r="C31" s="1030"/>
      <c r="D31" s="1026"/>
      <c r="E31" s="1030"/>
      <c r="F31" s="1026"/>
      <c r="G31" s="1030"/>
      <c r="H31" s="1026"/>
      <c r="I31" s="1031"/>
      <c r="J31" s="684"/>
      <c r="K31" s="1020">
        <v>85</v>
      </c>
      <c r="L31" s="1020">
        <f t="shared" si="1"/>
        <v>0</v>
      </c>
      <c r="M31" s="1021" t="s">
        <v>0</v>
      </c>
      <c r="O31" s="1046"/>
    </row>
    <row r="32" spans="1:15">
      <c r="A32" s="1047" t="s">
        <v>69</v>
      </c>
      <c r="B32" s="1026"/>
      <c r="C32" s="1030"/>
      <c r="D32" s="1026"/>
      <c r="E32" s="1030"/>
      <c r="F32" s="1026"/>
      <c r="G32" s="1030"/>
      <c r="H32" s="1026"/>
      <c r="I32" s="1031"/>
      <c r="J32" s="684"/>
      <c r="K32" s="1020">
        <v>37758</v>
      </c>
      <c r="L32" s="1020">
        <f t="shared" si="1"/>
        <v>0</v>
      </c>
      <c r="M32" s="1021" t="s">
        <v>0</v>
      </c>
    </row>
    <row r="33" spans="1:13">
      <c r="A33" s="1047" t="s">
        <v>632</v>
      </c>
      <c r="B33" s="1026"/>
      <c r="C33" s="1030">
        <v>5000</v>
      </c>
      <c r="D33" s="1026"/>
      <c r="E33" s="1030">
        <v>5000</v>
      </c>
      <c r="F33" s="1026"/>
      <c r="G33" s="1030">
        <f>((C33/$C$35)*(7200+6000))+E33</f>
        <v>5897.9836186018665</v>
      </c>
      <c r="H33" s="1026"/>
      <c r="I33" s="1031">
        <f>G33-E33</f>
        <v>897.98361860186651</v>
      </c>
      <c r="J33" s="684"/>
      <c r="K33" s="1020">
        <v>37758</v>
      </c>
      <c r="L33" s="1020">
        <f t="shared" si="1"/>
        <v>-897.98361860186651</v>
      </c>
      <c r="M33" s="1021" t="s">
        <v>0</v>
      </c>
    </row>
    <row r="34" spans="1:13">
      <c r="A34" s="1047" t="s">
        <v>687</v>
      </c>
      <c r="B34" s="1026"/>
      <c r="C34" s="1030">
        <v>67398</v>
      </c>
      <c r="D34" s="1026"/>
      <c r="E34" s="1030">
        <f>64100+2092</f>
        <v>66192</v>
      </c>
      <c r="F34" s="1026"/>
      <c r="G34" s="1030">
        <f>((C34/$C$35)*(7200+6000))+E34</f>
        <v>78296.45998530573</v>
      </c>
      <c r="H34" s="1026"/>
      <c r="I34" s="1031">
        <f>G34-E34</f>
        <v>12104.45998530573</v>
      </c>
      <c r="J34" s="684"/>
      <c r="K34" s="1020">
        <v>37758</v>
      </c>
      <c r="L34" s="1020">
        <f t="shared" si="1"/>
        <v>-12104.45998530573</v>
      </c>
      <c r="M34" s="1021" t="s">
        <v>0</v>
      </c>
    </row>
    <row r="35" spans="1:13">
      <c r="A35" s="1374" t="s">
        <v>70</v>
      </c>
      <c r="B35" s="1052"/>
      <c r="C35" s="1049">
        <f>SUM(C16:C34)</f>
        <v>73498</v>
      </c>
      <c r="D35" s="1052"/>
      <c r="E35" s="1049">
        <f>SUM(E16:E34)</f>
        <v>72192</v>
      </c>
      <c r="F35" s="1052"/>
      <c r="G35" s="1049">
        <f>SUM(G16:G34)</f>
        <v>85392</v>
      </c>
      <c r="H35" s="1052"/>
      <c r="I35" s="1375">
        <f>SUM(I16:I34)</f>
        <v>13200.000000000007</v>
      </c>
      <c r="J35" s="684">
        <f>SUM(J12:J34)</f>
        <v>9321</v>
      </c>
      <c r="K35" s="1020">
        <f>SUM(K16:K34)</f>
        <v>147182</v>
      </c>
      <c r="L35" s="1020">
        <f t="shared" si="1"/>
        <v>-13200</v>
      </c>
      <c r="M35" s="1021" t="s">
        <v>0</v>
      </c>
    </row>
    <row r="36" spans="1:13" ht="16.899999999999999" customHeight="1">
      <c r="A36" s="1051" t="s">
        <v>478</v>
      </c>
      <c r="B36" s="1062"/>
      <c r="C36" s="1322"/>
      <c r="D36" s="1062"/>
      <c r="E36" s="1322">
        <v>-2092</v>
      </c>
      <c r="F36" s="1062"/>
      <c r="G36" s="1322"/>
      <c r="H36" s="1062"/>
      <c r="I36" s="1323"/>
      <c r="J36" s="684"/>
      <c r="M36" s="1021" t="s">
        <v>0</v>
      </c>
    </row>
    <row r="37" spans="1:13">
      <c r="A37" s="1051" t="s">
        <v>479</v>
      </c>
      <c r="B37" s="1062"/>
      <c r="C37" s="1322">
        <v>2092</v>
      </c>
      <c r="D37" s="1062"/>
      <c r="E37" s="1322"/>
      <c r="F37" s="1062"/>
      <c r="G37" s="1322"/>
      <c r="H37" s="1062"/>
      <c r="I37" s="1323"/>
      <c r="J37" s="684"/>
      <c r="M37" s="1021" t="s">
        <v>0</v>
      </c>
    </row>
    <row r="38" spans="1:13">
      <c r="A38" s="1051" t="s">
        <v>481</v>
      </c>
      <c r="B38" s="1062"/>
      <c r="C38" s="1322">
        <v>-490</v>
      </c>
      <c r="D38" s="1062"/>
      <c r="E38" s="1322"/>
      <c r="F38" s="1062"/>
      <c r="G38" s="1322"/>
      <c r="H38" s="1062"/>
      <c r="I38" s="1323"/>
      <c r="J38" s="684"/>
      <c r="M38" s="1021" t="s">
        <v>0</v>
      </c>
    </row>
    <row r="39" spans="1:13" ht="16.5" thickBot="1">
      <c r="A39" s="1054" t="s">
        <v>1</v>
      </c>
      <c r="B39" s="1376"/>
      <c r="C39" s="1377">
        <f>SUM(C35:C38)</f>
        <v>75100</v>
      </c>
      <c r="D39" s="1376"/>
      <c r="E39" s="1377">
        <f>SUM(E35:E38)</f>
        <v>70100</v>
      </c>
      <c r="F39" s="1376"/>
      <c r="G39" s="1377">
        <f>SUM(G35:G38)</f>
        <v>85392</v>
      </c>
      <c r="H39" s="1376"/>
      <c r="I39" s="1378"/>
      <c r="J39" s="684"/>
      <c r="M39" s="1021" t="s">
        <v>0</v>
      </c>
    </row>
    <row r="40" spans="1:13">
      <c r="A40" s="1056"/>
      <c r="B40" s="1057"/>
      <c r="C40" s="1058"/>
      <c r="D40" s="1057"/>
      <c r="E40" s="1058"/>
      <c r="F40" s="1057"/>
      <c r="G40" s="1058"/>
      <c r="H40" s="1057"/>
      <c r="I40" s="1059"/>
      <c r="J40" s="684"/>
      <c r="M40" s="1021" t="s">
        <v>0</v>
      </c>
    </row>
    <row r="41" spans="1:13">
      <c r="A41" s="1060" t="s">
        <v>268</v>
      </c>
      <c r="B41" s="1026"/>
      <c r="C41" s="1030"/>
      <c r="D41" s="1026"/>
      <c r="E41" s="1030"/>
      <c r="F41" s="1026"/>
      <c r="G41" s="1030"/>
      <c r="H41" s="1026"/>
      <c r="I41" s="1031"/>
      <c r="J41" s="684"/>
      <c r="M41" s="1021" t="s">
        <v>0</v>
      </c>
    </row>
    <row r="42" spans="1:13">
      <c r="A42" s="1047" t="s">
        <v>60</v>
      </c>
      <c r="B42" s="1061">
        <v>0</v>
      </c>
      <c r="C42" s="1027">
        <v>0</v>
      </c>
      <c r="D42" s="1061">
        <v>0</v>
      </c>
      <c r="E42" s="1027">
        <v>0</v>
      </c>
      <c r="F42" s="1061">
        <v>0</v>
      </c>
      <c r="G42" s="1027">
        <v>0</v>
      </c>
      <c r="H42" s="1062">
        <f>F42+B42</f>
        <v>0</v>
      </c>
      <c r="I42" s="1028">
        <f>C42+G42</f>
        <v>0</v>
      </c>
      <c r="J42" s="684"/>
      <c r="M42" s="1021" t="s">
        <v>0</v>
      </c>
    </row>
    <row r="43" spans="1:13">
      <c r="A43" s="1029" t="s">
        <v>2</v>
      </c>
      <c r="B43" s="1026"/>
      <c r="C43" s="1027">
        <v>0</v>
      </c>
      <c r="D43" s="1026"/>
      <c r="E43" s="1027">
        <v>0</v>
      </c>
      <c r="F43" s="1026"/>
      <c r="G43" s="1027">
        <v>0</v>
      </c>
      <c r="H43" s="1062"/>
      <c r="I43" s="1028">
        <f>C43+G43</f>
        <v>0</v>
      </c>
      <c r="J43" s="684"/>
      <c r="M43" s="1021" t="s">
        <v>0</v>
      </c>
    </row>
    <row r="44" spans="1:13">
      <c r="A44" s="1038" t="s">
        <v>3</v>
      </c>
      <c r="B44" s="1063"/>
      <c r="C44" s="1064">
        <v>0</v>
      </c>
      <c r="D44" s="1063"/>
      <c r="E44" s="1064">
        <v>0</v>
      </c>
      <c r="F44" s="1063"/>
      <c r="G44" s="1064">
        <v>0</v>
      </c>
      <c r="H44" s="1065"/>
      <c r="I44" s="1066">
        <f>C44+G44</f>
        <v>0</v>
      </c>
      <c r="J44" s="684"/>
      <c r="M44" s="1021" t="s">
        <v>24</v>
      </c>
    </row>
    <row r="45" spans="1:13">
      <c r="A45" s="2311"/>
      <c r="B45" s="2312"/>
      <c r="C45" s="2312"/>
      <c r="D45" s="2312"/>
      <c r="E45" s="2312"/>
      <c r="F45" s="2312"/>
      <c r="G45" s="2312"/>
      <c r="H45" s="2312"/>
      <c r="I45" s="2312"/>
      <c r="J45" s="2312"/>
      <c r="K45" s="2312"/>
      <c r="L45" s="2312"/>
      <c r="M45" s="2312"/>
    </row>
    <row r="46" spans="1:13">
      <c r="H46" s="1068"/>
      <c r="I46" s="1068"/>
      <c r="J46" s="684"/>
    </row>
    <row r="47" spans="1:13">
      <c r="A47" s="2313"/>
      <c r="B47" s="2313"/>
      <c r="C47" s="2313"/>
      <c r="D47" s="2313"/>
      <c r="E47" s="2313"/>
      <c r="F47" s="2313"/>
      <c r="G47" s="2313"/>
      <c r="H47" s="1067"/>
      <c r="I47" s="1067"/>
      <c r="J47" s="684"/>
    </row>
    <row r="48" spans="1:13">
      <c r="A48" s="1070"/>
      <c r="B48" s="1071"/>
      <c r="C48" s="1071"/>
      <c r="D48" s="1071"/>
      <c r="E48" s="1071"/>
      <c r="F48" s="1071"/>
      <c r="G48" s="1071"/>
      <c r="H48" s="1067"/>
      <c r="I48" s="1067"/>
      <c r="J48" s="684"/>
    </row>
    <row r="49" spans="1:14" ht="41.25" customHeight="1">
      <c r="A49" s="2314"/>
      <c r="B49" s="2315"/>
      <c r="C49" s="2315"/>
      <c r="D49" s="2315"/>
      <c r="E49" s="2315"/>
      <c r="F49" s="2315"/>
      <c r="G49" s="2315"/>
      <c r="H49" s="995"/>
      <c r="I49" s="1072"/>
      <c r="J49" s="684"/>
    </row>
    <row r="50" spans="1:14" ht="14.25" customHeight="1">
      <c r="A50" s="1070"/>
      <c r="B50" s="1073"/>
      <c r="C50" s="1073"/>
      <c r="D50" s="1073"/>
      <c r="E50" s="1073"/>
      <c r="F50" s="1073"/>
      <c r="G50" s="1073"/>
      <c r="H50" s="995"/>
      <c r="I50" s="995"/>
      <c r="J50" s="684"/>
    </row>
    <row r="51" spans="1:14" ht="77.25" customHeight="1">
      <c r="A51" s="2147"/>
      <c r="B51" s="2147"/>
      <c r="C51" s="2147"/>
      <c r="D51" s="2147"/>
      <c r="E51" s="2147"/>
      <c r="F51" s="2147"/>
      <c r="G51" s="2147"/>
      <c r="H51" s="1074"/>
      <c r="I51" s="1072"/>
      <c r="J51" s="684"/>
    </row>
    <row r="52" spans="1:14" ht="12.75" customHeight="1">
      <c r="A52" s="1070"/>
      <c r="B52" s="1073"/>
      <c r="C52" s="1073"/>
      <c r="D52" s="1073"/>
      <c r="E52" s="1073"/>
      <c r="F52" s="1073"/>
      <c r="G52" s="1073"/>
      <c r="H52" s="995"/>
      <c r="I52" s="995"/>
      <c r="J52" s="684"/>
    </row>
    <row r="53" spans="1:14" ht="54" customHeight="1">
      <c r="A53" s="2147"/>
      <c r="B53" s="2301"/>
      <c r="C53" s="2301"/>
      <c r="D53" s="2301"/>
      <c r="E53" s="2301"/>
      <c r="F53" s="2301"/>
      <c r="G53" s="2301"/>
      <c r="H53" s="1074"/>
      <c r="I53" s="1072"/>
      <c r="J53" s="684"/>
    </row>
    <row r="54" spans="1:14" ht="43.5" customHeight="1">
      <c r="A54" s="2300"/>
      <c r="B54" s="2301"/>
      <c r="C54" s="2301"/>
      <c r="D54" s="2301"/>
      <c r="E54" s="2301"/>
      <c r="F54" s="2301"/>
      <c r="G54" s="2301"/>
      <c r="H54" s="995"/>
      <c r="I54" s="995"/>
      <c r="J54" s="684"/>
    </row>
    <row r="55" spans="1:14" ht="62.25" customHeight="1">
      <c r="A55" s="1075"/>
      <c r="B55" s="2147"/>
      <c r="C55" s="2147"/>
      <c r="D55" s="2147"/>
      <c r="E55" s="2147"/>
      <c r="F55" s="2147"/>
      <c r="G55" s="2147"/>
      <c r="H55" s="995"/>
      <c r="I55" s="995"/>
      <c r="J55" s="684"/>
    </row>
    <row r="56" spans="1:14" ht="12" customHeight="1">
      <c r="A56" s="1075"/>
      <c r="B56" s="1073"/>
      <c r="C56" s="1073"/>
      <c r="D56" s="1073"/>
      <c r="E56" s="1073"/>
      <c r="F56" s="1073"/>
      <c r="G56" s="1073"/>
      <c r="H56" s="995"/>
      <c r="I56" s="995"/>
      <c r="J56" s="684"/>
    </row>
    <row r="57" spans="1:14" ht="64.5" customHeight="1">
      <c r="A57" s="2317"/>
      <c r="B57" s="2318"/>
      <c r="C57" s="2318"/>
      <c r="D57" s="2318"/>
      <c r="E57" s="2318"/>
      <c r="F57" s="2318"/>
      <c r="G57" s="2318"/>
      <c r="H57" s="995"/>
      <c r="I57" s="995"/>
      <c r="J57" s="684"/>
    </row>
    <row r="58" spans="1:14" ht="47.25" customHeight="1">
      <c r="A58" s="2317"/>
      <c r="B58" s="2301"/>
      <c r="C58" s="2301"/>
      <c r="D58" s="2301"/>
      <c r="E58" s="2301"/>
      <c r="F58" s="2301"/>
      <c r="G58" s="2301"/>
      <c r="H58" s="995"/>
      <c r="I58" s="995"/>
      <c r="J58" s="684"/>
    </row>
    <row r="59" spans="1:14" ht="60" customHeight="1">
      <c r="A59" s="2317"/>
      <c r="B59" s="2301"/>
      <c r="C59" s="2301"/>
      <c r="D59" s="2301"/>
      <c r="E59" s="2301"/>
      <c r="F59" s="2301"/>
      <c r="G59" s="2301"/>
      <c r="H59" s="995"/>
      <c r="I59" s="995"/>
      <c r="J59" s="684"/>
    </row>
    <row r="60" spans="1:14" ht="15" customHeight="1">
      <c r="A60" s="2256"/>
      <c r="B60" s="2256"/>
      <c r="C60" s="2256"/>
      <c r="D60" s="2256"/>
      <c r="E60" s="2256"/>
      <c r="F60" s="2256"/>
      <c r="G60" s="2256"/>
      <c r="H60" s="2256"/>
      <c r="I60" s="2256"/>
      <c r="J60" s="2256"/>
      <c r="K60" s="2256"/>
      <c r="L60" s="2256"/>
      <c r="M60" s="2256"/>
      <c r="N60" s="2257"/>
    </row>
    <row r="61" spans="1:14" ht="22.9" customHeight="1">
      <c r="A61" s="1076"/>
      <c r="B61" s="2316"/>
      <c r="C61" s="2316"/>
      <c r="D61" s="2316"/>
      <c r="E61" s="2316"/>
      <c r="F61" s="2316"/>
      <c r="G61" s="2316"/>
      <c r="H61" s="2316"/>
      <c r="I61" s="2316"/>
      <c r="J61" s="684"/>
    </row>
    <row r="62" spans="1:14">
      <c r="A62" s="1076"/>
      <c r="B62" s="1076"/>
      <c r="C62" s="1076"/>
      <c r="D62" s="1076"/>
      <c r="E62" s="1076"/>
      <c r="F62" s="1076"/>
      <c r="G62" s="1076"/>
      <c r="H62" s="1077"/>
      <c r="I62" s="1078"/>
      <c r="J62" s="684"/>
    </row>
    <row r="63" spans="1:14">
      <c r="A63" s="1076"/>
      <c r="B63" s="1076"/>
      <c r="C63" s="1076"/>
      <c r="D63" s="1076"/>
      <c r="E63" s="1076"/>
      <c r="F63" s="1076"/>
      <c r="G63" s="1076"/>
      <c r="H63" s="1078"/>
      <c r="I63" s="1078"/>
      <c r="J63" s="684"/>
    </row>
    <row r="64" spans="1:14">
      <c r="A64" s="1076"/>
      <c r="B64" s="1076"/>
      <c r="C64" s="1076"/>
      <c r="D64" s="1076"/>
      <c r="E64" s="1076"/>
      <c r="F64" s="1076"/>
      <c r="G64" s="1076"/>
      <c r="H64" s="1078"/>
      <c r="I64" s="1078"/>
      <c r="J64" s="684"/>
    </row>
    <row r="65" spans="1:10" ht="65.45" customHeight="1">
      <c r="A65" s="1076"/>
      <c r="B65" s="2316"/>
      <c r="C65" s="2316"/>
      <c r="D65" s="2316"/>
      <c r="E65" s="2316"/>
      <c r="F65" s="2316"/>
      <c r="G65" s="2316"/>
      <c r="H65" s="2316"/>
      <c r="I65" s="2316"/>
      <c r="J65" s="684"/>
    </row>
    <row r="66" spans="1:10">
      <c r="H66" s="1079"/>
      <c r="I66" s="1079"/>
      <c r="J66" s="684"/>
    </row>
    <row r="67" spans="1:10">
      <c r="H67" s="1079"/>
      <c r="I67" s="1080"/>
      <c r="J67" s="684"/>
    </row>
    <row r="68" spans="1:10">
      <c r="H68" s="1079"/>
      <c r="I68" s="1079"/>
      <c r="J68" s="684"/>
    </row>
    <row r="69" spans="1:10">
      <c r="H69" s="1079"/>
      <c r="I69" s="1079"/>
      <c r="J69" s="684"/>
    </row>
    <row r="70" spans="1:10">
      <c r="H70" s="1079"/>
      <c r="I70" s="1079"/>
      <c r="J70" s="684"/>
    </row>
    <row r="71" spans="1:10">
      <c r="H71" s="1079"/>
      <c r="I71" s="1079"/>
      <c r="J71" s="684"/>
    </row>
    <row r="72" spans="1:10">
      <c r="H72" s="1079"/>
      <c r="I72" s="1079"/>
      <c r="J72" s="684"/>
    </row>
    <row r="73" spans="1:10">
      <c r="H73" s="1079"/>
      <c r="I73" s="1079"/>
      <c r="J73" s="684"/>
    </row>
    <row r="74" spans="1:10">
      <c r="H74" s="1079"/>
      <c r="I74" s="1079"/>
      <c r="J74" s="684"/>
    </row>
    <row r="75" spans="1:10">
      <c r="H75" s="1079"/>
      <c r="I75" s="1079"/>
      <c r="J75" s="684"/>
    </row>
    <row r="76" spans="1:10">
      <c r="H76" s="1079"/>
      <c r="I76" s="1079"/>
      <c r="J76" s="684"/>
    </row>
    <row r="77" spans="1:10">
      <c r="H77" s="1079"/>
      <c r="I77" s="1079"/>
      <c r="J77" s="684"/>
    </row>
    <row r="78" spans="1:10">
      <c r="H78" s="1079"/>
      <c r="I78" s="1081"/>
      <c r="J78" s="684"/>
    </row>
    <row r="79" spans="1:10">
      <c r="H79" s="1079"/>
      <c r="I79" s="1081"/>
      <c r="J79" s="684"/>
    </row>
    <row r="80" spans="1:10">
      <c r="H80" s="1079"/>
      <c r="I80" s="1079"/>
      <c r="J80" s="684"/>
    </row>
    <row r="81" spans="8:10">
      <c r="H81" s="1079"/>
      <c r="I81" s="1079"/>
      <c r="J81" s="684"/>
    </row>
    <row r="82" spans="8:10">
      <c r="H82" s="1079"/>
      <c r="I82" s="1079"/>
      <c r="J82" s="684"/>
    </row>
    <row r="83" spans="8:10">
      <c r="H83" s="1079"/>
      <c r="I83" s="1079"/>
      <c r="J83" s="684"/>
    </row>
    <row r="84" spans="8:10">
      <c r="H84" s="1079"/>
      <c r="I84" s="1079"/>
      <c r="J84" s="684"/>
    </row>
    <row r="85" spans="8:10">
      <c r="H85" s="1079"/>
      <c r="I85" s="1079"/>
      <c r="J85" s="684"/>
    </row>
    <row r="86" spans="8:10">
      <c r="H86" s="1079"/>
      <c r="I86" s="1079"/>
      <c r="J86" s="684"/>
    </row>
    <row r="87" spans="8:10">
      <c r="H87" s="1079"/>
      <c r="I87" s="1079"/>
      <c r="J87" s="684"/>
    </row>
    <row r="88" spans="8:10">
      <c r="H88" s="1079"/>
      <c r="I88" s="1079"/>
      <c r="J88" s="684"/>
    </row>
    <row r="89" spans="8:10">
      <c r="H89" s="1079"/>
      <c r="I89" s="1079"/>
      <c r="J89" s="684"/>
    </row>
    <row r="90" spans="8:10">
      <c r="H90" s="1079"/>
      <c r="I90" s="1079"/>
      <c r="J90" s="684"/>
    </row>
    <row r="91" spans="8:10">
      <c r="H91" s="1079"/>
      <c r="I91" s="1079"/>
      <c r="J91" s="684"/>
    </row>
    <row r="92" spans="8:10">
      <c r="H92" s="1079"/>
      <c r="I92" s="1079"/>
      <c r="J92" s="684"/>
    </row>
    <row r="93" spans="8:10">
      <c r="H93" s="1082"/>
      <c r="I93" s="1079"/>
      <c r="J93" s="684"/>
    </row>
    <row r="94" spans="8:10">
      <c r="H94" s="684"/>
      <c r="I94" s="684"/>
      <c r="J94" s="684"/>
    </row>
    <row r="95" spans="8:10">
      <c r="H95" s="1083"/>
      <c r="I95" s="1083"/>
      <c r="J95" s="684"/>
    </row>
    <row r="96" spans="8:10">
      <c r="H96" s="1083"/>
      <c r="I96" s="1083"/>
      <c r="J96" s="684"/>
    </row>
    <row r="97" spans="8:10">
      <c r="H97" s="1083"/>
      <c r="I97" s="1083"/>
      <c r="J97" s="684"/>
    </row>
    <row r="98" spans="8:10">
      <c r="H98" s="1083"/>
      <c r="I98" s="1083"/>
      <c r="J98" s="684"/>
    </row>
    <row r="99" spans="8:10">
      <c r="J99" s="684"/>
    </row>
    <row r="100" spans="8:10">
      <c r="J100" s="684"/>
    </row>
    <row r="202" spans="1:1">
      <c r="A202" s="1020" t="s">
        <v>232</v>
      </c>
    </row>
  </sheetData>
  <mergeCells count="25">
    <mergeCell ref="B65:I65"/>
    <mergeCell ref="B55:G55"/>
    <mergeCell ref="A57:G57"/>
    <mergeCell ref="A58:G58"/>
    <mergeCell ref="A59:G59"/>
    <mergeCell ref="A60:N60"/>
    <mergeCell ref="B61:I61"/>
    <mergeCell ref="A54:G54"/>
    <mergeCell ref="A7:I7"/>
    <mergeCell ref="A8:A9"/>
    <mergeCell ref="B8:C8"/>
    <mergeCell ref="D8:E8"/>
    <mergeCell ref="F8:G8"/>
    <mergeCell ref="H8:I8"/>
    <mergeCell ref="A45:M45"/>
    <mergeCell ref="A47:G47"/>
    <mergeCell ref="A49:G49"/>
    <mergeCell ref="A51:G51"/>
    <mergeCell ref="A53:G53"/>
    <mergeCell ref="A6:I6"/>
    <mergeCell ref="A1:I1"/>
    <mergeCell ref="A2:I2"/>
    <mergeCell ref="A3:I3"/>
    <mergeCell ref="A4:I4"/>
    <mergeCell ref="A5:I5"/>
  </mergeCells>
  <printOptions horizontalCentered="1"/>
  <pageMargins left="0.5" right="0.4" top="0.5" bottom="0.25" header="0" footer="0"/>
  <pageSetup scale="74" firstPageNumber="8" fitToHeight="0" orientation="landscape" useFirstPageNumber="1" r:id="rId1"/>
  <headerFooter alignWithMargins="0">
    <oddFooter>&amp;C&amp;"Times New Roman,Regular"Exhibit L - Summary of Requirements by Object Class&amp;R&amp;"Times New Roman,Regular"Public Safety Officers Benefits</oddFooter>
  </headerFooter>
</worksheet>
</file>

<file path=xl/worksheets/sheet53.xml><?xml version="1.0" encoding="utf-8"?>
<worksheet xmlns="http://schemas.openxmlformats.org/spreadsheetml/2006/main" xmlns:r="http://schemas.openxmlformats.org/officeDocument/2006/relationships">
  <sheetPr>
    <pageSetUpPr fitToPage="1"/>
  </sheetPr>
  <dimension ref="A1:Y74"/>
  <sheetViews>
    <sheetView showOutlineSymbols="0" view="pageBreakPreview" zoomScale="65" zoomScaleNormal="80" zoomScaleSheetLayoutView="65" workbookViewId="0">
      <selection activeCell="A68" sqref="A68:V69"/>
    </sheetView>
  </sheetViews>
  <sheetFormatPr defaultColWidth="9.6640625" defaultRowHeight="15.75"/>
  <cols>
    <col min="1" max="2" width="2.5546875" style="663" customWidth="1"/>
    <col min="3" max="3" width="25" style="663" customWidth="1"/>
    <col min="4" max="4" width="6.88671875" style="684" customWidth="1"/>
    <col min="5" max="5" width="6.21875" style="684" customWidth="1"/>
    <col min="6" max="6" width="10.21875" style="684" customWidth="1"/>
    <col min="7" max="7" width="8.44140625" style="684" bestFit="1" customWidth="1"/>
    <col min="8" max="8" width="6.21875" style="684" customWidth="1"/>
    <col min="9" max="9" width="10.5546875" style="684" bestFit="1" customWidth="1"/>
    <col min="10" max="10" width="6.21875" style="684" bestFit="1" customWidth="1"/>
    <col min="11" max="11" width="5.6640625" style="684" customWidth="1"/>
    <col min="12" max="12" width="9.33203125" style="684" bestFit="1" customWidth="1"/>
    <col min="13" max="13" width="7" style="684" bestFit="1" customWidth="1"/>
    <col min="14" max="14" width="6.109375" style="684" customWidth="1"/>
    <col min="15" max="15" width="10.5546875" style="684" bestFit="1" customWidth="1"/>
    <col min="16" max="17" width="5.6640625" style="684" customWidth="1"/>
    <col min="18" max="18" width="10.21875" style="684" bestFit="1" customWidth="1"/>
    <col min="19" max="19" width="4.77734375" style="684" bestFit="1" customWidth="1"/>
    <col min="20" max="20" width="5.6640625" style="684" customWidth="1"/>
    <col min="21" max="21" width="7" style="684" customWidth="1"/>
    <col min="22" max="22" width="9.5546875" style="684" customWidth="1"/>
    <col min="23" max="23" width="9.77734375" style="684" bestFit="1" customWidth="1"/>
    <col min="24" max="24" width="13.21875" style="684" bestFit="1" customWidth="1"/>
    <col min="25" max="25" width="6.5546875" style="745" customWidth="1"/>
    <col min="26" max="26" width="6.5546875" style="663" customWidth="1"/>
    <col min="27" max="27" width="7.6640625" style="663" customWidth="1"/>
    <col min="28" max="16384" width="9.6640625" style="663"/>
  </cols>
  <sheetData>
    <row r="1" spans="1:25" ht="20.25">
      <c r="A1" s="2061" t="s">
        <v>34</v>
      </c>
      <c r="B1" s="2062"/>
      <c r="C1" s="2062"/>
      <c r="D1" s="2062"/>
      <c r="E1" s="2062"/>
      <c r="F1" s="2062"/>
      <c r="G1" s="2062"/>
      <c r="H1" s="2062"/>
      <c r="I1" s="2062"/>
      <c r="J1" s="2062"/>
      <c r="K1" s="2062"/>
      <c r="L1" s="2062"/>
      <c r="M1" s="2062"/>
      <c r="N1" s="2062"/>
      <c r="O1" s="2062"/>
      <c r="P1" s="2062"/>
      <c r="Q1" s="2062"/>
      <c r="R1" s="2062"/>
      <c r="S1" s="2062"/>
      <c r="T1" s="2062"/>
      <c r="U1" s="2062"/>
      <c r="V1" s="2062"/>
      <c r="W1" s="2062"/>
      <c r="X1" s="2062"/>
      <c r="Y1" s="662" t="s">
        <v>0</v>
      </c>
    </row>
    <row r="2" spans="1:25">
      <c r="A2" s="2063"/>
      <c r="B2" s="2063"/>
      <c r="C2" s="2063"/>
      <c r="D2" s="2063"/>
      <c r="E2" s="2063"/>
      <c r="F2" s="2063"/>
      <c r="G2" s="2063"/>
      <c r="H2" s="2063"/>
      <c r="I2" s="2063"/>
      <c r="J2" s="2063"/>
      <c r="K2" s="2063"/>
      <c r="L2" s="2063"/>
      <c r="M2" s="2063"/>
      <c r="N2" s="2063"/>
      <c r="O2" s="2063"/>
      <c r="P2" s="2063"/>
      <c r="Q2" s="2063"/>
      <c r="R2" s="2063"/>
      <c r="S2" s="2063"/>
      <c r="T2" s="2063"/>
      <c r="U2" s="2063"/>
      <c r="V2" s="2063"/>
      <c r="W2" s="2063"/>
      <c r="X2" s="2063"/>
      <c r="Y2" s="662" t="s">
        <v>0</v>
      </c>
    </row>
    <row r="3" spans="1:25">
      <c r="A3" s="2064"/>
      <c r="B3" s="2064"/>
      <c r="C3" s="2064"/>
      <c r="D3" s="2064"/>
      <c r="E3" s="2064"/>
      <c r="F3" s="2064"/>
      <c r="G3" s="2064"/>
      <c r="H3" s="2064"/>
      <c r="I3" s="2064"/>
      <c r="J3" s="2064"/>
      <c r="K3" s="2064"/>
      <c r="L3" s="2064"/>
      <c r="M3" s="2064"/>
      <c r="N3" s="2064"/>
      <c r="O3" s="2064"/>
      <c r="P3" s="2064"/>
      <c r="Q3" s="2064"/>
      <c r="R3" s="2064"/>
      <c r="S3" s="2064"/>
      <c r="T3" s="2064"/>
      <c r="U3" s="2064"/>
      <c r="V3" s="2064"/>
      <c r="W3" s="2064"/>
      <c r="X3" s="2064"/>
      <c r="Y3" s="662" t="s">
        <v>0</v>
      </c>
    </row>
    <row r="4" spans="1:25" ht="22.5">
      <c r="A4" s="2065" t="s">
        <v>267</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662" t="s">
        <v>0</v>
      </c>
    </row>
    <row r="5" spans="1:25" ht="23.25">
      <c r="A5" s="2059" t="s">
        <v>362</v>
      </c>
      <c r="B5" s="2066"/>
      <c r="C5" s="2066"/>
      <c r="D5" s="2066"/>
      <c r="E5" s="2066"/>
      <c r="F5" s="2066"/>
      <c r="G5" s="2066"/>
      <c r="H5" s="2066"/>
      <c r="I5" s="2066"/>
      <c r="J5" s="2066"/>
      <c r="K5" s="2066"/>
      <c r="L5" s="2066"/>
      <c r="M5" s="2066"/>
      <c r="N5" s="2066"/>
      <c r="O5" s="2066"/>
      <c r="P5" s="2066"/>
      <c r="Q5" s="2066"/>
      <c r="R5" s="2066"/>
      <c r="S5" s="2066"/>
      <c r="T5" s="2066"/>
      <c r="U5" s="2066"/>
      <c r="V5" s="2066"/>
      <c r="W5" s="2066"/>
      <c r="X5" s="2066"/>
      <c r="Y5" s="662" t="s">
        <v>0</v>
      </c>
    </row>
    <row r="6" spans="1:25" ht="23.25">
      <c r="A6" s="2059" t="s">
        <v>373</v>
      </c>
      <c r="B6" s="2060"/>
      <c r="C6" s="2060"/>
      <c r="D6" s="2060"/>
      <c r="E6" s="2060"/>
      <c r="F6" s="2060"/>
      <c r="G6" s="2060"/>
      <c r="H6" s="2060"/>
      <c r="I6" s="2060"/>
      <c r="J6" s="2060"/>
      <c r="K6" s="2060"/>
      <c r="L6" s="2060"/>
      <c r="M6" s="2060"/>
      <c r="N6" s="2060"/>
      <c r="O6" s="2060"/>
      <c r="P6" s="2060"/>
      <c r="Q6" s="2060"/>
      <c r="R6" s="2060"/>
      <c r="S6" s="2060"/>
      <c r="T6" s="2060"/>
      <c r="U6" s="2060"/>
      <c r="V6" s="2060"/>
      <c r="W6" s="2060"/>
      <c r="X6" s="2060"/>
      <c r="Y6" s="662" t="s">
        <v>0</v>
      </c>
    </row>
    <row r="7" spans="1:25" ht="23.25">
      <c r="A7" s="2059" t="s">
        <v>257</v>
      </c>
      <c r="B7" s="2066"/>
      <c r="C7" s="2066"/>
      <c r="D7" s="2066"/>
      <c r="E7" s="2066"/>
      <c r="F7" s="2066"/>
      <c r="G7" s="2066"/>
      <c r="H7" s="2066"/>
      <c r="I7" s="2066"/>
      <c r="J7" s="2066"/>
      <c r="K7" s="2066"/>
      <c r="L7" s="2066"/>
      <c r="M7" s="2066"/>
      <c r="N7" s="2066"/>
      <c r="O7" s="2066"/>
      <c r="P7" s="2066"/>
      <c r="Q7" s="2066"/>
      <c r="R7" s="2066"/>
      <c r="S7" s="2066"/>
      <c r="T7" s="2066"/>
      <c r="U7" s="2066"/>
      <c r="V7" s="2066"/>
      <c r="W7" s="2066"/>
      <c r="X7" s="2066"/>
      <c r="Y7" s="662" t="s">
        <v>0</v>
      </c>
    </row>
    <row r="8" spans="1:25" ht="23.25">
      <c r="A8" s="2067"/>
      <c r="B8" s="2067"/>
      <c r="C8" s="2067"/>
      <c r="D8" s="2067"/>
      <c r="E8" s="2067"/>
      <c r="F8" s="2067"/>
      <c r="G8" s="2067"/>
      <c r="H8" s="2067"/>
      <c r="I8" s="2067"/>
      <c r="J8" s="2067"/>
      <c r="K8" s="2067"/>
      <c r="L8" s="2067"/>
      <c r="M8" s="2067"/>
      <c r="N8" s="2067"/>
      <c r="O8" s="2067"/>
      <c r="P8" s="2067"/>
      <c r="Q8" s="2067"/>
      <c r="R8" s="2067"/>
      <c r="S8" s="2067"/>
      <c r="T8" s="2067"/>
      <c r="U8" s="2067"/>
      <c r="V8" s="2067"/>
      <c r="W8" s="2067"/>
      <c r="X8" s="2067"/>
      <c r="Y8" s="662" t="s">
        <v>0</v>
      </c>
    </row>
    <row r="9" spans="1:25" ht="23.25">
      <c r="A9" s="2067"/>
      <c r="B9" s="2067"/>
      <c r="C9" s="2067"/>
      <c r="D9" s="2067"/>
      <c r="E9" s="2067"/>
      <c r="F9" s="2067"/>
      <c r="G9" s="2067"/>
      <c r="H9" s="2067"/>
      <c r="I9" s="2067"/>
      <c r="J9" s="2067"/>
      <c r="K9" s="2067"/>
      <c r="L9" s="2067"/>
      <c r="M9" s="2067"/>
      <c r="N9" s="2067"/>
      <c r="O9" s="2067"/>
      <c r="P9" s="2067"/>
      <c r="Q9" s="2067"/>
      <c r="R9" s="2067"/>
      <c r="S9" s="2067"/>
      <c r="T9" s="2067"/>
      <c r="U9" s="2067"/>
      <c r="V9" s="2067"/>
      <c r="W9" s="2067"/>
      <c r="X9" s="2067"/>
      <c r="Y9" s="662" t="s">
        <v>0</v>
      </c>
    </row>
    <row r="10" spans="1:25" ht="23.25">
      <c r="A10" s="2067"/>
      <c r="B10" s="2067"/>
      <c r="C10" s="2067"/>
      <c r="D10" s="2067"/>
      <c r="E10" s="2067"/>
      <c r="F10" s="2067"/>
      <c r="G10" s="2067"/>
      <c r="H10" s="2067"/>
      <c r="I10" s="2067"/>
      <c r="J10" s="2067"/>
      <c r="K10" s="2067"/>
      <c r="L10" s="2067"/>
      <c r="M10" s="2067"/>
      <c r="N10" s="2067"/>
      <c r="O10" s="2067"/>
      <c r="P10" s="2067"/>
      <c r="Q10" s="2067"/>
      <c r="R10" s="2067"/>
      <c r="S10" s="2067"/>
      <c r="T10" s="2067"/>
      <c r="U10" s="2067"/>
      <c r="V10" s="2067"/>
      <c r="W10" s="2067"/>
      <c r="X10" s="2067"/>
      <c r="Y10" s="662" t="s">
        <v>0</v>
      </c>
    </row>
    <row r="11" spans="1:25">
      <c r="A11" s="2064"/>
      <c r="B11" s="2064"/>
      <c r="C11" s="2064"/>
      <c r="D11" s="2064"/>
      <c r="E11" s="2064"/>
      <c r="F11" s="2064"/>
      <c r="G11" s="2064"/>
      <c r="H11" s="2064"/>
      <c r="I11" s="2064"/>
      <c r="J11" s="2064"/>
      <c r="K11" s="2064"/>
      <c r="L11" s="2064"/>
      <c r="M11" s="2064"/>
      <c r="N11" s="2064"/>
      <c r="O11" s="2064"/>
      <c r="P11" s="2064"/>
      <c r="Q11" s="2064"/>
      <c r="R11" s="2064"/>
      <c r="S11" s="2064"/>
      <c r="T11" s="2064"/>
      <c r="U11" s="2068"/>
      <c r="V11" s="2071" t="s">
        <v>40</v>
      </c>
      <c r="W11" s="2072"/>
      <c r="X11" s="2073"/>
      <c r="Y11" s="662" t="s">
        <v>0</v>
      </c>
    </row>
    <row r="12" spans="1:25">
      <c r="A12" s="2064"/>
      <c r="B12" s="2064"/>
      <c r="C12" s="2064"/>
      <c r="D12" s="2064"/>
      <c r="E12" s="2064"/>
      <c r="F12" s="2064"/>
      <c r="G12" s="2064"/>
      <c r="H12" s="2064"/>
      <c r="I12" s="2064"/>
      <c r="J12" s="2064"/>
      <c r="K12" s="2064"/>
      <c r="L12" s="2064"/>
      <c r="M12" s="2064"/>
      <c r="N12" s="2064"/>
      <c r="O12" s="2064"/>
      <c r="P12" s="2064"/>
      <c r="Q12" s="2064"/>
      <c r="R12" s="2064"/>
      <c r="S12" s="2064"/>
      <c r="T12" s="2064"/>
      <c r="U12" s="2068"/>
      <c r="V12" s="2074" t="s">
        <v>21</v>
      </c>
      <c r="W12" s="2076" t="s">
        <v>49</v>
      </c>
      <c r="X12" s="2078" t="s">
        <v>279</v>
      </c>
      <c r="Y12" s="662" t="s">
        <v>0</v>
      </c>
    </row>
    <row r="13" spans="1:25" ht="16.5" thickBot="1">
      <c r="A13" s="2069"/>
      <c r="B13" s="2069"/>
      <c r="C13" s="2069"/>
      <c r="D13" s="2069"/>
      <c r="E13" s="2069"/>
      <c r="F13" s="2069"/>
      <c r="G13" s="2069"/>
      <c r="H13" s="2069"/>
      <c r="I13" s="2069"/>
      <c r="J13" s="2069"/>
      <c r="K13" s="2069"/>
      <c r="L13" s="2069"/>
      <c r="M13" s="2069"/>
      <c r="N13" s="2069"/>
      <c r="O13" s="2069"/>
      <c r="P13" s="2069"/>
      <c r="Q13" s="2069"/>
      <c r="R13" s="2069"/>
      <c r="S13" s="2069"/>
      <c r="T13" s="2069"/>
      <c r="U13" s="2070"/>
      <c r="V13" s="2075"/>
      <c r="W13" s="2077"/>
      <c r="X13" s="2077"/>
      <c r="Y13" s="662" t="s">
        <v>0</v>
      </c>
    </row>
    <row r="14" spans="1:25">
      <c r="A14" s="2081" t="s">
        <v>116</v>
      </c>
      <c r="B14" s="2082"/>
      <c r="C14" s="2082"/>
      <c r="D14" s="2082"/>
      <c r="E14" s="2082"/>
      <c r="F14" s="2082"/>
      <c r="G14" s="2082"/>
      <c r="H14" s="2082"/>
      <c r="I14" s="2082"/>
      <c r="J14" s="2082"/>
      <c r="K14" s="2082"/>
      <c r="L14" s="2082"/>
      <c r="M14" s="2082"/>
      <c r="N14" s="2082"/>
      <c r="O14" s="2082"/>
      <c r="P14" s="2082"/>
      <c r="Q14" s="2082"/>
      <c r="R14" s="2082"/>
      <c r="S14" s="2082"/>
      <c r="T14" s="2082"/>
      <c r="U14" s="2082"/>
      <c r="V14" s="664">
        <v>0</v>
      </c>
      <c r="W14" s="664">
        <v>0</v>
      </c>
      <c r="X14" s="665">
        <v>705000</v>
      </c>
      <c r="Y14" s="662" t="s">
        <v>0</v>
      </c>
    </row>
    <row r="15" spans="1:25" ht="20.25" customHeight="1">
      <c r="A15" s="2083" t="s">
        <v>242</v>
      </c>
      <c r="B15" s="2084"/>
      <c r="C15" s="2084"/>
      <c r="D15" s="2084"/>
      <c r="E15" s="2084"/>
      <c r="F15" s="2084"/>
      <c r="G15" s="2084"/>
      <c r="H15" s="2084"/>
      <c r="I15" s="2084"/>
      <c r="J15" s="2084"/>
      <c r="K15" s="2084"/>
      <c r="L15" s="2084"/>
      <c r="M15" s="2084"/>
      <c r="N15" s="2084"/>
      <c r="O15" s="2084"/>
      <c r="P15" s="2084"/>
      <c r="Q15" s="2084"/>
      <c r="R15" s="2084"/>
      <c r="S15" s="2084"/>
      <c r="T15" s="2084"/>
      <c r="U15" s="2084"/>
      <c r="V15" s="666"/>
      <c r="W15" s="666"/>
      <c r="X15" s="667"/>
      <c r="Y15" s="662" t="s">
        <v>0</v>
      </c>
    </row>
    <row r="16" spans="1:25">
      <c r="A16" s="2087" t="s">
        <v>117</v>
      </c>
      <c r="B16" s="2088"/>
      <c r="C16" s="2088"/>
      <c r="D16" s="2088"/>
      <c r="E16" s="2088"/>
      <c r="F16" s="2088"/>
      <c r="G16" s="2088"/>
      <c r="H16" s="2088"/>
      <c r="I16" s="2088"/>
      <c r="J16" s="2088"/>
      <c r="K16" s="2088"/>
      <c r="L16" s="2088"/>
      <c r="M16" s="2088"/>
      <c r="N16" s="2088"/>
      <c r="O16" s="2088"/>
      <c r="P16" s="2088"/>
      <c r="Q16" s="2088"/>
      <c r="R16" s="2088"/>
      <c r="S16" s="2088"/>
      <c r="T16" s="2088"/>
      <c r="U16" s="2088"/>
      <c r="V16" s="668">
        <f>+V15+V14</f>
        <v>0</v>
      </c>
      <c r="W16" s="668">
        <f>+W15+W14</f>
        <v>0</v>
      </c>
      <c r="X16" s="669">
        <f>+X15+X14</f>
        <v>705000</v>
      </c>
      <c r="Y16" s="662" t="s">
        <v>0</v>
      </c>
    </row>
    <row r="17" spans="1:25">
      <c r="A17" s="2081" t="s">
        <v>353</v>
      </c>
      <c r="B17" s="2082"/>
      <c r="C17" s="2082"/>
      <c r="D17" s="2082"/>
      <c r="E17" s="2082"/>
      <c r="F17" s="2082"/>
      <c r="G17" s="2082"/>
      <c r="H17" s="2082"/>
      <c r="I17" s="2082"/>
      <c r="J17" s="2082"/>
      <c r="K17" s="2082"/>
      <c r="L17" s="2082"/>
      <c r="M17" s="2082"/>
      <c r="N17" s="2082"/>
      <c r="O17" s="2082"/>
      <c r="P17" s="2082"/>
      <c r="Q17" s="2082"/>
      <c r="R17" s="2082"/>
      <c r="S17" s="2082"/>
      <c r="T17" s="2082"/>
      <c r="U17" s="2082"/>
      <c r="V17" s="670"/>
      <c r="W17" s="670"/>
      <c r="X17" s="671">
        <v>705000</v>
      </c>
      <c r="Y17" s="662" t="s">
        <v>0</v>
      </c>
    </row>
    <row r="18" spans="1:25" ht="18.75" customHeight="1">
      <c r="A18" s="2089" t="s">
        <v>41</v>
      </c>
      <c r="B18" s="2090"/>
      <c r="C18" s="2090"/>
      <c r="D18" s="2090"/>
      <c r="E18" s="2090"/>
      <c r="F18" s="2090"/>
      <c r="G18" s="2090"/>
      <c r="H18" s="2090"/>
      <c r="I18" s="2090"/>
      <c r="J18" s="2090"/>
      <c r="K18" s="2090"/>
      <c r="L18" s="2090"/>
      <c r="M18" s="2090"/>
      <c r="N18" s="2090"/>
      <c r="O18" s="2090"/>
      <c r="P18" s="2090"/>
      <c r="Q18" s="2090"/>
      <c r="R18" s="2090"/>
      <c r="S18" s="2090"/>
      <c r="T18" s="2090"/>
      <c r="U18" s="2090"/>
      <c r="V18" s="672"/>
      <c r="W18" s="672"/>
      <c r="X18" s="673"/>
      <c r="Y18" s="662" t="s">
        <v>0</v>
      </c>
    </row>
    <row r="19" spans="1:25">
      <c r="A19" s="2091" t="s">
        <v>354</v>
      </c>
      <c r="B19" s="2092"/>
      <c r="C19" s="2092"/>
      <c r="D19" s="2092"/>
      <c r="E19" s="2092"/>
      <c r="F19" s="2092"/>
      <c r="G19" s="2092"/>
      <c r="H19" s="2092"/>
      <c r="I19" s="2092"/>
      <c r="J19" s="2092"/>
      <c r="K19" s="2092"/>
      <c r="L19" s="2092"/>
      <c r="M19" s="2092"/>
      <c r="N19" s="2092"/>
      <c r="O19" s="2092"/>
      <c r="P19" s="2092"/>
      <c r="Q19" s="2092"/>
      <c r="R19" s="2092"/>
      <c r="S19" s="2092"/>
      <c r="T19" s="2092"/>
      <c r="U19" s="2092"/>
      <c r="V19" s="674">
        <f>+V18+V17</f>
        <v>0</v>
      </c>
      <c r="W19" s="674">
        <f>+W18+W17</f>
        <v>0</v>
      </c>
      <c r="X19" s="675">
        <f>+X18+X17</f>
        <v>705000</v>
      </c>
      <c r="Y19" s="662" t="s">
        <v>0</v>
      </c>
    </row>
    <row r="20" spans="1:25">
      <c r="A20" s="2096" t="s">
        <v>38</v>
      </c>
      <c r="B20" s="2097"/>
      <c r="C20" s="2097"/>
      <c r="D20" s="2097"/>
      <c r="E20" s="2097"/>
      <c r="F20" s="2097"/>
      <c r="G20" s="2097"/>
      <c r="H20" s="2097"/>
      <c r="I20" s="2097"/>
      <c r="J20" s="2097"/>
      <c r="K20" s="2097"/>
      <c r="L20" s="2097"/>
      <c r="M20" s="2097"/>
      <c r="N20" s="2097"/>
      <c r="O20" s="2097"/>
      <c r="P20" s="2097"/>
      <c r="Q20" s="2097"/>
      <c r="R20" s="2097"/>
      <c r="S20" s="2097"/>
      <c r="T20" s="2097"/>
      <c r="U20" s="2097"/>
      <c r="V20" s="676">
        <v>0</v>
      </c>
      <c r="W20" s="676">
        <v>0</v>
      </c>
      <c r="X20" s="676">
        <v>0</v>
      </c>
      <c r="Y20" s="662" t="s">
        <v>0</v>
      </c>
    </row>
    <row r="21" spans="1:25">
      <c r="A21" s="2100" t="s">
        <v>244</v>
      </c>
      <c r="B21" s="2101"/>
      <c r="C21" s="2101"/>
      <c r="D21" s="2101"/>
      <c r="E21" s="2101"/>
      <c r="F21" s="2101"/>
      <c r="G21" s="2101"/>
      <c r="H21" s="2101"/>
      <c r="I21" s="2101"/>
      <c r="J21" s="2101"/>
      <c r="K21" s="2101"/>
      <c r="L21" s="2101"/>
      <c r="M21" s="2101"/>
      <c r="N21" s="2101"/>
      <c r="O21" s="2101"/>
      <c r="P21" s="2101"/>
      <c r="Q21" s="2101"/>
      <c r="R21" s="2101"/>
      <c r="S21" s="2101"/>
      <c r="T21" s="2101"/>
      <c r="U21" s="2102"/>
      <c r="V21" s="677">
        <f>SUM(V20)</f>
        <v>0</v>
      </c>
      <c r="W21" s="677">
        <f>+W20+W19</f>
        <v>0</v>
      </c>
      <c r="X21" s="677">
        <f>+X20+X19</f>
        <v>705000</v>
      </c>
      <c r="Y21" s="662" t="s">
        <v>0</v>
      </c>
    </row>
    <row r="22" spans="1:25">
      <c r="A22" s="2079" t="s">
        <v>105</v>
      </c>
      <c r="B22" s="2080"/>
      <c r="C22" s="2080"/>
      <c r="D22" s="2080"/>
      <c r="E22" s="2080"/>
      <c r="F22" s="2080"/>
      <c r="G22" s="2080"/>
      <c r="H22" s="2080"/>
      <c r="I22" s="2080"/>
      <c r="J22" s="2080"/>
      <c r="K22" s="2080"/>
      <c r="L22" s="2080"/>
      <c r="M22" s="2080"/>
      <c r="N22" s="2080"/>
      <c r="O22" s="2080"/>
      <c r="P22" s="2080"/>
      <c r="Q22" s="2080"/>
      <c r="R22" s="2080"/>
      <c r="S22" s="2080"/>
      <c r="T22" s="2080"/>
      <c r="U22" s="2080"/>
      <c r="V22" s="676"/>
      <c r="W22" s="676"/>
      <c r="X22" s="667"/>
      <c r="Y22" s="662" t="s">
        <v>0</v>
      </c>
    </row>
    <row r="23" spans="1:25">
      <c r="A23" s="2096" t="s">
        <v>280</v>
      </c>
      <c r="B23" s="2097"/>
      <c r="C23" s="2097"/>
      <c r="D23" s="2097"/>
      <c r="E23" s="2097"/>
      <c r="F23" s="2097"/>
      <c r="G23" s="2097"/>
      <c r="H23" s="2097"/>
      <c r="I23" s="2097"/>
      <c r="J23" s="2097"/>
      <c r="K23" s="2097"/>
      <c r="L23" s="2097"/>
      <c r="M23" s="2097"/>
      <c r="N23" s="2097"/>
      <c r="O23" s="2097"/>
      <c r="P23" s="2097"/>
      <c r="Q23" s="2097"/>
      <c r="R23" s="2097"/>
      <c r="S23" s="2097"/>
      <c r="T23" s="2097"/>
      <c r="U23" s="2097"/>
      <c r="V23" s="676" t="s">
        <v>278</v>
      </c>
      <c r="W23" s="676"/>
      <c r="X23" s="667"/>
      <c r="Y23" s="662" t="s">
        <v>0</v>
      </c>
    </row>
    <row r="24" spans="1:25">
      <c r="A24" s="2105" t="s">
        <v>688</v>
      </c>
      <c r="B24" s="2106"/>
      <c r="C24" s="2106"/>
      <c r="D24" s="2106"/>
      <c r="E24" s="2106"/>
      <c r="F24" s="2106"/>
      <c r="G24" s="2106"/>
      <c r="H24" s="2106"/>
      <c r="I24" s="2106"/>
      <c r="J24" s="2106"/>
      <c r="K24" s="2106"/>
      <c r="L24" s="2106"/>
      <c r="M24" s="2106"/>
      <c r="N24" s="2106"/>
      <c r="O24" s="2106"/>
      <c r="P24" s="2106"/>
      <c r="Q24" s="2106"/>
      <c r="R24" s="2106"/>
      <c r="S24" s="2106"/>
      <c r="T24" s="2106"/>
      <c r="U24" s="2107"/>
      <c r="V24" s="676"/>
      <c r="W24" s="676"/>
      <c r="X24" s="667">
        <v>145000</v>
      </c>
      <c r="Y24" s="662" t="s">
        <v>0</v>
      </c>
    </row>
    <row r="25" spans="1:25">
      <c r="A25" s="2103" t="s">
        <v>107</v>
      </c>
      <c r="B25" s="2104"/>
      <c r="C25" s="2104"/>
      <c r="D25" s="2104"/>
      <c r="E25" s="2104"/>
      <c r="F25" s="2104"/>
      <c r="G25" s="2104"/>
      <c r="H25" s="2104"/>
      <c r="I25" s="2104"/>
      <c r="J25" s="2104"/>
      <c r="K25" s="2104"/>
      <c r="L25" s="2104"/>
      <c r="M25" s="2104"/>
      <c r="N25" s="2104"/>
      <c r="O25" s="2104"/>
      <c r="P25" s="2104"/>
      <c r="Q25" s="2104"/>
      <c r="R25" s="2104"/>
      <c r="S25" s="2104"/>
      <c r="T25" s="2104"/>
      <c r="U25" s="2104"/>
      <c r="V25" s="679">
        <f>SUM(V24:V24)</f>
        <v>0</v>
      </c>
      <c r="W25" s="667">
        <f>SUM(W24:W24)</f>
        <v>0</v>
      </c>
      <c r="X25" s="667">
        <f>SUM(X24:X24)</f>
        <v>145000</v>
      </c>
      <c r="Y25" s="662" t="s">
        <v>0</v>
      </c>
    </row>
    <row r="26" spans="1:25" ht="18" customHeight="1">
      <c r="A26" s="2096" t="s">
        <v>106</v>
      </c>
      <c r="B26" s="2097"/>
      <c r="C26" s="2097"/>
      <c r="D26" s="2097"/>
      <c r="E26" s="2097"/>
      <c r="F26" s="2097"/>
      <c r="G26" s="2097"/>
      <c r="H26" s="2097"/>
      <c r="I26" s="2097"/>
      <c r="J26" s="2097"/>
      <c r="K26" s="2097"/>
      <c r="L26" s="2097"/>
      <c r="M26" s="2097"/>
      <c r="N26" s="2097"/>
      <c r="O26" s="2097"/>
      <c r="P26" s="2097"/>
      <c r="Q26" s="2097"/>
      <c r="R26" s="2097"/>
      <c r="S26" s="2097"/>
      <c r="T26" s="2097"/>
      <c r="U26" s="2097"/>
      <c r="V26" s="681">
        <f>SUM(V25)</f>
        <v>0</v>
      </c>
      <c r="W26" s="681">
        <f>SUM(W25)</f>
        <v>0</v>
      </c>
      <c r="X26" s="681">
        <f>SUM(X25)</f>
        <v>145000</v>
      </c>
      <c r="Y26" s="662" t="s">
        <v>0</v>
      </c>
    </row>
    <row r="27" spans="1:25" ht="18" customHeight="1">
      <c r="A27" s="2108" t="s">
        <v>245</v>
      </c>
      <c r="B27" s="2109"/>
      <c r="C27" s="2109"/>
      <c r="D27" s="2109"/>
      <c r="E27" s="2109"/>
      <c r="F27" s="2109"/>
      <c r="G27" s="2109"/>
      <c r="H27" s="2109"/>
      <c r="I27" s="2109"/>
      <c r="J27" s="2109"/>
      <c r="K27" s="2109"/>
      <c r="L27" s="2109"/>
      <c r="M27" s="2109"/>
      <c r="N27" s="2109"/>
      <c r="O27" s="2109"/>
      <c r="P27" s="2109"/>
      <c r="Q27" s="2109"/>
      <c r="R27" s="2109"/>
      <c r="S27" s="2109"/>
      <c r="T27" s="2109"/>
      <c r="U27" s="2109"/>
      <c r="V27" s="683">
        <f>V21+V26</f>
        <v>0</v>
      </c>
      <c r="W27" s="683">
        <f>W21+W26</f>
        <v>0</v>
      </c>
      <c r="X27" s="683">
        <f>X21+X26</f>
        <v>850000</v>
      </c>
      <c r="Y27" s="662" t="s">
        <v>0</v>
      </c>
    </row>
    <row r="28" spans="1:25" ht="18" customHeight="1">
      <c r="A28" s="2110" t="s">
        <v>360</v>
      </c>
      <c r="B28" s="2109"/>
      <c r="C28" s="2109"/>
      <c r="D28" s="2109"/>
      <c r="E28" s="2109"/>
      <c r="F28" s="2109"/>
      <c r="G28" s="2109"/>
      <c r="H28" s="2109"/>
      <c r="I28" s="2109"/>
      <c r="J28" s="2109"/>
      <c r="K28" s="2109"/>
      <c r="L28" s="2109"/>
      <c r="M28" s="2109"/>
      <c r="N28" s="2109"/>
      <c r="O28" s="2109"/>
      <c r="P28" s="2109"/>
      <c r="Q28" s="2109"/>
      <c r="R28" s="2109"/>
      <c r="S28" s="2109"/>
      <c r="T28" s="2109"/>
      <c r="U28" s="2109"/>
      <c r="V28" s="682">
        <f>+V27-V16</f>
        <v>0</v>
      </c>
      <c r="W28" s="682">
        <f>+W27-W16</f>
        <v>0</v>
      </c>
      <c r="X28" s="682">
        <f>+X27-X16</f>
        <v>145000</v>
      </c>
      <c r="Y28" s="662" t="s">
        <v>0</v>
      </c>
    </row>
    <row r="29" spans="1:25">
      <c r="Y29" s="662" t="s">
        <v>0</v>
      </c>
    </row>
    <row r="30" spans="1:25" ht="18" customHeight="1">
      <c r="Y30" s="662" t="s">
        <v>0</v>
      </c>
    </row>
    <row r="31" spans="1:25" ht="18" customHeight="1">
      <c r="Y31" s="662" t="s">
        <v>0</v>
      </c>
    </row>
    <row r="32" spans="1:25" ht="18" customHeight="1">
      <c r="Y32" s="662" t="s">
        <v>0</v>
      </c>
    </row>
    <row r="33" spans="1:25" ht="18" customHeight="1">
      <c r="Y33" s="662" t="s">
        <v>0</v>
      </c>
    </row>
    <row r="34" spans="1:25" ht="18" customHeight="1">
      <c r="Y34" s="662" t="s">
        <v>0</v>
      </c>
    </row>
    <row r="35" spans="1:25" ht="18" customHeight="1">
      <c r="Y35" s="662" t="s">
        <v>0</v>
      </c>
    </row>
    <row r="36" spans="1:25" ht="18" customHeight="1">
      <c r="Y36" s="662" t="s">
        <v>0</v>
      </c>
    </row>
    <row r="37" spans="1:25" ht="18" customHeight="1">
      <c r="Y37" s="662" t="s">
        <v>0</v>
      </c>
    </row>
    <row r="38" spans="1:25" ht="22.5">
      <c r="A38" s="2065" t="s">
        <v>267</v>
      </c>
      <c r="B38" s="2060"/>
      <c r="C38" s="2060"/>
      <c r="D38" s="2060"/>
      <c r="E38" s="2060"/>
      <c r="F38" s="2060"/>
      <c r="G38" s="2060"/>
      <c r="H38" s="2060"/>
      <c r="I38" s="2060"/>
      <c r="J38" s="2060"/>
      <c r="K38" s="2060"/>
      <c r="L38" s="2060"/>
      <c r="M38" s="2060"/>
      <c r="N38" s="2060"/>
      <c r="O38" s="2060"/>
      <c r="P38" s="2060"/>
      <c r="Q38" s="2060"/>
      <c r="R38" s="2060"/>
      <c r="S38" s="2060"/>
      <c r="T38" s="2060"/>
      <c r="U38" s="2060"/>
      <c r="V38" s="2060"/>
      <c r="W38" s="2060"/>
      <c r="X38" s="2060"/>
      <c r="Y38" s="662" t="s">
        <v>0</v>
      </c>
    </row>
    <row r="39" spans="1:25" ht="23.25">
      <c r="A39" s="2059" t="str">
        <f>A5</f>
        <v>Office of Justice Programs</v>
      </c>
      <c r="B39" s="2111"/>
      <c r="C39" s="2111"/>
      <c r="D39" s="2111"/>
      <c r="E39" s="2111"/>
      <c r="F39" s="2111"/>
      <c r="G39" s="2111"/>
      <c r="H39" s="2111"/>
      <c r="I39" s="2111"/>
      <c r="J39" s="2111"/>
      <c r="K39" s="2111"/>
      <c r="L39" s="2111"/>
      <c r="M39" s="2111"/>
      <c r="N39" s="2111"/>
      <c r="O39" s="2111"/>
      <c r="P39" s="2111"/>
      <c r="Q39" s="2111"/>
      <c r="R39" s="2111"/>
      <c r="S39" s="2111"/>
      <c r="T39" s="2111"/>
      <c r="U39" s="2111"/>
      <c r="V39" s="2111"/>
      <c r="W39" s="2111"/>
      <c r="X39" s="2111"/>
      <c r="Y39" s="662" t="s">
        <v>0</v>
      </c>
    </row>
    <row r="40" spans="1:25" ht="23.25">
      <c r="A40" s="2059" t="str">
        <f>A6</f>
        <v>Crime Victims Fund</v>
      </c>
      <c r="B40" s="2060"/>
      <c r="C40" s="2060"/>
      <c r="D40" s="2060"/>
      <c r="E40" s="2060"/>
      <c r="F40" s="2060"/>
      <c r="G40" s="2060"/>
      <c r="H40" s="2060"/>
      <c r="I40" s="2060"/>
      <c r="J40" s="2060"/>
      <c r="K40" s="2060"/>
      <c r="L40" s="2060"/>
      <c r="M40" s="2060"/>
      <c r="N40" s="2060"/>
      <c r="O40" s="2060"/>
      <c r="P40" s="2060"/>
      <c r="Q40" s="2060"/>
      <c r="R40" s="2060"/>
      <c r="S40" s="2060"/>
      <c r="T40" s="2060"/>
      <c r="U40" s="2060"/>
      <c r="V40" s="2060"/>
      <c r="W40" s="2060"/>
      <c r="X40" s="2060"/>
      <c r="Y40" s="662" t="s">
        <v>0</v>
      </c>
    </row>
    <row r="41" spans="1:25" ht="23.25">
      <c r="A41" s="2059" t="s">
        <v>257</v>
      </c>
      <c r="B41" s="2066"/>
      <c r="C41" s="2066"/>
      <c r="D41" s="2066"/>
      <c r="E41" s="2066"/>
      <c r="F41" s="2066"/>
      <c r="G41" s="2066"/>
      <c r="H41" s="2066"/>
      <c r="I41" s="2066"/>
      <c r="J41" s="2066"/>
      <c r="K41" s="2066"/>
      <c r="L41" s="2066"/>
      <c r="M41" s="2066"/>
      <c r="N41" s="2066"/>
      <c r="O41" s="2066"/>
      <c r="P41" s="2066"/>
      <c r="Q41" s="2066"/>
      <c r="R41" s="2066"/>
      <c r="S41" s="2066"/>
      <c r="T41" s="2066"/>
      <c r="U41" s="2066"/>
      <c r="V41" s="2066"/>
      <c r="W41" s="2066"/>
      <c r="X41" s="2066"/>
      <c r="Y41" s="662" t="s">
        <v>0</v>
      </c>
    </row>
    <row r="42" spans="1:25" ht="18" customHeight="1">
      <c r="Y42" s="662" t="s">
        <v>0</v>
      </c>
    </row>
    <row r="43" spans="1:25" ht="18" customHeight="1">
      <c r="Y43" s="662" t="s">
        <v>0</v>
      </c>
    </row>
    <row r="44" spans="1:25" ht="18" customHeight="1">
      <c r="Y44" s="662" t="s">
        <v>0</v>
      </c>
    </row>
    <row r="45" spans="1:25" ht="18" customHeight="1">
      <c r="Y45" s="662" t="s">
        <v>0</v>
      </c>
    </row>
    <row r="46" spans="1:25" ht="18" customHeight="1">
      <c r="A46" s="685"/>
      <c r="B46" s="685"/>
      <c r="C46" s="685"/>
      <c r="D46" s="686"/>
      <c r="E46" s="686"/>
      <c r="F46" s="686"/>
      <c r="G46" s="686"/>
      <c r="H46" s="686"/>
      <c r="I46" s="686"/>
      <c r="J46" s="686"/>
      <c r="K46" s="686"/>
      <c r="L46" s="686"/>
      <c r="M46" s="686"/>
      <c r="N46" s="686"/>
      <c r="O46" s="686"/>
      <c r="P46" s="686"/>
      <c r="Q46" s="686"/>
      <c r="R46" s="686"/>
      <c r="S46" s="686"/>
      <c r="T46" s="686"/>
      <c r="U46" s="686"/>
      <c r="V46" s="686"/>
      <c r="W46" s="686"/>
      <c r="X46" s="686"/>
      <c r="Y46" s="662" t="s">
        <v>0</v>
      </c>
    </row>
    <row r="47" spans="1:25" ht="22.5" customHeight="1">
      <c r="A47" s="2112" t="s">
        <v>276</v>
      </c>
      <c r="B47" s="2113"/>
      <c r="C47" s="2113"/>
      <c r="D47" s="2118" t="s">
        <v>18</v>
      </c>
      <c r="E47" s="2119"/>
      <c r="F47" s="2120"/>
      <c r="G47" s="2124" t="s">
        <v>355</v>
      </c>
      <c r="H47" s="2125"/>
      <c r="I47" s="2126"/>
      <c r="J47" s="2118" t="s">
        <v>246</v>
      </c>
      <c r="K47" s="2119"/>
      <c r="L47" s="2120"/>
      <c r="M47" s="2118" t="s">
        <v>244</v>
      </c>
      <c r="N47" s="2119"/>
      <c r="O47" s="2120"/>
      <c r="P47" s="2118" t="s">
        <v>247</v>
      </c>
      <c r="Q47" s="2130"/>
      <c r="R47" s="2130"/>
      <c r="S47" s="2118" t="s">
        <v>248</v>
      </c>
      <c r="T47" s="2119"/>
      <c r="U47" s="2119"/>
      <c r="V47" s="2118" t="s">
        <v>42</v>
      </c>
      <c r="W47" s="2119"/>
      <c r="X47" s="2120"/>
      <c r="Y47" s="662" t="s">
        <v>0</v>
      </c>
    </row>
    <row r="48" spans="1:25" ht="27.75" customHeight="1">
      <c r="A48" s="2114"/>
      <c r="B48" s="2115"/>
      <c r="C48" s="2115"/>
      <c r="D48" s="2121"/>
      <c r="E48" s="2122"/>
      <c r="F48" s="2123"/>
      <c r="G48" s="2127"/>
      <c r="H48" s="2128"/>
      <c r="I48" s="2129"/>
      <c r="J48" s="2121"/>
      <c r="K48" s="2122"/>
      <c r="L48" s="2123"/>
      <c r="M48" s="2121"/>
      <c r="N48" s="2122"/>
      <c r="O48" s="2123"/>
      <c r="P48" s="2131"/>
      <c r="Q48" s="2132"/>
      <c r="R48" s="2132"/>
      <c r="S48" s="2121"/>
      <c r="T48" s="2122"/>
      <c r="U48" s="2122"/>
      <c r="V48" s="2121"/>
      <c r="W48" s="2122"/>
      <c r="X48" s="2123"/>
      <c r="Y48" s="662" t="s">
        <v>0</v>
      </c>
    </row>
    <row r="49" spans="1:25" ht="16.5" thickBot="1">
      <c r="A49" s="2116"/>
      <c r="B49" s="2117"/>
      <c r="C49" s="2117"/>
      <c r="D49" s="687" t="s">
        <v>277</v>
      </c>
      <c r="E49" s="688" t="s">
        <v>49</v>
      </c>
      <c r="F49" s="689" t="s">
        <v>279</v>
      </c>
      <c r="G49" s="687" t="s">
        <v>277</v>
      </c>
      <c r="H49" s="688" t="s">
        <v>49</v>
      </c>
      <c r="I49" s="689" t="s">
        <v>279</v>
      </c>
      <c r="J49" s="687" t="s">
        <v>277</v>
      </c>
      <c r="K49" s="688" t="s">
        <v>49</v>
      </c>
      <c r="L49" s="689" t="s">
        <v>279</v>
      </c>
      <c r="M49" s="687" t="s">
        <v>277</v>
      </c>
      <c r="N49" s="688" t="s">
        <v>49</v>
      </c>
      <c r="O49" s="689" t="s">
        <v>279</v>
      </c>
      <c r="P49" s="687" t="s">
        <v>277</v>
      </c>
      <c r="Q49" s="688" t="s">
        <v>49</v>
      </c>
      <c r="R49" s="689" t="s">
        <v>279</v>
      </c>
      <c r="S49" s="687" t="s">
        <v>277</v>
      </c>
      <c r="T49" s="688" t="s">
        <v>49</v>
      </c>
      <c r="U49" s="689" t="s">
        <v>279</v>
      </c>
      <c r="V49" s="690" t="s">
        <v>277</v>
      </c>
      <c r="W49" s="688" t="s">
        <v>49</v>
      </c>
      <c r="X49" s="691" t="s">
        <v>279</v>
      </c>
      <c r="Y49" s="662" t="s">
        <v>0</v>
      </c>
    </row>
    <row r="50" spans="1:25">
      <c r="A50" s="692"/>
      <c r="B50" s="2135" t="s">
        <v>688</v>
      </c>
      <c r="C50" s="2135"/>
      <c r="D50" s="695"/>
      <c r="E50" s="696"/>
      <c r="F50" s="697">
        <v>705000</v>
      </c>
      <c r="G50" s="695"/>
      <c r="H50" s="696"/>
      <c r="I50" s="697">
        <v>705000</v>
      </c>
      <c r="J50" s="695"/>
      <c r="K50" s="696"/>
      <c r="L50" s="697">
        <v>0</v>
      </c>
      <c r="M50" s="695"/>
      <c r="N50" s="696"/>
      <c r="O50" s="697">
        <f>I50+L50</f>
        <v>705000</v>
      </c>
      <c r="P50" s="695"/>
      <c r="Q50" s="696"/>
      <c r="R50" s="697">
        <v>145000</v>
      </c>
      <c r="S50" s="695"/>
      <c r="T50" s="696"/>
      <c r="U50" s="697"/>
      <c r="V50" s="695"/>
      <c r="W50" s="696"/>
      <c r="X50" s="708">
        <f>R50+O50+U50</f>
        <v>850000</v>
      </c>
      <c r="Y50" s="662" t="s">
        <v>0</v>
      </c>
    </row>
    <row r="51" spans="1:25">
      <c r="A51" s="710"/>
      <c r="B51" s="711"/>
      <c r="C51" s="711" t="s">
        <v>50</v>
      </c>
      <c r="D51" s="712">
        <f t="shared" ref="D51:X51" si="0">SUM(D50:D50)</f>
        <v>0</v>
      </c>
      <c r="E51" s="713">
        <f t="shared" si="0"/>
        <v>0</v>
      </c>
      <c r="F51" s="714">
        <f t="shared" si="0"/>
        <v>705000</v>
      </c>
      <c r="G51" s="712">
        <f t="shared" si="0"/>
        <v>0</v>
      </c>
      <c r="H51" s="713">
        <f t="shared" si="0"/>
        <v>0</v>
      </c>
      <c r="I51" s="714">
        <f t="shared" si="0"/>
        <v>705000</v>
      </c>
      <c r="J51" s="712">
        <f t="shared" si="0"/>
        <v>0</v>
      </c>
      <c r="K51" s="713">
        <f t="shared" si="0"/>
        <v>0</v>
      </c>
      <c r="L51" s="714">
        <f t="shared" si="0"/>
        <v>0</v>
      </c>
      <c r="M51" s="712">
        <f t="shared" si="0"/>
        <v>0</v>
      </c>
      <c r="N51" s="713">
        <f t="shared" si="0"/>
        <v>0</v>
      </c>
      <c r="O51" s="714">
        <f t="shared" si="0"/>
        <v>705000</v>
      </c>
      <c r="P51" s="712">
        <f t="shared" si="0"/>
        <v>0</v>
      </c>
      <c r="Q51" s="713">
        <f t="shared" si="0"/>
        <v>0</v>
      </c>
      <c r="R51" s="714">
        <f t="shared" si="0"/>
        <v>145000</v>
      </c>
      <c r="S51" s="712">
        <f t="shared" si="0"/>
        <v>0</v>
      </c>
      <c r="T51" s="713">
        <f t="shared" si="0"/>
        <v>0</v>
      </c>
      <c r="U51" s="714">
        <f t="shared" si="0"/>
        <v>0</v>
      </c>
      <c r="V51" s="712">
        <f t="shared" si="0"/>
        <v>0</v>
      </c>
      <c r="W51" s="713">
        <f t="shared" si="0"/>
        <v>0</v>
      </c>
      <c r="X51" s="715">
        <f t="shared" si="0"/>
        <v>850000</v>
      </c>
      <c r="Y51" s="662" t="s">
        <v>0</v>
      </c>
    </row>
    <row r="52" spans="1:25" ht="17.25" customHeight="1">
      <c r="A52" s="725"/>
      <c r="B52" s="2140"/>
      <c r="C52" s="2141"/>
      <c r="D52" s="726"/>
      <c r="E52" s="727"/>
      <c r="F52" s="663"/>
      <c r="G52" s="728"/>
      <c r="H52" s="729"/>
      <c r="I52" s="729"/>
      <c r="J52" s="728"/>
      <c r="K52" s="729"/>
      <c r="L52" s="729"/>
      <c r="M52" s="728"/>
      <c r="N52" s="729"/>
      <c r="O52" s="729"/>
      <c r="P52" s="728"/>
      <c r="Q52" s="729"/>
      <c r="R52" s="729"/>
      <c r="S52" s="728"/>
      <c r="T52" s="729"/>
      <c r="U52" s="729"/>
      <c r="V52" s="728"/>
      <c r="W52" s="730"/>
      <c r="X52" s="731"/>
      <c r="Y52" s="662" t="s">
        <v>0</v>
      </c>
    </row>
    <row r="53" spans="1:25">
      <c r="A53" s="710"/>
      <c r="B53" s="2142" t="s">
        <v>263</v>
      </c>
      <c r="C53" s="2143"/>
      <c r="D53" s="732"/>
      <c r="E53" s="733"/>
      <c r="F53" s="734"/>
      <c r="G53" s="735"/>
      <c r="H53" s="736"/>
      <c r="I53" s="736"/>
      <c r="J53" s="735"/>
      <c r="K53" s="736"/>
      <c r="L53" s="736"/>
      <c r="M53" s="735"/>
      <c r="N53" s="736"/>
      <c r="O53" s="736"/>
      <c r="P53" s="735"/>
      <c r="Q53" s="736"/>
      <c r="R53" s="736"/>
      <c r="S53" s="735"/>
      <c r="T53" s="736"/>
      <c r="U53" s="736"/>
      <c r="V53" s="735"/>
      <c r="W53" s="733"/>
      <c r="X53" s="737"/>
      <c r="Y53" s="662" t="s">
        <v>0</v>
      </c>
    </row>
    <row r="54" spans="1:25">
      <c r="A54" s="692"/>
      <c r="B54" s="2144" t="s">
        <v>262</v>
      </c>
      <c r="C54" s="2145"/>
      <c r="D54" s="695"/>
      <c r="E54" s="696">
        <f>+E51+E53</f>
        <v>0</v>
      </c>
      <c r="F54" s="701"/>
      <c r="G54" s="738"/>
      <c r="H54" s="696">
        <f>+H51+H53</f>
        <v>0</v>
      </c>
      <c r="I54" s="697"/>
      <c r="J54" s="738"/>
      <c r="K54" s="696">
        <f>+K51+K53</f>
        <v>0</v>
      </c>
      <c r="L54" s="697"/>
      <c r="M54" s="738"/>
      <c r="N54" s="696">
        <f>+N51+N53</f>
        <v>0</v>
      </c>
      <c r="O54" s="697"/>
      <c r="P54" s="738"/>
      <c r="Q54" s="696">
        <f>+Q51+Q53</f>
        <v>0</v>
      </c>
      <c r="R54" s="697"/>
      <c r="S54" s="738"/>
      <c r="T54" s="696">
        <f>+T51+T53</f>
        <v>0</v>
      </c>
      <c r="U54" s="697"/>
      <c r="V54" s="738"/>
      <c r="W54" s="696">
        <f>+W51+W53</f>
        <v>0</v>
      </c>
      <c r="X54" s="667"/>
      <c r="Y54" s="662" t="s">
        <v>0</v>
      </c>
    </row>
    <row r="55" spans="1:25">
      <c r="A55" s="739"/>
      <c r="B55" s="2133"/>
      <c r="C55" s="2134"/>
      <c r="D55" s="726"/>
      <c r="E55" s="727"/>
      <c r="F55" s="663"/>
      <c r="G55" s="728"/>
      <c r="H55" s="729"/>
      <c r="I55" s="729"/>
      <c r="J55" s="728"/>
      <c r="K55" s="729"/>
      <c r="L55" s="729"/>
      <c r="M55" s="728"/>
      <c r="N55" s="729"/>
      <c r="O55" s="729"/>
      <c r="P55" s="728"/>
      <c r="Q55" s="729"/>
      <c r="R55" s="729"/>
      <c r="S55" s="728"/>
      <c r="T55" s="729"/>
      <c r="U55" s="729"/>
      <c r="V55" s="728"/>
      <c r="W55" s="730"/>
      <c r="X55" s="731"/>
      <c r="Y55" s="662" t="s">
        <v>0</v>
      </c>
    </row>
    <row r="56" spans="1:25">
      <c r="A56" s="692"/>
      <c r="B56" s="2144" t="s">
        <v>260</v>
      </c>
      <c r="C56" s="2145"/>
      <c r="D56" s="695"/>
      <c r="E56" s="696"/>
      <c r="F56" s="701"/>
      <c r="G56" s="738"/>
      <c r="H56" s="697"/>
      <c r="I56" s="697"/>
      <c r="J56" s="738"/>
      <c r="K56" s="697"/>
      <c r="L56" s="697"/>
      <c r="M56" s="738"/>
      <c r="N56" s="697"/>
      <c r="O56" s="697"/>
      <c r="P56" s="738"/>
      <c r="Q56" s="697"/>
      <c r="R56" s="697"/>
      <c r="S56" s="738"/>
      <c r="T56" s="697"/>
      <c r="U56" s="697"/>
      <c r="V56" s="738"/>
      <c r="W56" s="697"/>
      <c r="X56" s="667"/>
      <c r="Y56" s="662" t="s">
        <v>0</v>
      </c>
    </row>
    <row r="57" spans="1:25">
      <c r="A57" s="692"/>
      <c r="B57" s="740"/>
      <c r="C57" s="704" t="s">
        <v>55</v>
      </c>
      <c r="D57" s="695"/>
      <c r="E57" s="696"/>
      <c r="F57" s="701"/>
      <c r="G57" s="738"/>
      <c r="H57" s="697"/>
      <c r="I57" s="697"/>
      <c r="J57" s="738"/>
      <c r="K57" s="696"/>
      <c r="L57" s="697"/>
      <c r="M57" s="738"/>
      <c r="N57" s="696"/>
      <c r="O57" s="697"/>
      <c r="P57" s="738"/>
      <c r="Q57" s="696"/>
      <c r="R57" s="697"/>
      <c r="S57" s="738"/>
      <c r="T57" s="696"/>
      <c r="U57" s="697"/>
      <c r="V57" s="738"/>
      <c r="W57" s="741"/>
      <c r="X57" s="667"/>
      <c r="Y57" s="662" t="s">
        <v>0</v>
      </c>
    </row>
    <row r="58" spans="1:25">
      <c r="A58" s="710"/>
      <c r="B58" s="742"/>
      <c r="C58" s="743" t="s">
        <v>103</v>
      </c>
      <c r="D58" s="732"/>
      <c r="E58" s="733"/>
      <c r="F58" s="734"/>
      <c r="G58" s="735"/>
      <c r="H58" s="736"/>
      <c r="I58" s="736"/>
      <c r="J58" s="735"/>
      <c r="K58" s="733"/>
      <c r="L58" s="736"/>
      <c r="M58" s="735"/>
      <c r="N58" s="733"/>
      <c r="O58" s="736"/>
      <c r="P58" s="735"/>
      <c r="Q58" s="733"/>
      <c r="R58" s="736"/>
      <c r="S58" s="735"/>
      <c r="T58" s="733"/>
      <c r="U58" s="736"/>
      <c r="V58" s="735"/>
      <c r="W58" s="733"/>
      <c r="X58" s="737"/>
      <c r="Y58" s="662" t="s">
        <v>0</v>
      </c>
    </row>
    <row r="59" spans="1:25">
      <c r="A59" s="710"/>
      <c r="B59" s="2148" t="s">
        <v>261</v>
      </c>
      <c r="C59" s="2149"/>
      <c r="D59" s="732"/>
      <c r="E59" s="733">
        <f>E58+E57+E54</f>
        <v>0</v>
      </c>
      <c r="F59" s="734"/>
      <c r="G59" s="735"/>
      <c r="H59" s="733">
        <f>H58+H57+H54</f>
        <v>0</v>
      </c>
      <c r="I59" s="736"/>
      <c r="J59" s="735"/>
      <c r="K59" s="733">
        <f>K58+K57+K54</f>
        <v>0</v>
      </c>
      <c r="L59" s="736"/>
      <c r="M59" s="735"/>
      <c r="N59" s="733">
        <f>N58+N57+N54</f>
        <v>0</v>
      </c>
      <c r="O59" s="736"/>
      <c r="P59" s="735"/>
      <c r="Q59" s="733">
        <f>Q58+Q57+Q54</f>
        <v>0</v>
      </c>
      <c r="R59" s="736"/>
      <c r="S59" s="735"/>
      <c r="T59" s="733">
        <f>T58+T57+T54</f>
        <v>0</v>
      </c>
      <c r="U59" s="736"/>
      <c r="V59" s="735"/>
      <c r="W59" s="733">
        <f>W58+W57+W54</f>
        <v>0</v>
      </c>
      <c r="X59" s="737"/>
      <c r="Y59" s="662" t="s">
        <v>24</v>
      </c>
    </row>
    <row r="60" spans="1:25">
      <c r="C60" s="744"/>
    </row>
    <row r="61" spans="1:25" s="746" customFormat="1" ht="15">
      <c r="D61" s="747"/>
      <c r="E61" s="747"/>
      <c r="F61" s="747"/>
      <c r="G61" s="747"/>
      <c r="H61" s="747"/>
      <c r="I61" s="747"/>
      <c r="J61" s="747"/>
      <c r="K61" s="747"/>
      <c r="L61" s="747"/>
      <c r="M61" s="747"/>
      <c r="N61" s="747"/>
      <c r="O61" s="747"/>
      <c r="P61" s="747"/>
      <c r="Q61" s="747"/>
      <c r="R61" s="747"/>
      <c r="S61" s="747"/>
      <c r="T61" s="747"/>
      <c r="U61" s="747"/>
      <c r="V61" s="747"/>
      <c r="W61" s="747"/>
      <c r="X61" s="747"/>
      <c r="Y61" s="748"/>
    </row>
    <row r="62" spans="1:25" s="746" customFormat="1" ht="15">
      <c r="D62" s="747"/>
      <c r="E62" s="747"/>
      <c r="F62" s="747"/>
      <c r="G62" s="747"/>
      <c r="H62" s="747"/>
      <c r="I62" s="747"/>
      <c r="J62" s="747"/>
      <c r="K62" s="747"/>
      <c r="L62" s="747"/>
      <c r="M62" s="747"/>
      <c r="N62" s="747"/>
      <c r="O62" s="747"/>
      <c r="P62" s="747"/>
      <c r="Q62" s="747"/>
      <c r="R62" s="747"/>
      <c r="S62" s="747"/>
      <c r="T62" s="747"/>
      <c r="U62" s="747"/>
      <c r="V62" s="747"/>
      <c r="W62" s="747"/>
      <c r="X62" s="747"/>
      <c r="Y62" s="748"/>
    </row>
    <row r="63" spans="1:25" s="746" customFormat="1" ht="15">
      <c r="D63" s="747"/>
      <c r="E63" s="747"/>
      <c r="F63" s="747"/>
      <c r="G63" s="747"/>
      <c r="H63" s="747"/>
      <c r="I63" s="747"/>
      <c r="J63" s="747"/>
      <c r="K63" s="747"/>
      <c r="L63" s="747"/>
      <c r="M63" s="747"/>
      <c r="N63" s="747"/>
      <c r="O63" s="747"/>
      <c r="P63" s="747"/>
      <c r="Q63" s="747"/>
      <c r="R63" s="747"/>
      <c r="S63" s="747"/>
      <c r="T63" s="747"/>
      <c r="U63" s="747"/>
      <c r="V63" s="747"/>
      <c r="W63" s="747"/>
      <c r="X63" s="747"/>
      <c r="Y63" s="748"/>
    </row>
    <row r="64" spans="1:25" s="746" customFormat="1" ht="15">
      <c r="A64" s="749"/>
      <c r="B64" s="749"/>
      <c r="C64" s="749"/>
      <c r="D64" s="750"/>
      <c r="E64" s="750"/>
      <c r="F64" s="750"/>
      <c r="G64" s="750"/>
      <c r="H64" s="750"/>
      <c r="I64" s="750"/>
      <c r="J64" s="750"/>
      <c r="K64" s="750"/>
      <c r="L64" s="750"/>
      <c r="M64" s="750"/>
      <c r="N64" s="750"/>
      <c r="O64" s="750"/>
      <c r="P64" s="750"/>
      <c r="Q64" s="750"/>
      <c r="R64" s="750"/>
      <c r="S64" s="750"/>
      <c r="T64" s="750"/>
      <c r="U64" s="750"/>
      <c r="V64" s="750"/>
      <c r="W64" s="750"/>
      <c r="X64" s="750"/>
      <c r="Y64" s="748"/>
    </row>
    <row r="65" spans="1:25" s="746" customFormat="1" ht="15">
      <c r="A65" s="751"/>
      <c r="B65" s="751"/>
      <c r="C65" s="751"/>
      <c r="D65" s="752"/>
      <c r="E65" s="752"/>
      <c r="F65" s="752"/>
      <c r="G65" s="752"/>
      <c r="H65" s="752"/>
      <c r="I65" s="752"/>
      <c r="J65" s="752"/>
      <c r="K65" s="752"/>
      <c r="L65" s="752"/>
      <c r="M65" s="752"/>
      <c r="N65" s="752"/>
      <c r="O65" s="752"/>
      <c r="P65" s="752"/>
      <c r="Q65" s="752"/>
      <c r="R65" s="752"/>
      <c r="S65" s="752"/>
      <c r="T65" s="752"/>
      <c r="U65" s="752"/>
      <c r="V65" s="752"/>
      <c r="W65" s="753"/>
      <c r="X65" s="753"/>
      <c r="Y65" s="748"/>
    </row>
    <row r="66" spans="1:25" s="746" customFormat="1" ht="26.25">
      <c r="A66" s="2150"/>
      <c r="B66" s="2150"/>
      <c r="C66" s="2150"/>
      <c r="D66" s="2150"/>
      <c r="E66" s="2150"/>
      <c r="F66" s="2150"/>
      <c r="G66" s="2150"/>
      <c r="H66" s="2150"/>
      <c r="I66" s="2150"/>
      <c r="J66" s="2150"/>
      <c r="K66" s="2150"/>
      <c r="L66" s="2150"/>
      <c r="M66" s="2150"/>
      <c r="N66" s="2150"/>
      <c r="O66" s="2150"/>
      <c r="P66" s="2150"/>
      <c r="Q66" s="2150"/>
      <c r="R66" s="2150"/>
      <c r="S66" s="2150"/>
      <c r="T66" s="2150"/>
      <c r="U66" s="2150"/>
      <c r="V66" s="2150"/>
      <c r="W66" s="754"/>
      <c r="X66" s="754"/>
      <c r="Y66" s="748"/>
    </row>
    <row r="67" spans="1:25" s="746" customFormat="1" ht="25.5">
      <c r="A67" s="2151"/>
      <c r="B67" s="2032"/>
      <c r="C67" s="2032"/>
      <c r="D67" s="2032"/>
      <c r="E67" s="2032"/>
      <c r="F67" s="2032"/>
      <c r="G67" s="2032"/>
      <c r="H67" s="2032"/>
      <c r="I67" s="2032"/>
      <c r="J67" s="2032"/>
      <c r="K67" s="2032"/>
      <c r="L67" s="2032"/>
      <c r="M67" s="2032"/>
      <c r="N67" s="2032"/>
      <c r="O67" s="2032"/>
      <c r="P67" s="2032"/>
      <c r="Q67" s="2032"/>
      <c r="R67" s="2032"/>
      <c r="S67" s="2032"/>
      <c r="T67" s="2032"/>
      <c r="U67" s="2032"/>
      <c r="V67" s="2032"/>
      <c r="W67" s="755"/>
      <c r="X67" s="755"/>
      <c r="Y67" s="748"/>
    </row>
    <row r="68" spans="1:25" s="746" customFormat="1" ht="25.5">
      <c r="A68" s="2152"/>
      <c r="B68" s="2153"/>
      <c r="C68" s="2153"/>
      <c r="D68" s="2153"/>
      <c r="E68" s="2153"/>
      <c r="F68" s="2153"/>
      <c r="G68" s="2153"/>
      <c r="H68" s="2153"/>
      <c r="I68" s="2153"/>
      <c r="J68" s="2153"/>
      <c r="K68" s="2153"/>
      <c r="L68" s="2153"/>
      <c r="M68" s="2153"/>
      <c r="N68" s="2153"/>
      <c r="O68" s="2153"/>
      <c r="P68" s="2153"/>
      <c r="Q68" s="2153"/>
      <c r="R68" s="2153"/>
      <c r="S68" s="2153"/>
      <c r="T68" s="2153"/>
      <c r="U68" s="2153"/>
      <c r="V68" s="2153"/>
      <c r="W68" s="755"/>
      <c r="X68" s="755"/>
      <c r="Y68" s="748"/>
    </row>
    <row r="69" spans="1:25" s="746" customFormat="1" ht="30" customHeight="1">
      <c r="A69" s="2153"/>
      <c r="B69" s="2153"/>
      <c r="C69" s="2153"/>
      <c r="D69" s="2153"/>
      <c r="E69" s="2153"/>
      <c r="F69" s="2153"/>
      <c r="G69" s="2153"/>
      <c r="H69" s="2153"/>
      <c r="I69" s="2153"/>
      <c r="J69" s="2153"/>
      <c r="K69" s="2153"/>
      <c r="L69" s="2153"/>
      <c r="M69" s="2153"/>
      <c r="N69" s="2153"/>
      <c r="O69" s="2153"/>
      <c r="P69" s="2153"/>
      <c r="Q69" s="2153"/>
      <c r="R69" s="2153"/>
      <c r="S69" s="2153"/>
      <c r="T69" s="2153"/>
      <c r="U69" s="2153"/>
      <c r="V69" s="2153"/>
      <c r="W69" s="755"/>
      <c r="X69" s="755"/>
      <c r="Y69" s="748"/>
    </row>
    <row r="70" spans="1:25" s="746" customFormat="1" ht="62.25" customHeight="1">
      <c r="A70" s="2146"/>
      <c r="B70" s="2146"/>
      <c r="C70" s="2146"/>
      <c r="D70" s="2146"/>
      <c r="E70" s="2146"/>
      <c r="F70" s="2146"/>
      <c r="G70" s="2146"/>
      <c r="H70" s="2146"/>
      <c r="I70" s="2146"/>
      <c r="J70" s="2146"/>
      <c r="K70" s="2146"/>
      <c r="L70" s="2146"/>
      <c r="M70" s="2146"/>
      <c r="N70" s="2146"/>
      <c r="O70" s="2146"/>
      <c r="P70" s="2146"/>
      <c r="Q70" s="2146"/>
      <c r="R70" s="2146"/>
      <c r="S70" s="2146"/>
      <c r="T70" s="2146"/>
      <c r="U70" s="2146"/>
      <c r="V70" s="2146"/>
      <c r="W70" s="756"/>
      <c r="X70" s="756"/>
      <c r="Y70" s="748"/>
    </row>
    <row r="71" spans="1:25" s="746" customFormat="1" ht="90.75" customHeight="1">
      <c r="A71" s="2146"/>
      <c r="B71" s="2147"/>
      <c r="C71" s="2147"/>
      <c r="D71" s="2147"/>
      <c r="E71" s="2147"/>
      <c r="F71" s="2147"/>
      <c r="G71" s="2147"/>
      <c r="H71" s="2147"/>
      <c r="I71" s="2147"/>
      <c r="J71" s="2147"/>
      <c r="K71" s="2147"/>
      <c r="L71" s="2147"/>
      <c r="M71" s="2147"/>
      <c r="N71" s="2147"/>
      <c r="O71" s="2147"/>
      <c r="P71" s="2147"/>
      <c r="Q71" s="2147"/>
      <c r="R71" s="2147"/>
      <c r="S71" s="2147"/>
      <c r="T71" s="2147"/>
      <c r="U71" s="2147"/>
      <c r="V71" s="2147"/>
      <c r="W71" s="756"/>
      <c r="X71" s="756"/>
      <c r="Y71" s="748"/>
    </row>
    <row r="72" spans="1:25" s="757" customFormat="1" ht="25.5">
      <c r="D72" s="758"/>
      <c r="E72" s="758"/>
      <c r="F72" s="758"/>
      <c r="G72" s="758"/>
      <c r="H72" s="758"/>
      <c r="I72" s="758"/>
      <c r="J72" s="758"/>
      <c r="K72" s="758"/>
      <c r="L72" s="758"/>
      <c r="M72" s="758"/>
      <c r="N72" s="758"/>
      <c r="O72" s="758"/>
      <c r="P72" s="758"/>
      <c r="Q72" s="758"/>
      <c r="R72" s="758"/>
      <c r="S72" s="758"/>
      <c r="T72" s="758"/>
      <c r="U72" s="758"/>
      <c r="V72" s="758"/>
      <c r="W72" s="759"/>
      <c r="X72" s="760"/>
    </row>
    <row r="73" spans="1:25">
      <c r="W73" s="761"/>
      <c r="X73" s="761"/>
    </row>
    <row r="74" spans="1:25">
      <c r="K74" s="762"/>
    </row>
  </sheetData>
  <mergeCells count="54">
    <mergeCell ref="A71:V71"/>
    <mergeCell ref="B56:C56"/>
    <mergeCell ref="B59:C59"/>
    <mergeCell ref="A66:V66"/>
    <mergeCell ref="A67:V67"/>
    <mergeCell ref="A68:V69"/>
    <mergeCell ref="A70:V70"/>
    <mergeCell ref="B55:C55"/>
    <mergeCell ref="A41:X41"/>
    <mergeCell ref="A47:C49"/>
    <mergeCell ref="D47:F48"/>
    <mergeCell ref="G47:I48"/>
    <mergeCell ref="J47:L48"/>
    <mergeCell ref="M47:O48"/>
    <mergeCell ref="P47:R48"/>
    <mergeCell ref="S47:U48"/>
    <mergeCell ref="V47:X48"/>
    <mergeCell ref="B50:C50"/>
    <mergeCell ref="B52:C52"/>
    <mergeCell ref="B53:C53"/>
    <mergeCell ref="B54:C54"/>
    <mergeCell ref="A40:X40"/>
    <mergeCell ref="A20:U20"/>
    <mergeCell ref="A21:U21"/>
    <mergeCell ref="A22:U22"/>
    <mergeCell ref="A23:U23"/>
    <mergeCell ref="A24:U24"/>
    <mergeCell ref="A25:U25"/>
    <mergeCell ref="A26:U26"/>
    <mergeCell ref="A27:U27"/>
    <mergeCell ref="A28:U28"/>
    <mergeCell ref="A38:X38"/>
    <mergeCell ref="A39:X39"/>
    <mergeCell ref="A19:U19"/>
    <mergeCell ref="A7:X7"/>
    <mergeCell ref="A8:X8"/>
    <mergeCell ref="A9:X9"/>
    <mergeCell ref="A10:X10"/>
    <mergeCell ref="A11:U13"/>
    <mergeCell ref="V11:X11"/>
    <mergeCell ref="V12:V13"/>
    <mergeCell ref="W12:W13"/>
    <mergeCell ref="X12:X13"/>
    <mergeCell ref="A14:U14"/>
    <mergeCell ref="A15:U15"/>
    <mergeCell ref="A16:U16"/>
    <mergeCell ref="A17:U17"/>
    <mergeCell ref="A18:U18"/>
    <mergeCell ref="A6:X6"/>
    <mergeCell ref="A1:X1"/>
    <mergeCell ref="A2:X2"/>
    <mergeCell ref="A3:X3"/>
    <mergeCell ref="A4:X4"/>
    <mergeCell ref="A5:X5"/>
  </mergeCells>
  <printOptions horizontalCentered="1"/>
  <pageMargins left="0.5" right="0.4" top="0.5" bottom="0.25" header="0" footer="0"/>
  <pageSetup scale="55" firstPageNumber="8" fitToHeight="0" orientation="landscape" useFirstPageNumber="1" r:id="rId1"/>
  <headerFooter alignWithMargins="0">
    <oddFooter>&amp;C&amp;"Times New Roman,Regular"Exhibit B - Summary of Requirements&amp;R&amp;"Times New Roman,Regular"Crime Victims Fund</oddFooter>
  </headerFooter>
  <rowBreaks count="1" manualBreakCount="1">
    <brk id="28" max="23" man="1"/>
  </rowBreaks>
</worksheet>
</file>

<file path=xl/worksheets/sheet54.xml><?xml version="1.0" encoding="utf-8"?>
<worksheet xmlns="http://schemas.openxmlformats.org/spreadsheetml/2006/main" xmlns:r="http://schemas.openxmlformats.org/officeDocument/2006/relationships">
  <sheetPr>
    <pageSetUpPr fitToPage="1"/>
  </sheetPr>
  <dimension ref="A1:H28"/>
  <sheetViews>
    <sheetView view="pageBreakPreview" zoomScale="75" zoomScaleNormal="75" zoomScaleSheetLayoutView="75" workbookViewId="0">
      <selection activeCell="A23" sqref="A23:F23"/>
    </sheetView>
  </sheetViews>
  <sheetFormatPr defaultColWidth="7.21875" defaultRowHeight="12.75"/>
  <cols>
    <col min="1" max="1" width="17.88671875" style="764" customWidth="1"/>
    <col min="2" max="2" width="15.88671875" style="764" customWidth="1"/>
    <col min="3" max="3" width="4.6640625" style="764" customWidth="1"/>
    <col min="4" max="4" width="7.5546875" style="764" customWidth="1"/>
    <col min="5" max="5" width="4.6640625" style="764" customWidth="1"/>
    <col min="6" max="6" width="9.77734375" style="764" customWidth="1"/>
    <col min="7" max="7" width="11.33203125" style="764" customWidth="1"/>
    <col min="8" max="8" width="8.88671875" style="811" customWidth="1"/>
    <col min="9" max="16384" width="7.21875" style="764"/>
  </cols>
  <sheetData>
    <row r="1" spans="1:8" ht="20.25">
      <c r="A1" s="2156" t="s">
        <v>33</v>
      </c>
      <c r="B1" s="2157"/>
      <c r="C1" s="2157"/>
      <c r="D1" s="2157"/>
      <c r="E1" s="2157"/>
      <c r="F1" s="2157"/>
      <c r="G1" s="2157"/>
      <c r="H1" s="763" t="s">
        <v>0</v>
      </c>
    </row>
    <row r="2" spans="1:8" ht="20.25">
      <c r="A2" s="2033"/>
      <c r="B2" s="2033"/>
      <c r="C2" s="2033"/>
      <c r="D2" s="2033"/>
      <c r="E2" s="2033"/>
      <c r="F2" s="2033"/>
      <c r="G2" s="2033"/>
      <c r="H2" s="763" t="s">
        <v>0</v>
      </c>
    </row>
    <row r="3" spans="1:8">
      <c r="A3" s="2158"/>
      <c r="B3" s="2158"/>
      <c r="C3" s="2158"/>
      <c r="D3" s="2158"/>
      <c r="E3" s="2158"/>
      <c r="F3" s="2158"/>
      <c r="G3" s="2158"/>
      <c r="H3" s="763" t="s">
        <v>0</v>
      </c>
    </row>
    <row r="4" spans="1:8" ht="23.25">
      <c r="A4" s="2159" t="s">
        <v>239</v>
      </c>
      <c r="B4" s="2155"/>
      <c r="C4" s="2155"/>
      <c r="D4" s="2155"/>
      <c r="E4" s="2155"/>
      <c r="F4" s="2155"/>
      <c r="G4" s="2155"/>
      <c r="H4" s="763" t="s">
        <v>0</v>
      </c>
    </row>
    <row r="5" spans="1:8" ht="23.25">
      <c r="A5" s="2160" t="str">
        <f>'B. Summ of Reqs - CVF'!A39</f>
        <v>Office of Justice Programs</v>
      </c>
      <c r="B5" s="2161"/>
      <c r="C5" s="2161"/>
      <c r="D5" s="2161"/>
      <c r="E5" s="2161"/>
      <c r="F5" s="2161"/>
      <c r="G5" s="2161"/>
      <c r="H5" s="763" t="s">
        <v>0</v>
      </c>
    </row>
    <row r="6" spans="1:8" ht="23.25">
      <c r="A6" s="2160" t="str">
        <f>'B. Summ of Reqs - CVF'!A40</f>
        <v>Crime Victims Fund</v>
      </c>
      <c r="B6" s="2161"/>
      <c r="C6" s="2161"/>
      <c r="D6" s="2161"/>
      <c r="E6" s="2161"/>
      <c r="F6" s="2161"/>
      <c r="G6" s="2161"/>
      <c r="H6" s="763" t="s">
        <v>0</v>
      </c>
    </row>
    <row r="7" spans="1:8" ht="23.25">
      <c r="A7" s="2154" t="s">
        <v>257</v>
      </c>
      <c r="B7" s="2155"/>
      <c r="C7" s="2155"/>
      <c r="D7" s="2155"/>
      <c r="E7" s="2155"/>
      <c r="F7" s="2155"/>
      <c r="G7" s="2155"/>
      <c r="H7" s="763" t="s">
        <v>0</v>
      </c>
    </row>
    <row r="8" spans="1:8">
      <c r="A8" s="2162"/>
      <c r="B8" s="2162"/>
      <c r="C8" s="2162"/>
      <c r="D8" s="2162"/>
      <c r="E8" s="2162"/>
      <c r="F8" s="2162"/>
      <c r="G8" s="2162"/>
      <c r="H8" s="763" t="s">
        <v>0</v>
      </c>
    </row>
    <row r="9" spans="1:8">
      <c r="A9" s="2163"/>
      <c r="B9" s="2163"/>
      <c r="C9" s="2163"/>
      <c r="D9" s="2163"/>
      <c r="E9" s="2163"/>
      <c r="F9" s="2163"/>
      <c r="G9" s="2163"/>
      <c r="H9" s="763" t="s">
        <v>0</v>
      </c>
    </row>
    <row r="10" spans="1:8" ht="15">
      <c r="A10" s="2164" t="s">
        <v>238</v>
      </c>
      <c r="B10" s="2166" t="s">
        <v>22</v>
      </c>
      <c r="C10" s="2168" t="s">
        <v>373</v>
      </c>
      <c r="D10" s="2169"/>
      <c r="E10" s="2169"/>
      <c r="F10" s="2170"/>
      <c r="G10" s="2166" t="s">
        <v>449</v>
      </c>
      <c r="H10" s="763" t="s">
        <v>0</v>
      </c>
    </row>
    <row r="11" spans="1:8">
      <c r="A11" s="2165"/>
      <c r="B11" s="2167"/>
      <c r="C11" s="765" t="s">
        <v>277</v>
      </c>
      <c r="D11" s="765" t="s">
        <v>10</v>
      </c>
      <c r="E11" s="765" t="s">
        <v>49</v>
      </c>
      <c r="F11" s="766" t="s">
        <v>279</v>
      </c>
      <c r="G11" s="2167"/>
      <c r="H11" s="763" t="s">
        <v>0</v>
      </c>
    </row>
    <row r="12" spans="1:8" ht="15.75">
      <c r="A12" s="767"/>
      <c r="B12" s="768"/>
      <c r="C12" s="769"/>
      <c r="D12" s="770"/>
      <c r="E12" s="770"/>
      <c r="F12" s="771"/>
      <c r="G12" s="771"/>
      <c r="H12" s="763" t="s">
        <v>0</v>
      </c>
    </row>
    <row r="13" spans="1:8" ht="18.75" customHeight="1">
      <c r="A13" s="767" t="s">
        <v>688</v>
      </c>
      <c r="B13" s="768" t="s">
        <v>373</v>
      </c>
      <c r="C13" s="772"/>
      <c r="D13" s="770"/>
      <c r="E13" s="770"/>
      <c r="F13" s="771">
        <v>145000</v>
      </c>
      <c r="G13" s="771">
        <f>+F13</f>
        <v>145000</v>
      </c>
      <c r="H13" s="763" t="s">
        <v>0</v>
      </c>
    </row>
    <row r="14" spans="1:8" ht="18.75" customHeight="1">
      <c r="A14" s="773"/>
      <c r="B14" s="774"/>
      <c r="C14" s="775"/>
      <c r="D14" s="776"/>
      <c r="E14" s="776"/>
      <c r="F14" s="777"/>
      <c r="G14" s="778"/>
      <c r="H14" s="763" t="s">
        <v>0</v>
      </c>
    </row>
    <row r="15" spans="1:8" ht="18.75" customHeight="1">
      <c r="A15" s="1635" t="s">
        <v>455</v>
      </c>
      <c r="B15" s="1636"/>
      <c r="C15" s="795">
        <f>SUM(C12:C14)</f>
        <v>0</v>
      </c>
      <c r="D15" s="796">
        <f>SUM(D12:D14)</f>
        <v>0</v>
      </c>
      <c r="E15" s="796">
        <f>SUM(E12:E14)</f>
        <v>0</v>
      </c>
      <c r="F15" s="797">
        <f>SUM(F12:F14)</f>
        <v>145000</v>
      </c>
      <c r="G15" s="798">
        <f>SUM(G12:G14)</f>
        <v>145000</v>
      </c>
      <c r="H15" s="763" t="s">
        <v>24</v>
      </c>
    </row>
    <row r="16" spans="1:8" ht="18.75" customHeight="1">
      <c r="A16" s="2538"/>
      <c r="B16" s="2539"/>
      <c r="C16" s="2539"/>
      <c r="D16" s="2539"/>
      <c r="E16" s="2539"/>
      <c r="F16" s="2539"/>
      <c r="G16" s="2540"/>
      <c r="H16" s="763"/>
    </row>
    <row r="17" spans="1:8" ht="18.75" customHeight="1">
      <c r="A17" s="799"/>
      <c r="B17" s="800"/>
      <c r="C17" s="800"/>
      <c r="D17" s="800"/>
      <c r="E17" s="800"/>
      <c r="F17" s="800"/>
      <c r="G17" s="800"/>
      <c r="H17" s="763"/>
    </row>
    <row r="18" spans="1:8" ht="18.75" customHeight="1">
      <c r="H18" s="763"/>
    </row>
    <row r="19" spans="1:8" ht="18.75" customHeight="1">
      <c r="A19" s="801"/>
      <c r="B19" s="802"/>
      <c r="C19" s="803"/>
      <c r="D19" s="803"/>
      <c r="E19" s="803"/>
      <c r="F19" s="803"/>
      <c r="G19" s="803"/>
      <c r="H19" s="763"/>
    </row>
    <row r="20" spans="1:8" ht="18.75" customHeight="1">
      <c r="A20" s="801"/>
      <c r="B20" s="804"/>
      <c r="C20" s="805"/>
      <c r="D20" s="805"/>
      <c r="E20" s="805"/>
      <c r="F20" s="803"/>
      <c r="G20" s="805"/>
      <c r="H20" s="763"/>
    </row>
    <row r="21" spans="1:8" ht="18.75" customHeight="1">
      <c r="A21" s="801"/>
      <c r="B21" s="804"/>
      <c r="C21" s="806"/>
      <c r="D21" s="806"/>
      <c r="E21" s="806"/>
      <c r="F21" s="807"/>
      <c r="G21" s="808"/>
      <c r="H21" s="763"/>
    </row>
    <row r="22" spans="1:8" ht="12.75" customHeight="1">
      <c r="A22" s="809"/>
      <c r="B22" s="810"/>
      <c r="C22" s="810"/>
      <c r="D22" s="810"/>
      <c r="E22" s="810"/>
      <c r="F22" s="810"/>
    </row>
    <row r="23" spans="1:8" ht="33.75" customHeight="1">
      <c r="A23" s="2174"/>
      <c r="B23" s="2175"/>
      <c r="C23" s="2175"/>
      <c r="D23" s="2175"/>
      <c r="E23" s="2175"/>
      <c r="F23" s="2175"/>
    </row>
    <row r="24" spans="1:8" ht="12.75" customHeight="1">
      <c r="A24" s="812"/>
      <c r="B24" s="812"/>
      <c r="C24" s="812"/>
      <c r="D24" s="812"/>
      <c r="E24" s="812"/>
      <c r="F24" s="812"/>
    </row>
    <row r="25" spans="1:8" ht="57" customHeight="1">
      <c r="A25" s="2147"/>
      <c r="B25" s="2176"/>
      <c r="C25" s="2176"/>
      <c r="D25" s="2176"/>
      <c r="E25" s="2176"/>
      <c r="F25" s="2176"/>
    </row>
    <row r="26" spans="1:8" ht="15">
      <c r="A26" s="2171"/>
      <c r="B26" s="2171"/>
      <c r="C26" s="2171"/>
      <c r="D26" s="2171"/>
      <c r="E26" s="2171"/>
      <c r="F26" s="2171"/>
    </row>
    <row r="27" spans="1:8" ht="15" customHeight="1">
      <c r="A27" s="813"/>
      <c r="B27" s="814"/>
      <c r="C27" s="814"/>
      <c r="D27" s="814"/>
      <c r="E27" s="814"/>
      <c r="F27" s="814"/>
      <c r="G27" s="815"/>
    </row>
    <row r="28" spans="1:8">
      <c r="A28" s="814"/>
      <c r="B28" s="814"/>
      <c r="C28" s="814"/>
      <c r="D28" s="814"/>
      <c r="E28" s="814"/>
      <c r="F28" s="814"/>
    </row>
  </sheetData>
  <mergeCells count="17">
    <mergeCell ref="A16:G16"/>
    <mergeCell ref="A23:F23"/>
    <mergeCell ref="A25:F25"/>
    <mergeCell ref="A26:F26"/>
    <mergeCell ref="A7:G7"/>
    <mergeCell ref="A8:G8"/>
    <mergeCell ref="A9:G9"/>
    <mergeCell ref="A10:A11"/>
    <mergeCell ref="B10:B11"/>
    <mergeCell ref="C10:F10"/>
    <mergeCell ref="G10:G11"/>
    <mergeCell ref="A6:G6"/>
    <mergeCell ref="A1:G1"/>
    <mergeCell ref="A2:G2"/>
    <mergeCell ref="A3:G3"/>
    <mergeCell ref="A4:G4"/>
    <mergeCell ref="A5:G5"/>
  </mergeCells>
  <printOptions horizontalCentered="1"/>
  <pageMargins left="0.5" right="0.4" top="0.5" bottom="0.25" header="0" footer="0"/>
  <pageSetup firstPageNumber="8" fitToHeight="0" orientation="landscape" useFirstPageNumber="1" r:id="rId1"/>
  <headerFooter alignWithMargins="0">
    <oddFooter>&amp;C&amp;"Times New Roman,Regular"Exhibit C - Program Increases/Offsets By Decision Unit&amp;R&amp;"Times New Roman,Regular"Crime Victims Fund</oddFooter>
  </headerFooter>
</worksheet>
</file>

<file path=xl/worksheets/sheet55.xml><?xml version="1.0" encoding="utf-8"?>
<worksheet xmlns="http://schemas.openxmlformats.org/spreadsheetml/2006/main" xmlns:r="http://schemas.openxmlformats.org/officeDocument/2006/relationships">
  <dimension ref="A1:T58"/>
  <sheetViews>
    <sheetView view="pageBreakPreview" zoomScale="80" zoomScaleNormal="75" zoomScaleSheetLayoutView="80" workbookViewId="0">
      <selection activeCell="C30" sqref="C30"/>
    </sheetView>
  </sheetViews>
  <sheetFormatPr defaultColWidth="7.21875" defaultRowHeight="12.75"/>
  <cols>
    <col min="1" max="1" width="49.5546875" style="818" customWidth="1"/>
    <col min="2" max="2" width="1.21875" style="818" customWidth="1"/>
    <col min="3" max="3" width="10.77734375" style="818" customWidth="1"/>
    <col min="4" max="4" width="11" style="818" customWidth="1"/>
    <col min="5" max="5" width="1.21875" style="818" customWidth="1"/>
    <col min="6" max="7" width="11.21875" style="818" customWidth="1"/>
    <col min="8" max="8" width="1.21875" style="818" customWidth="1"/>
    <col min="9" max="9" width="7.21875" style="818" customWidth="1"/>
    <col min="10" max="10" width="8" style="818" customWidth="1"/>
    <col min="11" max="11" width="6.77734375" style="818" customWidth="1"/>
    <col min="12" max="12" width="9.6640625" style="818" customWidth="1"/>
    <col min="13" max="13" width="6.77734375" style="818" customWidth="1"/>
    <col min="14" max="14" width="7.21875" style="818" customWidth="1"/>
    <col min="15" max="15" width="6.33203125" style="818" customWidth="1"/>
    <col min="16" max="16" width="8.6640625" style="818" customWidth="1"/>
    <col min="17" max="17" width="1.88671875" style="818" customWidth="1"/>
    <col min="18" max="16384" width="7.21875" style="818"/>
  </cols>
  <sheetData>
    <row r="1" spans="1:20" ht="20.25">
      <c r="A1" s="2177" t="s">
        <v>163</v>
      </c>
      <c r="B1" s="2178"/>
      <c r="C1" s="2178"/>
      <c r="D1" s="2178"/>
      <c r="E1" s="2178"/>
      <c r="F1" s="2178"/>
      <c r="G1" s="2178"/>
      <c r="H1" s="2178"/>
      <c r="I1" s="2178"/>
      <c r="J1" s="2178"/>
      <c r="K1" s="2178"/>
      <c r="L1" s="2178"/>
      <c r="M1" s="2178"/>
      <c r="N1" s="2178"/>
      <c r="O1" s="2178"/>
      <c r="P1" s="2178"/>
      <c r="Q1" s="816" t="s">
        <v>0</v>
      </c>
      <c r="R1" s="817"/>
      <c r="S1" s="817"/>
    </row>
    <row r="2" spans="1:20" ht="19.149999999999999" customHeight="1">
      <c r="A2" s="819"/>
      <c r="Q2" s="816" t="s">
        <v>0</v>
      </c>
      <c r="T2" s="816"/>
    </row>
    <row r="3" spans="1:20" ht="15.75">
      <c r="A3" s="2179" t="s">
        <v>288</v>
      </c>
      <c r="B3" s="2034"/>
      <c r="C3" s="2034"/>
      <c r="D3" s="2034"/>
      <c r="E3" s="2034"/>
      <c r="F3" s="2034"/>
      <c r="G3" s="2034"/>
      <c r="H3" s="2034"/>
      <c r="I3" s="2034"/>
      <c r="J3" s="2034"/>
      <c r="K3" s="2034"/>
      <c r="L3" s="2034"/>
      <c r="M3" s="2034"/>
      <c r="N3" s="2034"/>
      <c r="O3" s="2034"/>
      <c r="P3" s="2034"/>
      <c r="Q3" s="816" t="s">
        <v>0</v>
      </c>
      <c r="R3" s="820"/>
      <c r="S3" s="820"/>
      <c r="T3" s="816"/>
    </row>
    <row r="4" spans="1:20" ht="15.75">
      <c r="A4" s="2180" t="str">
        <f>'B. Summ of Reqs - CVF'!A5:X5</f>
        <v>Office of Justice Programs</v>
      </c>
      <c r="B4" s="2034"/>
      <c r="C4" s="2034"/>
      <c r="D4" s="2034"/>
      <c r="E4" s="2034"/>
      <c r="F4" s="2034"/>
      <c r="G4" s="2034"/>
      <c r="H4" s="2034"/>
      <c r="I4" s="2034"/>
      <c r="J4" s="2034"/>
      <c r="K4" s="2034"/>
      <c r="L4" s="2034"/>
      <c r="M4" s="2034"/>
      <c r="N4" s="2034"/>
      <c r="O4" s="2034"/>
      <c r="P4" s="2034"/>
      <c r="Q4" s="816" t="s">
        <v>0</v>
      </c>
      <c r="R4" s="638"/>
      <c r="S4" s="638"/>
    </row>
    <row r="5" spans="1:20" ht="15.75">
      <c r="A5" s="2180" t="str">
        <f>'B. Summ of Reqs - CVF'!A6:X6</f>
        <v>Crime Victims Fund</v>
      </c>
      <c r="B5" s="2034"/>
      <c r="C5" s="2034"/>
      <c r="D5" s="2034"/>
      <c r="E5" s="2034"/>
      <c r="F5" s="2034"/>
      <c r="G5" s="2034"/>
      <c r="H5" s="2034"/>
      <c r="I5" s="2034"/>
      <c r="J5" s="2034"/>
      <c r="K5" s="2034"/>
      <c r="L5" s="2034"/>
      <c r="M5" s="2034"/>
      <c r="N5" s="2034"/>
      <c r="O5" s="2034"/>
      <c r="P5" s="2034"/>
      <c r="Q5" s="816" t="s">
        <v>0</v>
      </c>
      <c r="R5" s="638"/>
      <c r="S5" s="638"/>
    </row>
    <row r="6" spans="1:20" ht="15">
      <c r="A6" s="2181" t="s">
        <v>257</v>
      </c>
      <c r="B6" s="2181"/>
      <c r="C6" s="2181"/>
      <c r="D6" s="2181"/>
      <c r="E6" s="2181"/>
      <c r="F6" s="2181"/>
      <c r="G6" s="2181"/>
      <c r="H6" s="2181"/>
      <c r="I6" s="2181"/>
      <c r="J6" s="2181"/>
      <c r="K6" s="2181"/>
      <c r="L6" s="2181"/>
      <c r="M6" s="2181"/>
      <c r="N6" s="2181"/>
      <c r="O6" s="2181"/>
      <c r="P6" s="2181"/>
      <c r="Q6" s="816" t="s">
        <v>0</v>
      </c>
      <c r="R6" s="820"/>
      <c r="S6" s="820"/>
      <c r="T6" s="816"/>
    </row>
    <row r="7" spans="1:20">
      <c r="Q7" s="816" t="s">
        <v>0</v>
      </c>
      <c r="T7" s="816"/>
    </row>
    <row r="8" spans="1:20" ht="13.5" thickBot="1">
      <c r="Q8" s="816" t="s">
        <v>0</v>
      </c>
      <c r="T8" s="816"/>
    </row>
    <row r="9" spans="1:20" ht="37.5" customHeight="1">
      <c r="A9" s="821"/>
      <c r="B9" s="822"/>
      <c r="C9" s="2197" t="s">
        <v>318</v>
      </c>
      <c r="D9" s="2198"/>
      <c r="E9" s="823"/>
      <c r="F9" s="2197" t="s">
        <v>355</v>
      </c>
      <c r="G9" s="2198"/>
      <c r="H9" s="823"/>
      <c r="I9" s="2203" t="s">
        <v>244</v>
      </c>
      <c r="J9" s="2198"/>
      <c r="K9" s="2204">
        <v>2012</v>
      </c>
      <c r="L9" s="2205"/>
      <c r="M9" s="2205"/>
      <c r="N9" s="2206"/>
      <c r="O9" s="2203" t="s">
        <v>42</v>
      </c>
      <c r="P9" s="2198"/>
      <c r="Q9" s="816" t="s">
        <v>0</v>
      </c>
      <c r="S9" s="824"/>
      <c r="T9" s="816"/>
    </row>
    <row r="10" spans="1:20" ht="14.25" customHeight="1">
      <c r="A10" s="822"/>
      <c r="B10" s="822"/>
      <c r="C10" s="2199"/>
      <c r="D10" s="2200"/>
      <c r="E10" s="823"/>
      <c r="F10" s="2201"/>
      <c r="G10" s="2202"/>
      <c r="H10" s="823"/>
      <c r="I10" s="2201"/>
      <c r="J10" s="2202"/>
      <c r="K10" s="2187" t="s">
        <v>280</v>
      </c>
      <c r="L10" s="2188"/>
      <c r="M10" s="2189" t="s">
        <v>289</v>
      </c>
      <c r="N10" s="2170"/>
      <c r="O10" s="2201"/>
      <c r="P10" s="2202"/>
      <c r="Q10" s="816" t="s">
        <v>0</v>
      </c>
      <c r="S10" s="824"/>
      <c r="T10" s="816"/>
    </row>
    <row r="11" spans="1:20" hidden="1">
      <c r="A11" s="2190" t="s">
        <v>290</v>
      </c>
      <c r="B11" s="822"/>
      <c r="C11" s="825"/>
      <c r="D11" s="826"/>
      <c r="E11" s="827"/>
      <c r="F11" s="825"/>
      <c r="G11" s="826"/>
      <c r="H11" s="827"/>
      <c r="I11" s="825"/>
      <c r="J11" s="826"/>
      <c r="K11" s="825"/>
      <c r="L11" s="826"/>
      <c r="M11" s="828"/>
      <c r="N11" s="826"/>
      <c r="O11" s="825"/>
      <c r="P11" s="826"/>
      <c r="Q11" s="816" t="s">
        <v>0</v>
      </c>
      <c r="S11" s="828"/>
      <c r="T11" s="816"/>
    </row>
    <row r="12" spans="1:20" ht="51">
      <c r="A12" s="2191"/>
      <c r="B12" s="822"/>
      <c r="C12" s="829" t="s">
        <v>291</v>
      </c>
      <c r="D12" s="830" t="s">
        <v>292</v>
      </c>
      <c r="E12" s="827"/>
      <c r="F12" s="829" t="s">
        <v>291</v>
      </c>
      <c r="G12" s="830" t="s">
        <v>292</v>
      </c>
      <c r="H12" s="827"/>
      <c r="I12" s="829" t="s">
        <v>291</v>
      </c>
      <c r="J12" s="830" t="s">
        <v>292</v>
      </c>
      <c r="K12" s="829" t="s">
        <v>291</v>
      </c>
      <c r="L12" s="830" t="s">
        <v>292</v>
      </c>
      <c r="M12" s="829" t="s">
        <v>291</v>
      </c>
      <c r="N12" s="830" t="s">
        <v>292</v>
      </c>
      <c r="O12" s="829" t="s">
        <v>291</v>
      </c>
      <c r="P12" s="830" t="s">
        <v>292</v>
      </c>
      <c r="Q12" s="816" t="s">
        <v>0</v>
      </c>
      <c r="S12" s="831"/>
      <c r="T12" s="816"/>
    </row>
    <row r="13" spans="1:20">
      <c r="A13" s="832"/>
      <c r="B13" s="822"/>
      <c r="C13" s="833"/>
      <c r="D13" s="834"/>
      <c r="E13" s="835"/>
      <c r="F13" s="833"/>
      <c r="G13" s="834"/>
      <c r="H13" s="835"/>
      <c r="I13" s="833"/>
      <c r="J13" s="834"/>
      <c r="K13" s="833"/>
      <c r="L13" s="836"/>
      <c r="M13" s="837"/>
      <c r="N13" s="834"/>
      <c r="O13" s="833"/>
      <c r="P13" s="834"/>
      <c r="Q13" s="816" t="s">
        <v>0</v>
      </c>
      <c r="S13" s="838"/>
      <c r="T13" s="816"/>
    </row>
    <row r="14" spans="1:20">
      <c r="A14" s="839" t="s">
        <v>293</v>
      </c>
      <c r="B14" s="822"/>
      <c r="C14" s="833"/>
      <c r="D14" s="840"/>
      <c r="E14" s="835"/>
      <c r="F14" s="833"/>
      <c r="G14" s="840"/>
      <c r="H14" s="835"/>
      <c r="I14" s="833"/>
      <c r="J14" s="840"/>
      <c r="K14" s="833"/>
      <c r="L14" s="836"/>
      <c r="M14" s="833"/>
      <c r="N14" s="840"/>
      <c r="O14" s="833"/>
      <c r="P14" s="840"/>
      <c r="Q14" s="816" t="s">
        <v>0</v>
      </c>
      <c r="S14" s="841"/>
      <c r="T14" s="816"/>
    </row>
    <row r="15" spans="1:20">
      <c r="A15" s="842" t="s">
        <v>294</v>
      </c>
      <c r="B15" s="822"/>
      <c r="C15" s="833"/>
      <c r="D15" s="840"/>
      <c r="E15" s="835"/>
      <c r="F15" s="833"/>
      <c r="G15" s="840"/>
      <c r="H15" s="835"/>
      <c r="I15" s="833"/>
      <c r="J15" s="840"/>
      <c r="K15" s="833"/>
      <c r="L15" s="836"/>
      <c r="M15" s="833"/>
      <c r="N15" s="840"/>
      <c r="O15" s="833"/>
      <c r="P15" s="834"/>
      <c r="Q15" s="816" t="s">
        <v>0</v>
      </c>
      <c r="S15" s="841"/>
      <c r="T15" s="816"/>
    </row>
    <row r="16" spans="1:20" ht="25.5">
      <c r="A16" s="843" t="s">
        <v>295</v>
      </c>
      <c r="B16" s="822"/>
      <c r="C16" s="833"/>
      <c r="D16" s="840"/>
      <c r="E16" s="835"/>
      <c r="F16" s="833"/>
      <c r="G16" s="840"/>
      <c r="H16" s="835"/>
      <c r="I16" s="833"/>
      <c r="J16" s="840"/>
      <c r="K16" s="833"/>
      <c r="L16" s="836"/>
      <c r="M16" s="833"/>
      <c r="N16" s="840"/>
      <c r="O16" s="833"/>
      <c r="P16" s="834"/>
      <c r="Q16" s="816" t="s">
        <v>0</v>
      </c>
      <c r="S16" s="841"/>
      <c r="T16" s="816"/>
    </row>
    <row r="17" spans="1:20" ht="25.5">
      <c r="A17" s="843" t="s">
        <v>296</v>
      </c>
      <c r="B17" s="822"/>
      <c r="C17" s="833"/>
      <c r="D17" s="840"/>
      <c r="E17" s="835"/>
      <c r="F17" s="833"/>
      <c r="G17" s="840"/>
      <c r="H17" s="835"/>
      <c r="I17" s="833"/>
      <c r="J17" s="840"/>
      <c r="K17" s="833"/>
      <c r="L17" s="836"/>
      <c r="M17" s="833"/>
      <c r="N17" s="840"/>
      <c r="O17" s="833"/>
      <c r="P17" s="834"/>
      <c r="Q17" s="816" t="s">
        <v>0</v>
      </c>
      <c r="S17" s="841"/>
      <c r="T17" s="816"/>
    </row>
    <row r="18" spans="1:20" ht="13.5" customHeight="1">
      <c r="A18" s="842" t="s">
        <v>297</v>
      </c>
      <c r="B18" s="844"/>
      <c r="C18" s="845"/>
      <c r="D18" s="846"/>
      <c r="E18" s="847"/>
      <c r="F18" s="845"/>
      <c r="G18" s="846"/>
      <c r="H18" s="848"/>
      <c r="I18" s="845"/>
      <c r="J18" s="846"/>
      <c r="K18" s="845"/>
      <c r="L18" s="849"/>
      <c r="M18" s="845"/>
      <c r="N18" s="846"/>
      <c r="O18" s="845"/>
      <c r="P18" s="846"/>
      <c r="Q18" s="816" t="s">
        <v>0</v>
      </c>
      <c r="S18" s="850"/>
      <c r="T18" s="816"/>
    </row>
    <row r="19" spans="1:20" s="857" customFormat="1">
      <c r="A19" s="851" t="s">
        <v>298</v>
      </c>
      <c r="B19" s="839"/>
      <c r="C19" s="852">
        <f>SUM(C15:C18)</f>
        <v>0</v>
      </c>
      <c r="D19" s="853">
        <f>SUM(D15:D18)</f>
        <v>0</v>
      </c>
      <c r="E19" s="854"/>
      <c r="F19" s="852">
        <f>SUM(F15:F18)</f>
        <v>0</v>
      </c>
      <c r="G19" s="853">
        <f>SUM(G15:G18)</f>
        <v>0</v>
      </c>
      <c r="H19" s="855"/>
      <c r="I19" s="852">
        <f t="shared" ref="I19:P19" si="0">SUM(I15:I18)</f>
        <v>0</v>
      </c>
      <c r="J19" s="853">
        <f t="shared" si="0"/>
        <v>0</v>
      </c>
      <c r="K19" s="852">
        <f t="shared" si="0"/>
        <v>0</v>
      </c>
      <c r="L19" s="853">
        <f t="shared" si="0"/>
        <v>0</v>
      </c>
      <c r="M19" s="852">
        <f t="shared" si="0"/>
        <v>0</v>
      </c>
      <c r="N19" s="853">
        <f t="shared" si="0"/>
        <v>0</v>
      </c>
      <c r="O19" s="852">
        <f t="shared" si="0"/>
        <v>0</v>
      </c>
      <c r="P19" s="853">
        <f t="shared" si="0"/>
        <v>0</v>
      </c>
      <c r="Q19" s="816" t="s">
        <v>0</v>
      </c>
      <c r="R19" s="818"/>
      <c r="S19" s="856"/>
      <c r="T19" s="816"/>
    </row>
    <row r="20" spans="1:20">
      <c r="A20" s="844"/>
      <c r="B20" s="822"/>
      <c r="C20" s="833"/>
      <c r="D20" s="834"/>
      <c r="E20" s="858"/>
      <c r="F20" s="833"/>
      <c r="G20" s="834"/>
      <c r="H20" s="858"/>
      <c r="I20" s="833"/>
      <c r="J20" s="834"/>
      <c r="K20" s="833"/>
      <c r="L20" s="836"/>
      <c r="M20" s="833"/>
      <c r="N20" s="834"/>
      <c r="O20" s="833"/>
      <c r="P20" s="834"/>
      <c r="Q20" s="816" t="s">
        <v>0</v>
      </c>
      <c r="S20" s="838"/>
      <c r="T20" s="816"/>
    </row>
    <row r="21" spans="1:20" ht="25.5">
      <c r="A21" s="859" t="s">
        <v>299</v>
      </c>
      <c r="B21" s="822"/>
      <c r="C21" s="833"/>
      <c r="D21" s="834"/>
      <c r="E21" s="860"/>
      <c r="F21" s="833"/>
      <c r="G21" s="834"/>
      <c r="H21" s="860"/>
      <c r="I21" s="833"/>
      <c r="J21" s="834"/>
      <c r="K21" s="833"/>
      <c r="L21" s="836"/>
      <c r="M21" s="833"/>
      <c r="N21" s="834"/>
      <c r="O21" s="861"/>
      <c r="P21" s="862"/>
      <c r="Q21" s="816" t="s">
        <v>0</v>
      </c>
      <c r="S21" s="838"/>
      <c r="T21" s="816"/>
    </row>
    <row r="22" spans="1:20" ht="25.5">
      <c r="A22" s="843" t="s">
        <v>300</v>
      </c>
      <c r="B22" s="822"/>
      <c r="C22" s="833"/>
      <c r="D22" s="834"/>
      <c r="E22" s="860"/>
      <c r="F22" s="833"/>
      <c r="G22" s="834"/>
      <c r="H22" s="860"/>
      <c r="I22" s="833"/>
      <c r="J22" s="834"/>
      <c r="K22" s="833"/>
      <c r="L22" s="836"/>
      <c r="M22" s="833"/>
      <c r="N22" s="834"/>
      <c r="O22" s="833"/>
      <c r="P22" s="834"/>
      <c r="Q22" s="816" t="s">
        <v>0</v>
      </c>
      <c r="S22" s="838"/>
      <c r="T22" s="816"/>
    </row>
    <row r="23" spans="1:20">
      <c r="A23" s="842" t="s">
        <v>301</v>
      </c>
      <c r="B23" s="822"/>
      <c r="C23" s="833"/>
      <c r="D23" s="834"/>
      <c r="E23" s="860"/>
      <c r="F23" s="833"/>
      <c r="G23" s="834"/>
      <c r="H23" s="860"/>
      <c r="I23" s="833"/>
      <c r="J23" s="834"/>
      <c r="K23" s="833"/>
      <c r="L23" s="836"/>
      <c r="M23" s="833"/>
      <c r="N23" s="834"/>
      <c r="O23" s="833"/>
      <c r="P23" s="834"/>
      <c r="Q23" s="816" t="s">
        <v>0</v>
      </c>
      <c r="S23" s="838"/>
      <c r="T23" s="816"/>
    </row>
    <row r="24" spans="1:20">
      <c r="A24" s="842" t="s">
        <v>302</v>
      </c>
      <c r="B24" s="822"/>
      <c r="C24" s="833"/>
      <c r="D24" s="834"/>
      <c r="E24" s="860"/>
      <c r="F24" s="833"/>
      <c r="G24" s="834"/>
      <c r="H24" s="860"/>
      <c r="I24" s="833"/>
      <c r="J24" s="834"/>
      <c r="K24" s="833"/>
      <c r="L24" s="836"/>
      <c r="M24" s="833"/>
      <c r="N24" s="834"/>
      <c r="O24" s="833"/>
      <c r="P24" s="834"/>
      <c r="Q24" s="816" t="s">
        <v>0</v>
      </c>
      <c r="S24" s="838"/>
      <c r="T24" s="816"/>
    </row>
    <row r="25" spans="1:20">
      <c r="A25" s="842" t="s">
        <v>303</v>
      </c>
      <c r="B25" s="822"/>
      <c r="C25" s="833"/>
      <c r="D25" s="834"/>
      <c r="E25" s="860"/>
      <c r="F25" s="833"/>
      <c r="G25" s="834"/>
      <c r="H25" s="860"/>
      <c r="I25" s="833"/>
      <c r="J25" s="834"/>
      <c r="K25" s="833"/>
      <c r="L25" s="836"/>
      <c r="M25" s="833"/>
      <c r="N25" s="834"/>
      <c r="O25" s="833"/>
      <c r="P25" s="834"/>
      <c r="Q25" s="816" t="s">
        <v>0</v>
      </c>
      <c r="S25" s="838"/>
      <c r="T25" s="816"/>
    </row>
    <row r="26" spans="1:20" ht="25.5">
      <c r="A26" s="843" t="s">
        <v>304</v>
      </c>
      <c r="B26" s="822"/>
      <c r="C26" s="833"/>
      <c r="D26" s="834"/>
      <c r="E26" s="860"/>
      <c r="F26" s="833"/>
      <c r="G26" s="834"/>
      <c r="H26" s="860"/>
      <c r="I26" s="833"/>
      <c r="J26" s="834"/>
      <c r="K26" s="833"/>
      <c r="L26" s="836"/>
      <c r="M26" s="833"/>
      <c r="N26" s="834"/>
      <c r="O26" s="833"/>
      <c r="P26" s="834"/>
      <c r="Q26" s="816" t="s">
        <v>0</v>
      </c>
      <c r="S26" s="838"/>
      <c r="T26" s="816"/>
    </row>
    <row r="27" spans="1:20">
      <c r="A27" s="842" t="s">
        <v>305</v>
      </c>
      <c r="B27" s="822"/>
      <c r="C27" s="833"/>
      <c r="D27" s="834"/>
      <c r="E27" s="860"/>
      <c r="F27" s="833"/>
      <c r="G27" s="834"/>
      <c r="H27" s="860"/>
      <c r="I27" s="833"/>
      <c r="J27" s="834"/>
      <c r="K27" s="833"/>
      <c r="L27" s="836"/>
      <c r="M27" s="833"/>
      <c r="N27" s="834"/>
      <c r="O27" s="833"/>
      <c r="P27" s="834"/>
      <c r="Q27" s="816" t="s">
        <v>0</v>
      </c>
      <c r="S27" s="838"/>
      <c r="T27" s="816"/>
    </row>
    <row r="28" spans="1:20" ht="25.5">
      <c r="A28" s="843" t="s">
        <v>306</v>
      </c>
      <c r="B28" s="822"/>
      <c r="C28" s="833"/>
      <c r="D28" s="834"/>
      <c r="E28" s="860"/>
      <c r="F28" s="833"/>
      <c r="G28" s="834"/>
      <c r="H28" s="860"/>
      <c r="I28" s="833"/>
      <c r="J28" s="834"/>
      <c r="K28" s="833"/>
      <c r="L28" s="836"/>
      <c r="M28" s="833"/>
      <c r="N28" s="834"/>
      <c r="O28" s="833"/>
      <c r="P28" s="834"/>
      <c r="Q28" s="816" t="s">
        <v>0</v>
      </c>
      <c r="R28" s="838"/>
      <c r="S28" s="838"/>
      <c r="T28" s="816"/>
    </row>
    <row r="29" spans="1:20" ht="27.75" customHeight="1">
      <c r="A29" s="843" t="s">
        <v>307</v>
      </c>
      <c r="B29" s="844"/>
      <c r="C29" s="845"/>
      <c r="D29" s="846"/>
      <c r="E29" s="863"/>
      <c r="F29" s="845"/>
      <c r="G29" s="846"/>
      <c r="H29" s="864"/>
      <c r="I29" s="845"/>
      <c r="J29" s="846"/>
      <c r="K29" s="845"/>
      <c r="L29" s="849"/>
      <c r="M29" s="845"/>
      <c r="N29" s="846"/>
      <c r="O29" s="833"/>
      <c r="P29" s="865"/>
      <c r="Q29" s="816" t="s">
        <v>0</v>
      </c>
      <c r="R29" s="850"/>
      <c r="S29" s="850"/>
      <c r="T29" s="816"/>
    </row>
    <row r="30" spans="1:20">
      <c r="A30" s="851" t="s">
        <v>308</v>
      </c>
      <c r="B30" s="839"/>
      <c r="C30" s="852">
        <f>SUM(C22:C29)</f>
        <v>0</v>
      </c>
      <c r="D30" s="853">
        <f>SUM(D22:D29)</f>
        <v>0</v>
      </c>
      <c r="E30" s="866"/>
      <c r="F30" s="852">
        <f>SUM(F22:F29)</f>
        <v>0</v>
      </c>
      <c r="G30" s="853">
        <f>SUM(G22:G29)</f>
        <v>0</v>
      </c>
      <c r="H30" s="867"/>
      <c r="I30" s="852">
        <f t="shared" ref="I30:P30" si="1">SUM(I22:I29)</f>
        <v>0</v>
      </c>
      <c r="J30" s="853">
        <f t="shared" si="1"/>
        <v>0</v>
      </c>
      <c r="K30" s="868">
        <f t="shared" si="1"/>
        <v>0</v>
      </c>
      <c r="L30" s="869">
        <f t="shared" si="1"/>
        <v>0</v>
      </c>
      <c r="M30" s="852">
        <f t="shared" si="1"/>
        <v>0</v>
      </c>
      <c r="N30" s="853">
        <f t="shared" si="1"/>
        <v>0</v>
      </c>
      <c r="O30" s="868">
        <f t="shared" si="1"/>
        <v>0</v>
      </c>
      <c r="P30" s="853">
        <f t="shared" si="1"/>
        <v>0</v>
      </c>
      <c r="Q30" s="816" t="s">
        <v>0</v>
      </c>
      <c r="R30" s="856"/>
      <c r="S30" s="856"/>
      <c r="T30" s="816"/>
    </row>
    <row r="31" spans="1:20">
      <c r="A31" s="844"/>
      <c r="B31" s="822"/>
      <c r="C31" s="833"/>
      <c r="D31" s="834"/>
      <c r="E31" s="822"/>
      <c r="F31" s="833"/>
      <c r="G31" s="834"/>
      <c r="H31" s="822"/>
      <c r="I31" s="833"/>
      <c r="J31" s="834"/>
      <c r="K31" s="833"/>
      <c r="L31" s="836"/>
      <c r="M31" s="833"/>
      <c r="N31" s="834"/>
      <c r="O31" s="833"/>
      <c r="P31" s="834"/>
      <c r="Q31" s="816" t="s">
        <v>0</v>
      </c>
      <c r="R31" s="838"/>
      <c r="S31" s="838"/>
      <c r="T31" s="816"/>
    </row>
    <row r="32" spans="1:20" ht="25.5">
      <c r="A32" s="859" t="s">
        <v>309</v>
      </c>
      <c r="B32" s="822"/>
      <c r="C32" s="833"/>
      <c r="D32" s="834"/>
      <c r="E32" s="835"/>
      <c r="F32" s="833"/>
      <c r="G32" s="834"/>
      <c r="H32" s="835"/>
      <c r="I32" s="833"/>
      <c r="J32" s="834"/>
      <c r="K32" s="833"/>
      <c r="L32" s="836"/>
      <c r="M32" s="833"/>
      <c r="N32" s="834"/>
      <c r="O32" s="833"/>
      <c r="P32" s="834"/>
      <c r="Q32" s="816" t="s">
        <v>0</v>
      </c>
      <c r="R32" s="838"/>
      <c r="S32" s="838"/>
      <c r="T32" s="816"/>
    </row>
    <row r="33" spans="1:20" ht="38.25">
      <c r="A33" s="843" t="s">
        <v>310</v>
      </c>
      <c r="B33" s="822"/>
      <c r="C33" s="833"/>
      <c r="D33" s="834"/>
      <c r="E33" s="835"/>
      <c r="F33" s="833"/>
      <c r="G33" s="834"/>
      <c r="H33" s="835"/>
      <c r="I33" s="833"/>
      <c r="J33" s="834"/>
      <c r="K33" s="833"/>
      <c r="L33" s="836"/>
      <c r="M33" s="833"/>
      <c r="N33" s="834"/>
      <c r="O33" s="833"/>
      <c r="P33" s="834"/>
      <c r="Q33" s="816" t="s">
        <v>0</v>
      </c>
      <c r="R33" s="838"/>
      <c r="S33" s="838"/>
      <c r="T33" s="816"/>
    </row>
    <row r="34" spans="1:20">
      <c r="A34" s="842" t="s">
        <v>311</v>
      </c>
      <c r="B34" s="822"/>
      <c r="C34" s="833"/>
      <c r="D34" s="834"/>
      <c r="E34" s="835"/>
      <c r="F34" s="833"/>
      <c r="G34" s="834"/>
      <c r="H34" s="835"/>
      <c r="I34" s="833"/>
      <c r="J34" s="834"/>
      <c r="K34" s="833"/>
      <c r="L34" s="836"/>
      <c r="M34" s="833"/>
      <c r="N34" s="834"/>
      <c r="O34" s="833"/>
      <c r="P34" s="834"/>
      <c r="Q34" s="816" t="s">
        <v>0</v>
      </c>
      <c r="R34" s="838"/>
      <c r="S34" s="838"/>
      <c r="T34" s="816"/>
    </row>
    <row r="35" spans="1:20" ht="42" customHeight="1">
      <c r="A35" s="843" t="s">
        <v>312</v>
      </c>
      <c r="B35" s="822"/>
      <c r="C35" s="833"/>
      <c r="D35" s="834"/>
      <c r="E35" s="835"/>
      <c r="F35" s="833"/>
      <c r="G35" s="834"/>
      <c r="H35" s="835"/>
      <c r="I35" s="833"/>
      <c r="J35" s="834"/>
      <c r="K35" s="833"/>
      <c r="L35" s="836"/>
      <c r="M35" s="833"/>
      <c r="N35" s="834"/>
      <c r="O35" s="833"/>
      <c r="P35" s="834"/>
      <c r="Q35" s="816" t="s">
        <v>0</v>
      </c>
      <c r="R35" s="838"/>
      <c r="S35" s="838"/>
      <c r="T35" s="816"/>
    </row>
    <row r="36" spans="1:20" ht="38.25">
      <c r="A36" s="843" t="s">
        <v>313</v>
      </c>
      <c r="B36" s="822"/>
      <c r="C36" s="833"/>
      <c r="D36" s="834"/>
      <c r="E36" s="835"/>
      <c r="F36" s="833"/>
      <c r="G36" s="834"/>
      <c r="H36" s="835"/>
      <c r="I36" s="833"/>
      <c r="J36" s="834"/>
      <c r="K36" s="833"/>
      <c r="L36" s="836"/>
      <c r="M36" s="833"/>
      <c r="N36" s="834"/>
      <c r="O36" s="833"/>
      <c r="P36" s="834"/>
      <c r="Q36" s="816" t="s">
        <v>0</v>
      </c>
      <c r="R36" s="838"/>
      <c r="S36" s="838"/>
      <c r="T36" s="816"/>
    </row>
    <row r="37" spans="1:20" ht="25.5">
      <c r="A37" s="843" t="s">
        <v>314</v>
      </c>
      <c r="B37" s="822"/>
      <c r="C37" s="833"/>
      <c r="D37" s="834"/>
      <c r="E37" s="835"/>
      <c r="F37" s="833"/>
      <c r="G37" s="834"/>
      <c r="H37" s="835"/>
      <c r="I37" s="833"/>
      <c r="J37" s="834"/>
      <c r="K37" s="833"/>
      <c r="L37" s="836"/>
      <c r="M37" s="833"/>
      <c r="N37" s="834"/>
      <c r="O37" s="833"/>
      <c r="P37" s="834"/>
      <c r="Q37" s="816" t="s">
        <v>0</v>
      </c>
      <c r="R37" s="838"/>
      <c r="S37" s="838"/>
      <c r="T37" s="816"/>
    </row>
    <row r="38" spans="1:20" ht="25.5">
      <c r="A38" s="843" t="s">
        <v>456</v>
      </c>
      <c r="B38" s="822"/>
      <c r="C38" s="833"/>
      <c r="D38" s="834"/>
      <c r="E38" s="835"/>
      <c r="F38" s="833"/>
      <c r="G38" s="834"/>
      <c r="H38" s="835"/>
      <c r="I38" s="833"/>
      <c r="J38" s="834"/>
      <c r="K38" s="833"/>
      <c r="L38" s="836"/>
      <c r="M38" s="833"/>
      <c r="N38" s="834"/>
      <c r="O38" s="833"/>
      <c r="P38" s="834"/>
      <c r="Q38" s="816" t="s">
        <v>0</v>
      </c>
      <c r="R38" s="838"/>
      <c r="S38" s="838"/>
      <c r="T38" s="816"/>
    </row>
    <row r="39" spans="1:20">
      <c r="A39" s="842" t="s">
        <v>315</v>
      </c>
      <c r="B39" s="822"/>
      <c r="C39" s="833"/>
      <c r="D39" s="834">
        <v>705000</v>
      </c>
      <c r="E39" s="835"/>
      <c r="F39" s="833"/>
      <c r="G39" s="834">
        <v>705000</v>
      </c>
      <c r="H39" s="835"/>
      <c r="I39" s="833"/>
      <c r="J39" s="834">
        <v>705000</v>
      </c>
      <c r="K39" s="833"/>
      <c r="L39" s="836">
        <v>145000</v>
      </c>
      <c r="M39" s="833"/>
      <c r="N39" s="834"/>
      <c r="O39" s="833">
        <f t="shared" ref="O39:P39" si="2">+I39+K39+M39</f>
        <v>0</v>
      </c>
      <c r="P39" s="834">
        <f t="shared" si="2"/>
        <v>850000</v>
      </c>
      <c r="Q39" s="816" t="s">
        <v>0</v>
      </c>
      <c r="R39" s="838"/>
      <c r="S39" s="838"/>
      <c r="T39" s="816"/>
    </row>
    <row r="40" spans="1:20">
      <c r="A40" s="851" t="s">
        <v>316</v>
      </c>
      <c r="B40" s="839"/>
      <c r="C40" s="852">
        <f>SUM(C33:C39)</f>
        <v>0</v>
      </c>
      <c r="D40" s="853">
        <f>SUM(D33:D39)</f>
        <v>705000</v>
      </c>
      <c r="E40" s="854"/>
      <c r="F40" s="852">
        <f>SUM(F33:F39)</f>
        <v>0</v>
      </c>
      <c r="G40" s="853">
        <f>SUM(G33:G39)</f>
        <v>705000</v>
      </c>
      <c r="H40" s="855"/>
      <c r="I40" s="852">
        <f t="shared" ref="I40:P40" si="3">SUM(I33:I39)</f>
        <v>0</v>
      </c>
      <c r="J40" s="853">
        <f t="shared" si="3"/>
        <v>705000</v>
      </c>
      <c r="K40" s="852">
        <f t="shared" si="3"/>
        <v>0</v>
      </c>
      <c r="L40" s="869">
        <f t="shared" si="3"/>
        <v>145000</v>
      </c>
      <c r="M40" s="852">
        <f t="shared" si="3"/>
        <v>0</v>
      </c>
      <c r="N40" s="853">
        <f t="shared" si="3"/>
        <v>0</v>
      </c>
      <c r="O40" s="852">
        <f t="shared" si="3"/>
        <v>0</v>
      </c>
      <c r="P40" s="853">
        <f t="shared" si="3"/>
        <v>850000</v>
      </c>
      <c r="Q40" s="816" t="s">
        <v>0</v>
      </c>
      <c r="R40" s="856"/>
      <c r="S40" s="856"/>
      <c r="T40" s="816"/>
    </row>
    <row r="41" spans="1:20" ht="13.5" thickBot="1">
      <c r="A41" s="822"/>
      <c r="B41" s="822"/>
      <c r="C41" s="822"/>
      <c r="D41" s="822"/>
      <c r="E41" s="822"/>
      <c r="F41" s="822"/>
      <c r="G41" s="822"/>
      <c r="H41" s="822"/>
      <c r="I41" s="822"/>
      <c r="J41" s="822"/>
      <c r="K41" s="874"/>
      <c r="L41" s="874"/>
      <c r="M41" s="1358"/>
      <c r="N41" s="822"/>
      <c r="O41" s="822"/>
      <c r="P41" s="822"/>
      <c r="Q41" s="816" t="s">
        <v>0</v>
      </c>
      <c r="R41" s="838"/>
      <c r="S41" s="838"/>
      <c r="T41" s="816"/>
    </row>
    <row r="42" spans="1:20" s="883" customFormat="1" ht="18.75" customHeight="1" thickBot="1">
      <c r="A42" s="876" t="s">
        <v>317</v>
      </c>
      <c r="B42" s="877"/>
      <c r="C42" s="878">
        <f>C19+C30+C40</f>
        <v>0</v>
      </c>
      <c r="D42" s="879">
        <f>D19+D30+D40</f>
        <v>705000</v>
      </c>
      <c r="E42" s="880"/>
      <c r="F42" s="878">
        <f>F19+F30+F40</f>
        <v>0</v>
      </c>
      <c r="G42" s="879">
        <f>G19+G30+G40</f>
        <v>705000</v>
      </c>
      <c r="H42" s="880"/>
      <c r="I42" s="878">
        <f t="shared" ref="I42:P42" si="4">I19+I30+I40</f>
        <v>0</v>
      </c>
      <c r="J42" s="879">
        <f t="shared" si="4"/>
        <v>705000</v>
      </c>
      <c r="K42" s="878">
        <f t="shared" si="4"/>
        <v>0</v>
      </c>
      <c r="L42" s="879">
        <f t="shared" si="4"/>
        <v>145000</v>
      </c>
      <c r="M42" s="878">
        <f t="shared" si="4"/>
        <v>0</v>
      </c>
      <c r="N42" s="879">
        <f t="shared" si="4"/>
        <v>0</v>
      </c>
      <c r="O42" s="878">
        <f t="shared" si="4"/>
        <v>0</v>
      </c>
      <c r="P42" s="879">
        <f t="shared" si="4"/>
        <v>850000</v>
      </c>
      <c r="Q42" s="816" t="s">
        <v>24</v>
      </c>
      <c r="R42" s="881"/>
      <c r="S42" s="882"/>
      <c r="T42" s="816"/>
    </row>
    <row r="43" spans="1:20">
      <c r="A43" s="884"/>
      <c r="B43" s="884"/>
      <c r="C43" s="881"/>
      <c r="D43" s="882"/>
      <c r="E43" s="884"/>
      <c r="F43" s="881"/>
      <c r="G43" s="882"/>
      <c r="H43" s="884"/>
      <c r="I43" s="881"/>
      <c r="J43" s="882"/>
      <c r="K43" s="883"/>
      <c r="L43" s="883"/>
      <c r="M43" s="883"/>
      <c r="N43" s="883"/>
      <c r="O43" s="883"/>
      <c r="P43" s="883"/>
      <c r="Q43" s="883"/>
      <c r="R43" s="885"/>
      <c r="S43" s="885"/>
      <c r="T43" s="816"/>
    </row>
    <row r="44" spans="1:20">
      <c r="A44" s="884"/>
      <c r="B44" s="884"/>
      <c r="C44" s="881"/>
      <c r="D44" s="882"/>
      <c r="E44" s="884"/>
      <c r="F44" s="881"/>
      <c r="G44" s="882"/>
      <c r="H44" s="884"/>
      <c r="I44" s="881"/>
      <c r="J44" s="882"/>
      <c r="K44" s="883"/>
      <c r="L44" s="883"/>
      <c r="M44" s="883"/>
      <c r="N44" s="883"/>
      <c r="O44" s="883"/>
      <c r="P44" s="883"/>
      <c r="Q44" s="883"/>
      <c r="R44" s="885"/>
      <c r="S44" s="885"/>
      <c r="T44" s="816"/>
    </row>
    <row r="45" spans="1:20">
      <c r="A45" s="886"/>
      <c r="B45" s="887"/>
      <c r="C45" s="888"/>
      <c r="D45" s="889"/>
      <c r="E45" s="887"/>
      <c r="F45" s="888"/>
      <c r="G45" s="889"/>
      <c r="H45" s="887"/>
      <c r="I45" s="888"/>
      <c r="J45" s="889"/>
      <c r="K45" s="888"/>
      <c r="L45" s="890"/>
      <c r="M45" s="888"/>
      <c r="N45" s="889"/>
      <c r="O45" s="888"/>
      <c r="P45" s="889"/>
      <c r="Q45" s="883"/>
      <c r="R45" s="891"/>
      <c r="S45" s="892"/>
      <c r="T45" s="816"/>
    </row>
    <row r="46" spans="1:20">
      <c r="A46" s="884"/>
      <c r="B46" s="884"/>
      <c r="C46" s="881"/>
      <c r="D46" s="882"/>
      <c r="E46" s="884"/>
      <c r="F46" s="881"/>
      <c r="G46" s="882"/>
      <c r="H46" s="884"/>
      <c r="I46" s="881"/>
      <c r="J46" s="882"/>
      <c r="K46" s="883"/>
      <c r="L46" s="883"/>
      <c r="M46" s="883"/>
      <c r="N46" s="883"/>
      <c r="O46" s="883"/>
      <c r="P46" s="883"/>
      <c r="Q46" s="883"/>
      <c r="R46" s="885"/>
      <c r="S46" s="885"/>
    </row>
    <row r="48" spans="1:20" ht="15.75">
      <c r="A48" s="2192"/>
      <c r="B48" s="2192"/>
      <c r="C48" s="2192"/>
      <c r="D48" s="2192"/>
      <c r="E48" s="2192"/>
      <c r="F48" s="2192"/>
      <c r="G48" s="2192"/>
      <c r="H48" s="2192"/>
      <c r="I48" s="893"/>
      <c r="J48" s="894"/>
      <c r="K48" s="895"/>
      <c r="L48" s="895"/>
      <c r="M48" s="895"/>
      <c r="N48" s="895"/>
      <c r="O48" s="895"/>
      <c r="P48" s="895"/>
      <c r="Q48" s="895"/>
      <c r="R48" s="895"/>
      <c r="S48" s="895"/>
    </row>
    <row r="49" spans="1:19" ht="15.75">
      <c r="A49" s="896"/>
      <c r="B49" s="897"/>
      <c r="C49" s="898"/>
      <c r="D49" s="898"/>
      <c r="E49" s="897"/>
      <c r="F49" s="898"/>
      <c r="G49" s="898"/>
      <c r="H49" s="897"/>
      <c r="I49" s="893"/>
      <c r="J49" s="894"/>
      <c r="K49" s="895"/>
      <c r="L49" s="895"/>
      <c r="M49" s="895"/>
      <c r="N49" s="895"/>
      <c r="O49" s="895"/>
      <c r="P49" s="895"/>
      <c r="Q49" s="895"/>
      <c r="R49" s="895"/>
      <c r="S49" s="895"/>
    </row>
    <row r="50" spans="1:19" ht="68.25" customHeight="1">
      <c r="A50" s="2193"/>
      <c r="B50" s="2194"/>
      <c r="C50" s="2194"/>
      <c r="D50" s="2194"/>
      <c r="E50" s="2194"/>
      <c r="F50" s="2194"/>
      <c r="G50" s="2194"/>
      <c r="H50" s="899"/>
      <c r="I50" s="756"/>
      <c r="J50" s="900"/>
      <c r="K50" s="900"/>
      <c r="L50" s="900"/>
      <c r="M50" s="900"/>
      <c r="N50" s="900"/>
      <c r="O50" s="900"/>
      <c r="P50" s="900"/>
      <c r="Q50" s="900"/>
      <c r="R50" s="900"/>
      <c r="S50" s="900"/>
    </row>
    <row r="51" spans="1:19" ht="15" customHeight="1">
      <c r="A51" s="899"/>
      <c r="B51" s="899"/>
      <c r="C51" s="899"/>
      <c r="D51" s="899"/>
      <c r="E51" s="899"/>
      <c r="F51" s="899"/>
      <c r="G51" s="899"/>
      <c r="H51" s="899"/>
      <c r="I51" s="756"/>
      <c r="J51" s="900"/>
      <c r="K51" s="900"/>
      <c r="L51" s="900"/>
      <c r="M51" s="900"/>
      <c r="N51" s="900"/>
      <c r="O51" s="900"/>
      <c r="P51" s="900"/>
      <c r="Q51" s="900"/>
      <c r="R51" s="900"/>
      <c r="S51" s="900"/>
    </row>
    <row r="52" spans="1:19" ht="15">
      <c r="A52" s="2195"/>
      <c r="B52" s="2196"/>
      <c r="C52" s="2196"/>
      <c r="D52" s="2196"/>
      <c r="E52" s="2196"/>
      <c r="F52" s="2196"/>
      <c r="G52" s="2196"/>
      <c r="H52" s="901"/>
      <c r="I52" s="902"/>
      <c r="J52" s="902"/>
      <c r="K52" s="902"/>
      <c r="L52" s="902"/>
      <c r="M52" s="902"/>
      <c r="N52" s="902"/>
      <c r="O52" s="902"/>
      <c r="P52" s="902"/>
      <c r="Q52" s="902"/>
      <c r="R52" s="902"/>
      <c r="S52" s="902"/>
    </row>
    <row r="53" spans="1:19">
      <c r="A53" s="903"/>
      <c r="B53" s="903"/>
      <c r="C53" s="903"/>
      <c r="D53" s="903"/>
      <c r="E53" s="903"/>
      <c r="F53" s="903"/>
      <c r="G53" s="903"/>
      <c r="H53" s="903"/>
      <c r="I53" s="895"/>
      <c r="J53" s="895"/>
      <c r="K53" s="895"/>
      <c r="L53" s="895"/>
      <c r="M53" s="895"/>
      <c r="N53" s="895"/>
      <c r="O53" s="895"/>
      <c r="P53" s="895"/>
      <c r="Q53" s="895"/>
      <c r="R53" s="895"/>
      <c r="S53" s="895"/>
    </row>
    <row r="54" spans="1:19" ht="57" customHeight="1">
      <c r="A54" s="2182"/>
      <c r="B54" s="2183"/>
      <c r="C54" s="2183"/>
      <c r="D54" s="2183"/>
      <c r="E54" s="2183"/>
      <c r="F54" s="2183"/>
      <c r="G54" s="2183"/>
      <c r="H54" s="899"/>
      <c r="I54" s="756"/>
      <c r="J54" s="900"/>
      <c r="K54" s="900"/>
      <c r="L54" s="900"/>
      <c r="M54" s="900"/>
      <c r="N54" s="900"/>
      <c r="O54" s="900"/>
      <c r="P54" s="900"/>
      <c r="Q54" s="900"/>
      <c r="R54" s="900"/>
      <c r="S54" s="900"/>
    </row>
    <row r="55" spans="1:19" ht="33.75" customHeight="1">
      <c r="A55" s="2182"/>
      <c r="B55" s="2183"/>
      <c r="C55" s="2183"/>
      <c r="D55" s="2183"/>
      <c r="E55" s="2183"/>
      <c r="F55" s="2183"/>
      <c r="G55" s="2183"/>
      <c r="H55" s="899"/>
      <c r="I55" s="756"/>
      <c r="J55" s="900"/>
      <c r="K55" s="900"/>
      <c r="L55" s="900"/>
      <c r="M55" s="900"/>
      <c r="N55" s="900"/>
      <c r="O55" s="900"/>
      <c r="P55" s="900"/>
      <c r="Q55" s="900"/>
      <c r="R55" s="900"/>
      <c r="S55" s="900"/>
    </row>
    <row r="56" spans="1:19" ht="15">
      <c r="A56" s="2184"/>
      <c r="B56" s="2185"/>
      <c r="C56" s="2185"/>
      <c r="D56" s="2185"/>
      <c r="E56" s="2185"/>
      <c r="F56" s="2185"/>
      <c r="G56" s="2185"/>
      <c r="H56" s="2185"/>
      <c r="I56" s="2185"/>
      <c r="J56" s="2186"/>
      <c r="K56" s="2186"/>
      <c r="L56" s="2186"/>
      <c r="M56" s="2186"/>
      <c r="N56" s="2186"/>
      <c r="O56" s="2186"/>
      <c r="P56" s="2186"/>
      <c r="Q56" s="2186"/>
      <c r="R56" s="2186"/>
      <c r="S56" s="2186"/>
    </row>
    <row r="57" spans="1:19" ht="15">
      <c r="A57" s="2184"/>
      <c r="B57" s="2185"/>
      <c r="C57" s="2185"/>
      <c r="D57" s="2185"/>
      <c r="E57" s="2185"/>
      <c r="F57" s="2185"/>
      <c r="G57" s="2185"/>
      <c r="H57" s="2185"/>
      <c r="I57" s="2185"/>
      <c r="J57" s="2186"/>
      <c r="K57" s="2186"/>
      <c r="L57" s="2186"/>
      <c r="M57" s="2186"/>
      <c r="N57" s="2186"/>
      <c r="O57" s="2186"/>
      <c r="P57" s="2186"/>
      <c r="Q57" s="2186"/>
      <c r="R57" s="2186"/>
      <c r="S57" s="2186"/>
    </row>
    <row r="58" spans="1:19">
      <c r="S58" s="816"/>
    </row>
  </sheetData>
  <mergeCells count="20">
    <mergeCell ref="A54:G54"/>
    <mergeCell ref="A55:G55"/>
    <mergeCell ref="A56:S56"/>
    <mergeCell ref="A57:S57"/>
    <mergeCell ref="K10:L10"/>
    <mergeCell ref="M10:N10"/>
    <mergeCell ref="A11:A12"/>
    <mergeCell ref="A48:H48"/>
    <mergeCell ref="A50:G50"/>
    <mergeCell ref="A52:G52"/>
    <mergeCell ref="C9:D10"/>
    <mergeCell ref="F9:G10"/>
    <mergeCell ref="I9:J10"/>
    <mergeCell ref="K9:N9"/>
    <mergeCell ref="O9:P10"/>
    <mergeCell ref="A1:P1"/>
    <mergeCell ref="A3:P3"/>
    <mergeCell ref="A4:P4"/>
    <mergeCell ref="A5:P5"/>
    <mergeCell ref="A6:P6"/>
  </mergeCells>
  <printOptions horizontalCentered="1"/>
  <pageMargins left="0.5" right="0.4" top="0.5" bottom="0.25" header="0" footer="0"/>
  <pageSetup scale="67" firstPageNumber="8" fitToHeight="0" orientation="landscape" useFirstPageNumber="1" r:id="rId1"/>
  <headerFooter alignWithMargins="0">
    <oddFooter>&amp;C&amp;"Times New Roman,Regular"Exhibit D - Resources by DOJ Strategic Goals Strategic Objectives&amp;R&amp;"Times New Roman,Regular"Crime Victims Fund</oddFooter>
  </headerFooter>
</worksheet>
</file>

<file path=xl/worksheets/sheet56.xml><?xml version="1.0" encoding="utf-8"?>
<worksheet xmlns="http://schemas.openxmlformats.org/spreadsheetml/2006/main" xmlns:r="http://schemas.openxmlformats.org/officeDocument/2006/relationships">
  <sheetPr>
    <pageSetUpPr fitToPage="1"/>
  </sheetPr>
  <dimension ref="A1:AC42"/>
  <sheetViews>
    <sheetView showOutlineSymbols="0" view="pageBreakPreview" zoomScale="90" zoomScaleNormal="75" zoomScaleSheetLayoutView="90" workbookViewId="0">
      <selection sqref="A1:O1"/>
    </sheetView>
  </sheetViews>
  <sheetFormatPr defaultColWidth="9.6640625" defaultRowHeight="15.75"/>
  <cols>
    <col min="1" max="1" width="27.77734375" style="684" customWidth="1"/>
    <col min="2" max="2" width="7.5546875" style="684" bestFit="1" customWidth="1"/>
    <col min="3" max="3" width="6.77734375" style="684" customWidth="1"/>
    <col min="4" max="4" width="10.88671875" style="684" bestFit="1" customWidth="1"/>
    <col min="5" max="5" width="5.77734375" style="684" customWidth="1"/>
    <col min="6" max="6" width="5.6640625" style="684" customWidth="1"/>
    <col min="7" max="7" width="7.77734375" style="684" customWidth="1"/>
    <col min="8" max="8" width="5.5546875" style="684" customWidth="1"/>
    <col min="9" max="9" width="5.6640625" style="684" customWidth="1"/>
    <col min="10" max="10" width="7.77734375" style="684" customWidth="1"/>
    <col min="11" max="11" width="8.77734375" style="684" customWidth="1"/>
    <col min="12" max="12" width="10" style="684" customWidth="1"/>
    <col min="13" max="13" width="7.5546875" style="684" bestFit="1" customWidth="1"/>
    <col min="14" max="14" width="6.77734375" style="684" customWidth="1"/>
    <col min="15" max="15" width="10.88671875" style="684" bestFit="1" customWidth="1"/>
    <col min="16" max="16" width="1" style="948" customWidth="1"/>
    <col min="17" max="16384" width="9.6640625" style="684"/>
  </cols>
  <sheetData>
    <row r="1" spans="1:29" ht="20.25">
      <c r="A1" s="2156" t="s">
        <v>240</v>
      </c>
      <c r="B1" s="2157"/>
      <c r="C1" s="2157"/>
      <c r="D1" s="2157"/>
      <c r="E1" s="2157"/>
      <c r="F1" s="2157"/>
      <c r="G1" s="2157"/>
      <c r="H1" s="2157"/>
      <c r="I1" s="2157"/>
      <c r="J1" s="2157"/>
      <c r="K1" s="2157"/>
      <c r="L1" s="2157"/>
      <c r="M1" s="2157"/>
      <c r="N1" s="2157"/>
      <c r="O1" s="2157"/>
      <c r="P1" s="904" t="s">
        <v>0</v>
      </c>
    </row>
    <row r="2" spans="1:29">
      <c r="A2" s="2209"/>
      <c r="B2" s="2209"/>
      <c r="C2" s="2209"/>
      <c r="D2" s="2209"/>
      <c r="E2" s="2209"/>
      <c r="F2" s="2209"/>
      <c r="G2" s="2209"/>
      <c r="H2" s="2209"/>
      <c r="I2" s="2209"/>
      <c r="J2" s="2209"/>
      <c r="K2" s="2209"/>
      <c r="L2" s="2209"/>
      <c r="M2" s="2209"/>
      <c r="N2" s="2209"/>
      <c r="O2" s="2209"/>
      <c r="P2" s="904" t="s">
        <v>0</v>
      </c>
    </row>
    <row r="3" spans="1:29" ht="18.75">
      <c r="A3" s="2210" t="s">
        <v>231</v>
      </c>
      <c r="B3" s="2211"/>
      <c r="C3" s="2211"/>
      <c r="D3" s="2211"/>
      <c r="E3" s="2211"/>
      <c r="F3" s="2211"/>
      <c r="G3" s="2211"/>
      <c r="H3" s="2211"/>
      <c r="I3" s="2211"/>
      <c r="J3" s="2211"/>
      <c r="K3" s="2211"/>
      <c r="L3" s="2211"/>
      <c r="M3" s="2211"/>
      <c r="N3" s="2211"/>
      <c r="O3" s="2211"/>
      <c r="P3" s="904" t="s">
        <v>0</v>
      </c>
    </row>
    <row r="4" spans="1:29" ht="16.5">
      <c r="A4" s="2212" t="str">
        <f>+'B. Summ of Reqs - CVF'!A5</f>
        <v>Office of Justice Programs</v>
      </c>
      <c r="B4" s="2208"/>
      <c r="C4" s="2208"/>
      <c r="D4" s="2208"/>
      <c r="E4" s="2208"/>
      <c r="F4" s="2208"/>
      <c r="G4" s="2208"/>
      <c r="H4" s="2208"/>
      <c r="I4" s="2208"/>
      <c r="J4" s="2208"/>
      <c r="K4" s="2208"/>
      <c r="L4" s="2208"/>
      <c r="M4" s="2208"/>
      <c r="N4" s="2208"/>
      <c r="O4" s="2208"/>
      <c r="P4" s="904" t="s">
        <v>0</v>
      </c>
    </row>
    <row r="5" spans="1:29" ht="16.5">
      <c r="A5" s="2212" t="str">
        <f>+'B. Summ of Reqs - CVF'!A6</f>
        <v>Crime Victims Fund</v>
      </c>
      <c r="B5" s="2211"/>
      <c r="C5" s="2211"/>
      <c r="D5" s="2211"/>
      <c r="E5" s="2211"/>
      <c r="F5" s="2211"/>
      <c r="G5" s="2211"/>
      <c r="H5" s="2211"/>
      <c r="I5" s="2211"/>
      <c r="J5" s="2211"/>
      <c r="K5" s="2211"/>
      <c r="L5" s="2211"/>
      <c r="M5" s="2211"/>
      <c r="N5" s="2211"/>
      <c r="O5" s="2211"/>
      <c r="P5" s="904" t="s">
        <v>0</v>
      </c>
    </row>
    <row r="6" spans="1:29">
      <c r="A6" s="2207" t="s">
        <v>257</v>
      </c>
      <c r="B6" s="2208"/>
      <c r="C6" s="2208"/>
      <c r="D6" s="2208"/>
      <c r="E6" s="2208"/>
      <c r="F6" s="2208"/>
      <c r="G6" s="2208"/>
      <c r="H6" s="2208"/>
      <c r="I6" s="2208"/>
      <c r="J6" s="2208"/>
      <c r="K6" s="2208"/>
      <c r="L6" s="2208"/>
      <c r="M6" s="2208"/>
      <c r="N6" s="2208"/>
      <c r="O6" s="2208"/>
      <c r="P6" s="904" t="s">
        <v>0</v>
      </c>
    </row>
    <row r="7" spans="1:29">
      <c r="A7" s="2209"/>
      <c r="B7" s="2209"/>
      <c r="C7" s="2209"/>
      <c r="D7" s="2209"/>
      <c r="E7" s="2209"/>
      <c r="F7" s="2209"/>
      <c r="G7" s="2209"/>
      <c r="H7" s="2209"/>
      <c r="I7" s="2209"/>
      <c r="J7" s="2209"/>
      <c r="K7" s="2209"/>
      <c r="L7" s="2209"/>
      <c r="M7" s="2209"/>
      <c r="N7" s="2209"/>
      <c r="O7" s="2209"/>
      <c r="P7" s="904" t="s">
        <v>0</v>
      </c>
    </row>
    <row r="8" spans="1:29">
      <c r="A8" s="2213"/>
      <c r="B8" s="2213"/>
      <c r="C8" s="2213"/>
      <c r="D8" s="2213"/>
      <c r="E8" s="2213"/>
      <c r="F8" s="2213"/>
      <c r="G8" s="2213"/>
      <c r="H8" s="2213"/>
      <c r="I8" s="2213"/>
      <c r="J8" s="2213"/>
      <c r="K8" s="2213"/>
      <c r="L8" s="2213"/>
      <c r="M8" s="2213"/>
      <c r="N8" s="2213"/>
      <c r="O8" s="2213"/>
      <c r="P8" s="904" t="s">
        <v>0</v>
      </c>
    </row>
    <row r="9" spans="1:29" ht="15.75" customHeight="1">
      <c r="A9" s="2214" t="s">
        <v>45</v>
      </c>
      <c r="B9" s="2217" t="s">
        <v>19</v>
      </c>
      <c r="C9" s="2218"/>
      <c r="D9" s="2219"/>
      <c r="E9" s="2223" t="s">
        <v>269</v>
      </c>
      <c r="F9" s="2224"/>
      <c r="G9" s="2225"/>
      <c r="H9" s="2217" t="s">
        <v>23</v>
      </c>
      <c r="I9" s="2218"/>
      <c r="J9" s="2218"/>
      <c r="K9" s="2229" t="s">
        <v>356</v>
      </c>
      <c r="L9" s="2229" t="s">
        <v>357</v>
      </c>
      <c r="M9" s="2217" t="s">
        <v>35</v>
      </c>
      <c r="N9" s="2218"/>
      <c r="O9" s="2219"/>
      <c r="P9" s="904" t="s">
        <v>0</v>
      </c>
    </row>
    <row r="10" spans="1:29">
      <c r="A10" s="2215"/>
      <c r="B10" s="2220"/>
      <c r="C10" s="2221"/>
      <c r="D10" s="2222"/>
      <c r="E10" s="2226"/>
      <c r="F10" s="2227"/>
      <c r="G10" s="2228"/>
      <c r="H10" s="2220"/>
      <c r="I10" s="2221"/>
      <c r="J10" s="2221"/>
      <c r="K10" s="2230"/>
      <c r="L10" s="2230"/>
      <c r="M10" s="2220"/>
      <c r="N10" s="2221"/>
      <c r="O10" s="2222"/>
      <c r="P10" s="904" t="s">
        <v>0</v>
      </c>
    </row>
    <row r="11" spans="1:29"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row>
    <row r="12" spans="1:29">
      <c r="A12" s="910" t="s">
        <v>373</v>
      </c>
      <c r="B12" s="738"/>
      <c r="C12" s="697"/>
      <c r="D12" s="697">
        <v>705000</v>
      </c>
      <c r="E12" s="738"/>
      <c r="F12" s="697"/>
      <c r="G12" s="1619"/>
      <c r="H12" s="738"/>
      <c r="I12" s="697"/>
      <c r="J12" s="697"/>
      <c r="K12" s="676">
        <v>50000</v>
      </c>
      <c r="L12" s="697"/>
      <c r="M12" s="1630">
        <f>B12+E12+H12</f>
        <v>0</v>
      </c>
      <c r="N12" s="1631">
        <f>C12+F12+I12</f>
        <v>0</v>
      </c>
      <c r="O12" s="667">
        <f>D12+G12+J12+K12</f>
        <v>755000</v>
      </c>
      <c r="P12" s="904" t="s">
        <v>0</v>
      </c>
    </row>
    <row r="13" spans="1:29">
      <c r="A13" s="918" t="s">
        <v>286</v>
      </c>
      <c r="B13" s="919">
        <f t="shared" ref="B13:O13" si="0">SUM(B12:B12)</f>
        <v>0</v>
      </c>
      <c r="C13" s="920">
        <f t="shared" si="0"/>
        <v>0</v>
      </c>
      <c r="D13" s="921">
        <f t="shared" si="0"/>
        <v>705000</v>
      </c>
      <c r="E13" s="919">
        <f t="shared" si="0"/>
        <v>0</v>
      </c>
      <c r="F13" s="920">
        <f t="shared" si="0"/>
        <v>0</v>
      </c>
      <c r="G13" s="921">
        <f t="shared" si="0"/>
        <v>0</v>
      </c>
      <c r="H13" s="919">
        <f t="shared" si="0"/>
        <v>0</v>
      </c>
      <c r="I13" s="920">
        <f t="shared" si="0"/>
        <v>0</v>
      </c>
      <c r="J13" s="921">
        <f t="shared" si="0"/>
        <v>0</v>
      </c>
      <c r="K13" s="923">
        <f t="shared" si="0"/>
        <v>50000</v>
      </c>
      <c r="L13" s="921">
        <f t="shared" si="0"/>
        <v>0</v>
      </c>
      <c r="M13" s="919">
        <f t="shared" si="0"/>
        <v>0</v>
      </c>
      <c r="N13" s="920">
        <f t="shared" si="0"/>
        <v>0</v>
      </c>
      <c r="O13" s="926">
        <f t="shared" si="0"/>
        <v>755000</v>
      </c>
      <c r="P13" s="904" t="s">
        <v>0</v>
      </c>
    </row>
    <row r="14" spans="1:29">
      <c r="A14" s="927" t="s">
        <v>263</v>
      </c>
      <c r="B14" s="735" t="s">
        <v>278</v>
      </c>
      <c r="C14" s="736"/>
      <c r="D14" s="736"/>
      <c r="E14" s="735"/>
      <c r="F14" s="736"/>
      <c r="G14" s="736"/>
      <c r="H14" s="735"/>
      <c r="I14" s="736"/>
      <c r="J14" s="736"/>
      <c r="K14" s="682"/>
      <c r="L14" s="736"/>
      <c r="M14" s="735"/>
      <c r="N14" s="736"/>
      <c r="O14" s="737"/>
      <c r="P14" s="904" t="s">
        <v>0</v>
      </c>
      <c r="Q14" s="928"/>
      <c r="R14" s="928"/>
      <c r="S14" s="928"/>
      <c r="T14" s="928"/>
      <c r="U14" s="928"/>
      <c r="V14" s="928"/>
      <c r="W14" s="928"/>
      <c r="X14" s="928"/>
      <c r="Y14" s="928"/>
      <c r="Z14" s="928"/>
      <c r="AA14" s="928"/>
      <c r="AB14" s="928"/>
      <c r="AC14" s="928"/>
    </row>
    <row r="15" spans="1:29">
      <c r="A15" s="927" t="s">
        <v>262</v>
      </c>
      <c r="B15" s="929"/>
      <c r="C15" s="930">
        <f>SUM(C13:C14)</f>
        <v>0</v>
      </c>
      <c r="D15" s="930"/>
      <c r="E15" s="929"/>
      <c r="F15" s="930">
        <f>+F13+F14</f>
        <v>0</v>
      </c>
      <c r="G15" s="930"/>
      <c r="H15" s="929"/>
      <c r="I15" s="930">
        <f>+I13+I14</f>
        <v>0</v>
      </c>
      <c r="J15" s="930"/>
      <c r="K15" s="931"/>
      <c r="L15" s="930"/>
      <c r="M15" s="929"/>
      <c r="N15" s="930">
        <f>SUM(N13:N14)</f>
        <v>0</v>
      </c>
      <c r="O15" s="932"/>
      <c r="P15" s="904" t="s">
        <v>0</v>
      </c>
    </row>
    <row r="16" spans="1:29">
      <c r="A16" s="933" t="s">
        <v>264</v>
      </c>
      <c r="B16" s="738"/>
      <c r="C16" s="697"/>
      <c r="D16" s="697"/>
      <c r="E16" s="738"/>
      <c r="F16" s="697"/>
      <c r="G16" s="697"/>
      <c r="H16" s="738"/>
      <c r="I16" s="697"/>
      <c r="J16" s="697"/>
      <c r="K16" s="676"/>
      <c r="L16" s="697"/>
      <c r="M16" s="738"/>
      <c r="N16" s="697"/>
      <c r="O16" s="667"/>
      <c r="P16" s="904" t="s">
        <v>0</v>
      </c>
    </row>
    <row r="17" spans="1:17">
      <c r="A17" s="934" t="s">
        <v>55</v>
      </c>
      <c r="B17" s="738"/>
      <c r="C17" s="697"/>
      <c r="D17" s="697"/>
      <c r="E17" s="738"/>
      <c r="F17" s="697"/>
      <c r="G17" s="697"/>
      <c r="H17" s="738"/>
      <c r="I17" s="697"/>
      <c r="J17" s="697"/>
      <c r="K17" s="676"/>
      <c r="L17" s="697"/>
      <c r="M17" s="738"/>
      <c r="N17" s="697"/>
      <c r="O17" s="667"/>
      <c r="P17" s="904" t="s">
        <v>0</v>
      </c>
    </row>
    <row r="18" spans="1:17">
      <c r="A18" s="935" t="s">
        <v>103</v>
      </c>
      <c r="B18" s="735"/>
      <c r="C18" s="736"/>
      <c r="D18" s="736"/>
      <c r="E18" s="735"/>
      <c r="F18" s="736"/>
      <c r="G18" s="736"/>
      <c r="H18" s="735"/>
      <c r="I18" s="736"/>
      <c r="J18" s="736"/>
      <c r="K18" s="682"/>
      <c r="L18" s="736"/>
      <c r="M18" s="735"/>
      <c r="N18" s="736"/>
      <c r="O18" s="737"/>
      <c r="P18" s="904" t="s">
        <v>0</v>
      </c>
    </row>
    <row r="19" spans="1:17">
      <c r="A19" s="927" t="s">
        <v>265</v>
      </c>
      <c r="B19" s="735"/>
      <c r="C19" s="736">
        <f>C18+C17+C15</f>
        <v>0</v>
      </c>
      <c r="D19" s="936"/>
      <c r="E19" s="735"/>
      <c r="F19" s="736">
        <f>F18+F17+F15</f>
        <v>0</v>
      </c>
      <c r="G19" s="936"/>
      <c r="H19" s="735"/>
      <c r="I19" s="736">
        <f>I18+I17+I15</f>
        <v>0</v>
      </c>
      <c r="J19" s="936"/>
      <c r="K19" s="937"/>
      <c r="L19" s="936"/>
      <c r="M19" s="735"/>
      <c r="N19" s="736">
        <f>N18+N17+N15</f>
        <v>0</v>
      </c>
      <c r="O19" s="938"/>
      <c r="P19" s="904" t="s">
        <v>0</v>
      </c>
    </row>
    <row r="20" spans="1:17">
      <c r="B20" s="939"/>
      <c r="C20" s="939"/>
      <c r="D20" s="939"/>
      <c r="E20" s="939"/>
      <c r="F20" s="939"/>
      <c r="G20" s="939"/>
      <c r="H20" s="939"/>
      <c r="I20" s="939"/>
      <c r="J20" s="939"/>
      <c r="K20" s="939"/>
      <c r="L20" s="939"/>
      <c r="M20" s="939"/>
      <c r="N20" s="939"/>
      <c r="O20" s="939"/>
      <c r="P20" s="2580" t="s">
        <v>0</v>
      </c>
      <c r="Q20" s="2581"/>
    </row>
    <row r="21" spans="1:17">
      <c r="A21" s="939"/>
      <c r="C21" s="939"/>
      <c r="D21" s="939"/>
      <c r="E21" s="939"/>
      <c r="F21" s="939"/>
      <c r="G21" s="939"/>
      <c r="H21" s="939"/>
      <c r="I21" s="939"/>
      <c r="J21" s="939"/>
      <c r="K21" s="939"/>
      <c r="L21" s="939"/>
      <c r="M21" s="939"/>
      <c r="N21" s="939"/>
      <c r="O21" s="939"/>
      <c r="P21" s="2580" t="s">
        <v>0</v>
      </c>
      <c r="Q21" s="2581"/>
    </row>
    <row r="22" spans="1:17">
      <c r="A22" s="939"/>
      <c r="C22" s="939"/>
      <c r="D22" s="939"/>
      <c r="E22" s="939"/>
      <c r="F22" s="939"/>
      <c r="G22" s="939"/>
      <c r="H22" s="939"/>
      <c r="I22" s="939"/>
      <c r="J22" s="939"/>
      <c r="K22" s="939"/>
      <c r="L22" s="939"/>
      <c r="M22" s="939"/>
      <c r="N22" s="939"/>
      <c r="O22" s="939"/>
      <c r="P22" s="2580" t="s">
        <v>0</v>
      </c>
      <c r="Q22" s="2581"/>
    </row>
    <row r="23" spans="1:17">
      <c r="A23" s="939"/>
      <c r="C23" s="939"/>
      <c r="D23" s="939"/>
      <c r="E23" s="939"/>
      <c r="F23" s="939"/>
      <c r="G23" s="939"/>
      <c r="H23" s="939"/>
      <c r="I23" s="939"/>
      <c r="J23" s="939"/>
      <c r="K23" s="939"/>
      <c r="L23" s="939"/>
      <c r="M23" s="939"/>
      <c r="N23" s="939"/>
      <c r="O23" s="939"/>
      <c r="P23" s="2580" t="s">
        <v>0</v>
      </c>
      <c r="Q23" s="2581"/>
    </row>
    <row r="24" spans="1:17">
      <c r="A24" s="939"/>
      <c r="C24" s="939"/>
      <c r="D24" s="939"/>
      <c r="E24" s="939"/>
      <c r="F24" s="939"/>
      <c r="G24" s="939"/>
      <c r="H24" s="939"/>
      <c r="I24" s="939"/>
      <c r="J24" s="939"/>
      <c r="K24" s="939"/>
      <c r="L24" s="939"/>
      <c r="M24" s="939"/>
      <c r="N24" s="939"/>
      <c r="O24" s="939"/>
      <c r="P24" s="2580" t="s">
        <v>0</v>
      </c>
      <c r="Q24" s="2581"/>
    </row>
    <row r="25" spans="1:17" ht="14.45" customHeight="1">
      <c r="A25" s="939"/>
      <c r="B25" s="940"/>
      <c r="C25" s="940"/>
      <c r="D25" s="940"/>
      <c r="E25" s="940"/>
      <c r="F25" s="940"/>
      <c r="G25" s="940"/>
      <c r="H25" s="940"/>
      <c r="I25" s="940"/>
      <c r="J25" s="940"/>
      <c r="K25" s="940"/>
      <c r="L25" s="940"/>
      <c r="M25" s="939"/>
      <c r="N25" s="939"/>
      <c r="O25" s="939"/>
      <c r="P25" s="2580" t="s">
        <v>0</v>
      </c>
      <c r="Q25" s="2581"/>
    </row>
    <row r="26" spans="1:17">
      <c r="A26" s="941"/>
      <c r="B26" s="939"/>
      <c r="C26" s="939"/>
      <c r="D26" s="939"/>
      <c r="E26" s="939"/>
      <c r="F26" s="939"/>
      <c r="G26" s="939"/>
      <c r="H26" s="939"/>
      <c r="I26" s="939"/>
      <c r="J26" s="939"/>
      <c r="K26" s="939"/>
      <c r="L26" s="939"/>
      <c r="M26" s="939"/>
      <c r="N26" s="939"/>
      <c r="O26" s="939"/>
      <c r="P26" s="2580" t="s">
        <v>0</v>
      </c>
      <c r="Q26" s="2581"/>
    </row>
    <row r="27" spans="1:17">
      <c r="A27" s="942"/>
      <c r="B27" s="942"/>
      <c r="C27" s="942"/>
      <c r="D27" s="942"/>
      <c r="E27" s="942"/>
      <c r="F27" s="942"/>
      <c r="G27" s="942"/>
      <c r="H27" s="939"/>
      <c r="I27" s="939"/>
      <c r="J27" s="939"/>
      <c r="K27" s="939"/>
      <c r="L27" s="939"/>
      <c r="M27" s="939"/>
      <c r="N27" s="939"/>
      <c r="O27" s="939"/>
      <c r="P27" s="2580" t="s">
        <v>24</v>
      </c>
      <c r="Q27" s="2581"/>
    </row>
    <row r="28" spans="1:17">
      <c r="A28" s="2233"/>
      <c r="B28" s="2232"/>
      <c r="C28" s="2232"/>
      <c r="D28" s="2232"/>
      <c r="E28" s="2232"/>
      <c r="F28" s="2232"/>
      <c r="G28" s="2232"/>
      <c r="H28" s="2232"/>
      <c r="I28" s="2232"/>
      <c r="J28" s="2232"/>
      <c r="K28" s="2232"/>
      <c r="L28" s="2232"/>
      <c r="M28" s="2232"/>
      <c r="N28" s="2232"/>
      <c r="O28" s="2232"/>
      <c r="P28" s="684"/>
    </row>
    <row r="29" spans="1:17">
      <c r="A29" s="943"/>
      <c r="B29" s="944"/>
      <c r="C29" s="944"/>
      <c r="D29" s="944"/>
      <c r="E29" s="944"/>
      <c r="F29" s="944"/>
      <c r="G29" s="944"/>
      <c r="H29" s="944"/>
      <c r="I29" s="944"/>
      <c r="J29" s="944"/>
      <c r="K29" s="944"/>
      <c r="L29" s="944"/>
      <c r="M29" s="944"/>
      <c r="N29" s="944"/>
      <c r="O29" s="944"/>
      <c r="P29" s="684"/>
    </row>
    <row r="30" spans="1:17">
      <c r="A30" s="2234"/>
      <c r="B30" s="2235"/>
      <c r="C30" s="2235"/>
      <c r="D30" s="2235"/>
      <c r="E30" s="2235"/>
      <c r="F30" s="2235"/>
      <c r="G30" s="2235"/>
      <c r="H30" s="2235"/>
      <c r="I30" s="2235"/>
      <c r="J30" s="2235"/>
      <c r="K30" s="2235"/>
      <c r="L30" s="2235"/>
      <c r="M30" s="2235"/>
      <c r="N30" s="2235"/>
      <c r="O30" s="2235"/>
      <c r="P30" s="684"/>
    </row>
    <row r="31" spans="1:17" ht="24" customHeight="1">
      <c r="A31" s="2236"/>
      <c r="B31" s="2235"/>
      <c r="C31" s="2235"/>
      <c r="D31" s="2235"/>
      <c r="E31" s="2235"/>
      <c r="F31" s="2235"/>
      <c r="G31" s="2235"/>
      <c r="H31" s="2235"/>
      <c r="I31" s="2235"/>
      <c r="J31" s="2235"/>
      <c r="K31" s="2235"/>
      <c r="L31" s="2235"/>
      <c r="M31" s="2235"/>
      <c r="N31" s="2235"/>
      <c r="O31" s="2235"/>
      <c r="P31" s="684"/>
    </row>
    <row r="32" spans="1:17" ht="23.25" customHeight="1">
      <c r="A32" s="2234"/>
      <c r="B32" s="2236"/>
      <c r="C32" s="2236"/>
      <c r="D32" s="2236"/>
      <c r="E32" s="2236"/>
      <c r="F32" s="2236"/>
      <c r="G32" s="2236"/>
      <c r="H32" s="2236"/>
      <c r="I32" s="2236"/>
      <c r="J32" s="2236"/>
      <c r="K32" s="2236"/>
      <c r="L32" s="2236"/>
      <c r="M32" s="2236"/>
      <c r="N32" s="2236"/>
      <c r="O32" s="2236"/>
      <c r="P32" s="684"/>
    </row>
    <row r="33" spans="1:16" ht="9.75" customHeight="1">
      <c r="A33" s="752"/>
      <c r="B33" s="752"/>
      <c r="C33" s="752"/>
      <c r="D33" s="752"/>
      <c r="E33" s="752"/>
      <c r="F33" s="752"/>
      <c r="G33" s="752"/>
      <c r="H33" s="752"/>
      <c r="I33" s="752"/>
      <c r="J33" s="752"/>
      <c r="K33" s="752"/>
      <c r="L33" s="752"/>
      <c r="M33" s="752"/>
      <c r="N33" s="752"/>
      <c r="O33" s="752"/>
      <c r="P33" s="684"/>
    </row>
    <row r="34" spans="1:16" ht="11.25" customHeight="1">
      <c r="A34" s="752"/>
      <c r="B34" s="752"/>
      <c r="C34" s="752"/>
      <c r="D34" s="752"/>
      <c r="E34" s="752"/>
      <c r="F34" s="752"/>
      <c r="G34" s="752"/>
      <c r="H34" s="752"/>
      <c r="I34" s="752"/>
      <c r="J34" s="752"/>
      <c r="K34" s="752"/>
      <c r="L34" s="752"/>
      <c r="M34" s="752"/>
      <c r="N34" s="752"/>
      <c r="O34" s="752"/>
      <c r="P34" s="684"/>
    </row>
    <row r="35" spans="1:16">
      <c r="A35" s="2236"/>
      <c r="B35" s="2236"/>
      <c r="C35" s="2236"/>
      <c r="D35" s="2236"/>
      <c r="E35" s="2236"/>
      <c r="F35" s="2236"/>
      <c r="G35" s="2236"/>
      <c r="H35" s="2236"/>
      <c r="I35" s="2236"/>
      <c r="J35" s="2236"/>
      <c r="K35" s="2236"/>
      <c r="L35" s="2236"/>
      <c r="M35" s="2236"/>
      <c r="N35" s="2236"/>
      <c r="O35" s="2236"/>
      <c r="P35" s="684"/>
    </row>
    <row r="36" spans="1:16" ht="7.5" customHeight="1">
      <c r="A36" s="945"/>
      <c r="B36" s="945"/>
      <c r="C36" s="945"/>
      <c r="D36" s="945"/>
      <c r="E36" s="945"/>
      <c r="F36" s="945"/>
      <c r="G36" s="945"/>
      <c r="H36" s="945"/>
      <c r="I36" s="945"/>
      <c r="J36" s="945"/>
      <c r="K36" s="945"/>
      <c r="L36" s="945"/>
      <c r="M36" s="945"/>
      <c r="N36" s="945"/>
      <c r="O36" s="945"/>
      <c r="P36" s="684"/>
    </row>
    <row r="37" spans="1:16">
      <c r="A37" s="946"/>
      <c r="B37" s="945"/>
      <c r="C37" s="945"/>
      <c r="D37" s="945"/>
      <c r="E37" s="945"/>
      <c r="F37" s="945"/>
      <c r="G37" s="945"/>
      <c r="H37" s="945"/>
      <c r="I37" s="945"/>
      <c r="J37" s="945"/>
      <c r="K37" s="945"/>
      <c r="L37" s="945"/>
      <c r="M37" s="945"/>
      <c r="N37" s="945"/>
      <c r="O37" s="945"/>
      <c r="P37" s="684"/>
    </row>
    <row r="38" spans="1:16" ht="11.25" customHeight="1">
      <c r="A38" s="752"/>
      <c r="B38" s="752"/>
      <c r="C38" s="752"/>
      <c r="D38" s="752"/>
      <c r="E38" s="752"/>
      <c r="F38" s="752"/>
      <c r="G38" s="752"/>
      <c r="H38" s="752"/>
      <c r="I38" s="752"/>
      <c r="J38" s="752"/>
      <c r="K38" s="752"/>
      <c r="L38" s="752"/>
      <c r="M38" s="752"/>
      <c r="N38" s="752"/>
      <c r="O38" s="752"/>
      <c r="P38" s="684"/>
    </row>
    <row r="39" spans="1:16" ht="15" customHeight="1">
      <c r="A39" s="2236"/>
      <c r="B39" s="2235"/>
      <c r="C39" s="2235"/>
      <c r="D39" s="2235"/>
      <c r="E39" s="2235"/>
      <c r="F39" s="2235"/>
      <c r="G39" s="2235"/>
      <c r="H39" s="2235"/>
      <c r="I39" s="2235"/>
      <c r="J39" s="2235"/>
      <c r="K39" s="2235"/>
      <c r="L39" s="2235"/>
      <c r="M39" s="2235"/>
      <c r="N39" s="2235"/>
      <c r="O39" s="2235"/>
      <c r="P39" s="684"/>
    </row>
    <row r="40" spans="1:16" ht="12" customHeight="1">
      <c r="A40" s="747"/>
      <c r="B40" s="747"/>
      <c r="C40" s="747"/>
      <c r="D40" s="747"/>
      <c r="E40" s="747"/>
      <c r="F40" s="747"/>
      <c r="G40" s="747"/>
      <c r="H40" s="747"/>
      <c r="I40" s="747"/>
      <c r="J40" s="747"/>
      <c r="K40" s="747"/>
      <c r="L40" s="747"/>
      <c r="M40" s="747"/>
      <c r="N40" s="747"/>
      <c r="O40" s="947"/>
      <c r="P40" s="684"/>
    </row>
    <row r="41" spans="1:16" ht="36" customHeight="1">
      <c r="A41" s="2231"/>
      <c r="B41" s="2232"/>
      <c r="C41" s="2232"/>
      <c r="D41" s="2232"/>
      <c r="E41" s="2232"/>
      <c r="F41" s="2232"/>
      <c r="G41" s="2232"/>
      <c r="H41" s="2232"/>
      <c r="I41" s="2232"/>
      <c r="J41" s="2232"/>
      <c r="K41" s="2232"/>
      <c r="L41" s="2232"/>
      <c r="M41" s="2232"/>
      <c r="N41" s="2232"/>
      <c r="O41" s="2232"/>
      <c r="P41" s="2232"/>
    </row>
    <row r="42" spans="1:16">
      <c r="P42" s="684"/>
    </row>
  </sheetData>
  <mergeCells count="22">
    <mergeCell ref="A41:P41"/>
    <mergeCell ref="A28:O28"/>
    <mergeCell ref="A30:O30"/>
    <mergeCell ref="A31:O31"/>
    <mergeCell ref="A32:O32"/>
    <mergeCell ref="A35:O35"/>
    <mergeCell ref="A39:O39"/>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4" top="0.5" bottom="0.25" header="0" footer="0"/>
  <pageSetup scale="79" firstPageNumber="8" fitToHeight="0" orientation="landscape" useFirstPageNumber="1" r:id="rId1"/>
  <headerFooter alignWithMargins="0">
    <oddFooter>&amp;C&amp;"Times New Roman,Regular"Exhibit F - Crosswalk of 2010 Availability&amp;R&amp;"Times New Roman,Regular"Crime Victims Fund</oddFooter>
  </headerFooter>
</worksheet>
</file>

<file path=xl/worksheets/sheet57.xml><?xml version="1.0" encoding="utf-8"?>
<worksheet xmlns="http://schemas.openxmlformats.org/spreadsheetml/2006/main" xmlns:r="http://schemas.openxmlformats.org/officeDocument/2006/relationships">
  <sheetPr>
    <pageSetUpPr fitToPage="1"/>
  </sheetPr>
  <dimension ref="A1:Q43"/>
  <sheetViews>
    <sheetView view="pageBreakPreview" zoomScale="70" zoomScaleNormal="100" zoomScaleSheetLayoutView="70" workbookViewId="0">
      <selection sqref="A1:O1"/>
    </sheetView>
  </sheetViews>
  <sheetFormatPr defaultRowHeight="15.75"/>
  <cols>
    <col min="1" max="1" width="35.21875" style="949" customWidth="1"/>
    <col min="2" max="10" width="8.88671875" style="949"/>
    <col min="11" max="11" width="9.44140625" style="684" customWidth="1"/>
    <col min="12" max="12" width="10" style="684" customWidth="1"/>
    <col min="13" max="16384" width="8.88671875" style="949"/>
  </cols>
  <sheetData>
    <row r="1" spans="1:17" ht="20.25">
      <c r="A1" s="2156" t="s">
        <v>613</v>
      </c>
      <c r="B1" s="2157"/>
      <c r="C1" s="2157"/>
      <c r="D1" s="2157"/>
      <c r="E1" s="2157"/>
      <c r="F1" s="2157"/>
      <c r="G1" s="2157"/>
      <c r="H1" s="2157"/>
      <c r="I1" s="2157"/>
      <c r="J1" s="2157"/>
      <c r="K1" s="2157"/>
      <c r="L1" s="2157"/>
      <c r="M1" s="2157"/>
      <c r="N1" s="2157"/>
      <c r="O1" s="2157"/>
      <c r="P1" s="904" t="s">
        <v>0</v>
      </c>
      <c r="Q1" s="684"/>
    </row>
    <row r="2" spans="1:17">
      <c r="A2" s="2209"/>
      <c r="B2" s="2209"/>
      <c r="C2" s="2209"/>
      <c r="D2" s="2209"/>
      <c r="E2" s="2209"/>
      <c r="F2" s="2209"/>
      <c r="G2" s="2209"/>
      <c r="H2" s="2209"/>
      <c r="I2" s="2209"/>
      <c r="J2" s="2209"/>
      <c r="K2" s="2209"/>
      <c r="L2" s="2209"/>
      <c r="M2" s="2209"/>
      <c r="N2" s="2209"/>
      <c r="O2" s="2209"/>
      <c r="P2" s="904" t="s">
        <v>0</v>
      </c>
      <c r="Q2" s="684"/>
    </row>
    <row r="3" spans="1:17" ht="18.75">
      <c r="A3" s="2210" t="s">
        <v>329</v>
      </c>
      <c r="B3" s="2211"/>
      <c r="C3" s="2211"/>
      <c r="D3" s="2211"/>
      <c r="E3" s="2211"/>
      <c r="F3" s="2211"/>
      <c r="G3" s="2211"/>
      <c r="H3" s="2211"/>
      <c r="I3" s="2211"/>
      <c r="J3" s="2211"/>
      <c r="K3" s="2211"/>
      <c r="L3" s="2211"/>
      <c r="M3" s="2211"/>
      <c r="N3" s="2211"/>
      <c r="O3" s="2211"/>
      <c r="P3" s="904" t="s">
        <v>0</v>
      </c>
      <c r="Q3" s="684"/>
    </row>
    <row r="4" spans="1:17" ht="16.5">
      <c r="A4" s="2212" t="str">
        <f>+'B. Summ of Reqs - CVF'!A5</f>
        <v>Office of Justice Programs</v>
      </c>
      <c r="B4" s="2208"/>
      <c r="C4" s="2208"/>
      <c r="D4" s="2208"/>
      <c r="E4" s="2208"/>
      <c r="F4" s="2208"/>
      <c r="G4" s="2208"/>
      <c r="H4" s="2208"/>
      <c r="I4" s="2208"/>
      <c r="J4" s="2208"/>
      <c r="K4" s="2208"/>
      <c r="L4" s="2208"/>
      <c r="M4" s="2208"/>
      <c r="N4" s="2208"/>
      <c r="O4" s="2208"/>
      <c r="P4" s="904" t="s">
        <v>0</v>
      </c>
      <c r="Q4" s="684"/>
    </row>
    <row r="5" spans="1:17" ht="16.5">
      <c r="A5" s="2212" t="str">
        <f>+'B. Summ of Reqs - CVF'!A6</f>
        <v>Crime Victims Fund</v>
      </c>
      <c r="B5" s="2211"/>
      <c r="C5" s="2211"/>
      <c r="D5" s="2211"/>
      <c r="E5" s="2211"/>
      <c r="F5" s="2211"/>
      <c r="G5" s="2211"/>
      <c r="H5" s="2211"/>
      <c r="I5" s="2211"/>
      <c r="J5" s="2211"/>
      <c r="K5" s="2211"/>
      <c r="L5" s="2211"/>
      <c r="M5" s="2211"/>
      <c r="N5" s="2211"/>
      <c r="O5" s="2211"/>
      <c r="P5" s="904" t="s">
        <v>0</v>
      </c>
      <c r="Q5" s="684"/>
    </row>
    <row r="6" spans="1:17">
      <c r="A6" s="2207" t="s">
        <v>257</v>
      </c>
      <c r="B6" s="2208"/>
      <c r="C6" s="2208"/>
      <c r="D6" s="2208"/>
      <c r="E6" s="2208"/>
      <c r="F6" s="2208"/>
      <c r="G6" s="2208"/>
      <c r="H6" s="2208"/>
      <c r="I6" s="2208"/>
      <c r="J6" s="2208"/>
      <c r="K6" s="2208"/>
      <c r="L6" s="2208"/>
      <c r="M6" s="2208"/>
      <c r="N6" s="2208"/>
      <c r="O6" s="2208"/>
      <c r="P6" s="904" t="s">
        <v>0</v>
      </c>
      <c r="Q6" s="684"/>
    </row>
    <row r="7" spans="1:17">
      <c r="A7" s="2209"/>
      <c r="B7" s="2209"/>
      <c r="C7" s="2209"/>
      <c r="D7" s="2209"/>
      <c r="E7" s="2209"/>
      <c r="F7" s="2209"/>
      <c r="G7" s="2209"/>
      <c r="H7" s="2209"/>
      <c r="I7" s="2209"/>
      <c r="J7" s="2209"/>
      <c r="K7" s="2209"/>
      <c r="L7" s="2209"/>
      <c r="M7" s="2209"/>
      <c r="N7" s="2209"/>
      <c r="O7" s="2209"/>
      <c r="P7" s="904" t="s">
        <v>0</v>
      </c>
      <c r="Q7" s="684"/>
    </row>
    <row r="8" spans="1:17">
      <c r="A8" s="2213"/>
      <c r="B8" s="2213"/>
      <c r="C8" s="2213"/>
      <c r="D8" s="2213"/>
      <c r="E8" s="2213"/>
      <c r="F8" s="2213"/>
      <c r="G8" s="2213"/>
      <c r="H8" s="2213"/>
      <c r="I8" s="2213"/>
      <c r="J8" s="2213"/>
      <c r="K8" s="2213"/>
      <c r="L8" s="2213"/>
      <c r="M8" s="2213"/>
      <c r="N8" s="2213"/>
      <c r="O8" s="2213"/>
      <c r="P8" s="904" t="s">
        <v>0</v>
      </c>
      <c r="Q8" s="684"/>
    </row>
    <row r="9" spans="1:17" ht="15.75" customHeight="1">
      <c r="A9" s="2214" t="s">
        <v>45</v>
      </c>
      <c r="B9" s="2217" t="s">
        <v>359</v>
      </c>
      <c r="C9" s="2218"/>
      <c r="D9" s="2219"/>
      <c r="E9" s="2223" t="s">
        <v>269</v>
      </c>
      <c r="F9" s="2224"/>
      <c r="G9" s="2225"/>
      <c r="H9" s="2217" t="s">
        <v>23</v>
      </c>
      <c r="I9" s="2218"/>
      <c r="J9" s="2219"/>
      <c r="K9" s="2229" t="s">
        <v>356</v>
      </c>
      <c r="L9" s="2237" t="s">
        <v>357</v>
      </c>
      <c r="M9" s="2217" t="s">
        <v>330</v>
      </c>
      <c r="N9" s="2218"/>
      <c r="O9" s="2219"/>
      <c r="P9" s="904" t="s">
        <v>0</v>
      </c>
      <c r="Q9" s="684"/>
    </row>
    <row r="10" spans="1:17">
      <c r="A10" s="2215"/>
      <c r="B10" s="2220"/>
      <c r="C10" s="2221"/>
      <c r="D10" s="2222"/>
      <c r="E10" s="2226"/>
      <c r="F10" s="2227"/>
      <c r="G10" s="2228"/>
      <c r="H10" s="2220"/>
      <c r="I10" s="2221"/>
      <c r="J10" s="2222"/>
      <c r="K10" s="2230"/>
      <c r="L10" s="2238"/>
      <c r="M10" s="2220"/>
      <c r="N10" s="2221"/>
      <c r="O10" s="2222"/>
      <c r="P10" s="904" t="s">
        <v>0</v>
      </c>
      <c r="Q10" s="684"/>
    </row>
    <row r="11" spans="1:17" ht="16.5" thickBot="1">
      <c r="A11" s="2216"/>
      <c r="B11" s="905" t="s">
        <v>277</v>
      </c>
      <c r="C11" s="906" t="s">
        <v>49</v>
      </c>
      <c r="D11" s="906" t="s">
        <v>279</v>
      </c>
      <c r="E11" s="905" t="s">
        <v>277</v>
      </c>
      <c r="F11" s="906" t="s">
        <v>49</v>
      </c>
      <c r="G11" s="906" t="s">
        <v>279</v>
      </c>
      <c r="H11" s="905" t="s">
        <v>277</v>
      </c>
      <c r="I11" s="906" t="s">
        <v>49</v>
      </c>
      <c r="J11" s="906" t="s">
        <v>279</v>
      </c>
      <c r="K11" s="907" t="s">
        <v>279</v>
      </c>
      <c r="L11" s="908" t="s">
        <v>279</v>
      </c>
      <c r="M11" s="905" t="s">
        <v>277</v>
      </c>
      <c r="N11" s="906" t="s">
        <v>49</v>
      </c>
      <c r="O11" s="909" t="s">
        <v>279</v>
      </c>
      <c r="P11" s="904" t="s">
        <v>0</v>
      </c>
      <c r="Q11" s="684"/>
    </row>
    <row r="12" spans="1:17">
      <c r="A12" s="910" t="s">
        <v>373</v>
      </c>
      <c r="B12" s="738"/>
      <c r="C12" s="697"/>
      <c r="D12" s="697">
        <v>705000</v>
      </c>
      <c r="E12" s="738"/>
      <c r="F12" s="697"/>
      <c r="G12" s="1619"/>
      <c r="H12" s="738"/>
      <c r="I12" s="697"/>
      <c r="J12" s="697"/>
      <c r="K12" s="676">
        <v>50000</v>
      </c>
      <c r="L12" s="697"/>
      <c r="M12" s="738">
        <f>B12+E12+H12</f>
        <v>0</v>
      </c>
      <c r="N12" s="697">
        <f>C12+F12+I12</f>
        <v>0</v>
      </c>
      <c r="O12" s="667">
        <f>D12+G12+J12+K12+L12</f>
        <v>755000</v>
      </c>
      <c r="P12" s="904" t="s">
        <v>0</v>
      </c>
      <c r="Q12" s="684"/>
    </row>
    <row r="13" spans="1:17">
      <c r="A13" s="918" t="s">
        <v>286</v>
      </c>
      <c r="B13" s="919">
        <f t="shared" ref="B13:O13" si="0">SUM(B12:B12)</f>
        <v>0</v>
      </c>
      <c r="C13" s="920">
        <f t="shared" si="0"/>
        <v>0</v>
      </c>
      <c r="D13" s="921">
        <f t="shared" si="0"/>
        <v>705000</v>
      </c>
      <c r="E13" s="919">
        <f t="shared" si="0"/>
        <v>0</v>
      </c>
      <c r="F13" s="920">
        <f t="shared" si="0"/>
        <v>0</v>
      </c>
      <c r="G13" s="921">
        <f t="shared" si="0"/>
        <v>0</v>
      </c>
      <c r="H13" s="919">
        <f t="shared" si="0"/>
        <v>0</v>
      </c>
      <c r="I13" s="920">
        <f t="shared" si="0"/>
        <v>0</v>
      </c>
      <c r="J13" s="921">
        <f t="shared" si="0"/>
        <v>0</v>
      </c>
      <c r="K13" s="923">
        <f t="shared" si="0"/>
        <v>50000</v>
      </c>
      <c r="L13" s="921">
        <f t="shared" si="0"/>
        <v>0</v>
      </c>
      <c r="M13" s="919">
        <f t="shared" si="0"/>
        <v>0</v>
      </c>
      <c r="N13" s="920">
        <f t="shared" si="0"/>
        <v>0</v>
      </c>
      <c r="O13" s="926">
        <f t="shared" si="0"/>
        <v>755000</v>
      </c>
      <c r="P13" s="904" t="s">
        <v>0</v>
      </c>
      <c r="Q13" s="684"/>
    </row>
    <row r="14" spans="1:17">
      <c r="A14" s="927" t="s">
        <v>263</v>
      </c>
      <c r="B14" s="735" t="s">
        <v>278</v>
      </c>
      <c r="C14" s="736"/>
      <c r="D14" s="736"/>
      <c r="E14" s="735"/>
      <c r="F14" s="736"/>
      <c r="G14" s="736"/>
      <c r="H14" s="735"/>
      <c r="I14" s="736"/>
      <c r="J14" s="736"/>
      <c r="K14" s="682"/>
      <c r="L14" s="736"/>
      <c r="M14" s="735"/>
      <c r="N14" s="736"/>
      <c r="O14" s="737"/>
      <c r="P14" s="904" t="s">
        <v>0</v>
      </c>
      <c r="Q14" s="928"/>
    </row>
    <row r="15" spans="1:17">
      <c r="A15" s="927" t="s">
        <v>262</v>
      </c>
      <c r="B15" s="929"/>
      <c r="C15" s="930">
        <f>SUM(C13:C14)</f>
        <v>0</v>
      </c>
      <c r="D15" s="930"/>
      <c r="E15" s="929"/>
      <c r="F15" s="930">
        <f>+F13+F14</f>
        <v>0</v>
      </c>
      <c r="G15" s="930"/>
      <c r="H15" s="929"/>
      <c r="I15" s="930">
        <f>+I13+I14</f>
        <v>0</v>
      </c>
      <c r="J15" s="930"/>
      <c r="K15" s="931"/>
      <c r="L15" s="930"/>
      <c r="M15" s="929"/>
      <c r="N15" s="930">
        <f>SUM(N13:N14)</f>
        <v>0</v>
      </c>
      <c r="O15" s="932"/>
      <c r="P15" s="904" t="s">
        <v>0</v>
      </c>
      <c r="Q15" s="684"/>
    </row>
    <row r="16" spans="1:17">
      <c r="A16" s="933" t="s">
        <v>264</v>
      </c>
      <c r="B16" s="738"/>
      <c r="C16" s="697"/>
      <c r="D16" s="697"/>
      <c r="E16" s="738"/>
      <c r="F16" s="697"/>
      <c r="G16" s="697"/>
      <c r="H16" s="738"/>
      <c r="I16" s="697"/>
      <c r="J16" s="697"/>
      <c r="K16" s="676"/>
      <c r="L16" s="697"/>
      <c r="M16" s="738"/>
      <c r="N16" s="697"/>
      <c r="O16" s="667"/>
      <c r="P16" s="904" t="s">
        <v>0</v>
      </c>
      <c r="Q16" s="684"/>
    </row>
    <row r="17" spans="1:17">
      <c r="A17" s="934" t="s">
        <v>55</v>
      </c>
      <c r="B17" s="738"/>
      <c r="C17" s="697"/>
      <c r="D17" s="697"/>
      <c r="E17" s="738"/>
      <c r="F17" s="697"/>
      <c r="G17" s="697"/>
      <c r="H17" s="738"/>
      <c r="I17" s="697"/>
      <c r="J17" s="697"/>
      <c r="K17" s="676"/>
      <c r="L17" s="697"/>
      <c r="M17" s="738"/>
      <c r="N17" s="697"/>
      <c r="O17" s="667"/>
      <c r="P17" s="904" t="s">
        <v>0</v>
      </c>
      <c r="Q17" s="684"/>
    </row>
    <row r="18" spans="1:17">
      <c r="A18" s="935" t="s">
        <v>103</v>
      </c>
      <c r="B18" s="735"/>
      <c r="C18" s="736"/>
      <c r="D18" s="736"/>
      <c r="E18" s="735"/>
      <c r="F18" s="736"/>
      <c r="G18" s="736"/>
      <c r="H18" s="735"/>
      <c r="I18" s="736"/>
      <c r="J18" s="736"/>
      <c r="K18" s="682"/>
      <c r="L18" s="736"/>
      <c r="M18" s="735"/>
      <c r="N18" s="736"/>
      <c r="O18" s="737"/>
      <c r="P18" s="904" t="s">
        <v>0</v>
      </c>
      <c r="Q18" s="684"/>
    </row>
    <row r="19" spans="1:17">
      <c r="A19" s="927" t="s">
        <v>265</v>
      </c>
      <c r="B19" s="735"/>
      <c r="C19" s="736">
        <f>C18+C17+C15</f>
        <v>0</v>
      </c>
      <c r="D19" s="936"/>
      <c r="E19" s="735"/>
      <c r="F19" s="736">
        <f>F18+F17+F15</f>
        <v>0</v>
      </c>
      <c r="G19" s="936"/>
      <c r="H19" s="735"/>
      <c r="I19" s="736">
        <f>I18+I17+I15</f>
        <v>0</v>
      </c>
      <c r="J19" s="936"/>
      <c r="K19" s="937"/>
      <c r="L19" s="936"/>
      <c r="M19" s="735"/>
      <c r="N19" s="736">
        <f>N18+N17+N15</f>
        <v>0</v>
      </c>
      <c r="O19" s="938"/>
      <c r="P19" s="904" t="s">
        <v>0</v>
      </c>
      <c r="Q19" s="684"/>
    </row>
    <row r="20" spans="1:17">
      <c r="A20" s="684"/>
      <c r="B20" s="939"/>
      <c r="C20" s="939"/>
      <c r="D20" s="939"/>
      <c r="E20" s="939"/>
      <c r="F20" s="939"/>
      <c r="G20" s="939"/>
      <c r="H20" s="939"/>
      <c r="I20" s="939"/>
      <c r="J20" s="939"/>
      <c r="K20" s="939"/>
      <c r="L20" s="939"/>
      <c r="M20" s="939"/>
      <c r="N20" s="939"/>
      <c r="O20" s="939"/>
      <c r="P20" s="2580" t="s">
        <v>0</v>
      </c>
      <c r="Q20" s="684"/>
    </row>
    <row r="21" spans="1:17">
      <c r="A21" s="939"/>
      <c r="B21" s="684"/>
      <c r="C21" s="939"/>
      <c r="D21" s="939"/>
      <c r="E21" s="939"/>
      <c r="F21" s="939"/>
      <c r="G21" s="939"/>
      <c r="H21" s="939"/>
      <c r="I21" s="939"/>
      <c r="J21" s="939"/>
      <c r="K21" s="939"/>
      <c r="L21" s="939"/>
      <c r="M21" s="939"/>
      <c r="N21" s="939"/>
      <c r="O21" s="939"/>
      <c r="P21" s="904" t="s">
        <v>0</v>
      </c>
      <c r="Q21" s="684"/>
    </row>
    <row r="22" spans="1:17">
      <c r="A22" s="939"/>
      <c r="B22" s="684"/>
      <c r="C22" s="939"/>
      <c r="D22" s="939"/>
      <c r="E22" s="939"/>
      <c r="F22" s="939"/>
      <c r="G22" s="939"/>
      <c r="H22" s="939"/>
      <c r="I22" s="939"/>
      <c r="J22" s="939"/>
      <c r="K22" s="939"/>
      <c r="L22" s="939"/>
      <c r="M22" s="939"/>
      <c r="N22" s="939"/>
      <c r="O22" s="939"/>
      <c r="P22" s="904" t="s">
        <v>0</v>
      </c>
      <c r="Q22" s="684"/>
    </row>
    <row r="23" spans="1:17">
      <c r="A23" s="939"/>
      <c r="B23" s="684"/>
      <c r="C23" s="939"/>
      <c r="D23" s="939"/>
      <c r="E23" s="939"/>
      <c r="F23" s="939"/>
      <c r="G23" s="939"/>
      <c r="H23" s="939"/>
      <c r="I23" s="939"/>
      <c r="J23" s="939"/>
      <c r="K23" s="939"/>
      <c r="L23" s="939"/>
      <c r="M23" s="939"/>
      <c r="N23" s="939"/>
      <c r="O23" s="939"/>
      <c r="P23" s="904" t="s">
        <v>0</v>
      </c>
      <c r="Q23" s="684"/>
    </row>
    <row r="24" spans="1:17">
      <c r="A24" s="939"/>
      <c r="B24" s="684"/>
      <c r="C24" s="939"/>
      <c r="D24" s="939"/>
      <c r="E24" s="939"/>
      <c r="F24" s="939"/>
      <c r="G24" s="939"/>
      <c r="H24" s="939"/>
      <c r="I24" s="939"/>
      <c r="J24" s="939"/>
      <c r="K24" s="939"/>
      <c r="L24" s="939"/>
      <c r="M24" s="939"/>
      <c r="N24" s="939"/>
      <c r="O24" s="939"/>
      <c r="P24" s="904" t="s">
        <v>0</v>
      </c>
      <c r="Q24" s="684"/>
    </row>
    <row r="25" spans="1:17">
      <c r="A25" s="939"/>
      <c r="B25" s="940"/>
      <c r="C25" s="940"/>
      <c r="D25" s="940"/>
      <c r="E25" s="940"/>
      <c r="F25" s="940"/>
      <c r="G25" s="940"/>
      <c r="H25" s="940"/>
      <c r="I25" s="940"/>
      <c r="J25" s="940"/>
      <c r="K25" s="940"/>
      <c r="L25" s="940"/>
      <c r="M25" s="939"/>
      <c r="N25" s="939"/>
      <c r="O25" s="939"/>
      <c r="P25" s="904" t="s">
        <v>24</v>
      </c>
      <c r="Q25" s="684"/>
    </row>
    <row r="26" spans="1:17">
      <c r="A26" s="941"/>
      <c r="B26" s="939"/>
      <c r="C26" s="939"/>
      <c r="D26" s="939"/>
      <c r="E26" s="939"/>
      <c r="F26" s="939"/>
      <c r="G26" s="939"/>
      <c r="H26" s="939"/>
      <c r="I26" s="939"/>
      <c r="J26" s="939"/>
      <c r="K26" s="939"/>
      <c r="L26" s="939"/>
      <c r="M26" s="939"/>
      <c r="N26" s="939"/>
      <c r="O26" s="939"/>
      <c r="P26" s="948"/>
      <c r="Q26" s="684"/>
    </row>
    <row r="27" spans="1:17">
      <c r="A27" s="942"/>
      <c r="B27" s="942"/>
      <c r="C27" s="942"/>
      <c r="D27" s="942"/>
      <c r="E27" s="942"/>
      <c r="F27" s="942"/>
      <c r="G27" s="942"/>
      <c r="H27" s="939"/>
      <c r="I27" s="939"/>
      <c r="J27" s="939"/>
      <c r="K27" s="939"/>
      <c r="L27" s="939"/>
      <c r="M27" s="939"/>
      <c r="N27" s="939"/>
      <c r="O27" s="939"/>
      <c r="P27" s="948"/>
      <c r="Q27" s="684"/>
    </row>
    <row r="28" spans="1:17">
      <c r="A28" s="2233"/>
      <c r="B28" s="2232"/>
      <c r="C28" s="2232"/>
      <c r="D28" s="2232"/>
      <c r="E28" s="2232"/>
      <c r="F28" s="2232"/>
      <c r="G28" s="2232"/>
      <c r="H28" s="2232"/>
      <c r="I28" s="2232"/>
      <c r="J28" s="2232"/>
      <c r="K28" s="2232"/>
      <c r="L28" s="2232"/>
      <c r="M28" s="2232"/>
      <c r="N28" s="2232"/>
      <c r="O28" s="2232"/>
      <c r="P28" s="684"/>
      <c r="Q28" s="684"/>
    </row>
    <row r="29" spans="1:17">
      <c r="A29" s="943"/>
      <c r="B29" s="944"/>
      <c r="C29" s="944"/>
      <c r="D29" s="944"/>
      <c r="E29" s="944"/>
      <c r="F29" s="944"/>
      <c r="G29" s="944"/>
      <c r="H29" s="944"/>
      <c r="I29" s="944"/>
      <c r="J29" s="944"/>
      <c r="K29" s="944"/>
      <c r="L29" s="944"/>
      <c r="M29" s="944"/>
      <c r="N29" s="944"/>
      <c r="O29" s="944"/>
      <c r="P29" s="684"/>
      <c r="Q29" s="684"/>
    </row>
    <row r="30" spans="1:17">
      <c r="A30" s="2234"/>
      <c r="B30" s="2235"/>
      <c r="C30" s="2235"/>
      <c r="D30" s="2235"/>
      <c r="E30" s="2235"/>
      <c r="F30" s="2235"/>
      <c r="G30" s="2235"/>
      <c r="H30" s="2235"/>
      <c r="I30" s="2235"/>
      <c r="J30" s="2235"/>
      <c r="K30" s="2235"/>
      <c r="L30" s="2235"/>
      <c r="M30" s="2235"/>
      <c r="N30" s="2235"/>
      <c r="O30" s="2235"/>
      <c r="P30" s="684"/>
      <c r="Q30" s="684"/>
    </row>
    <row r="31" spans="1:17">
      <c r="A31" s="2236"/>
      <c r="B31" s="2235"/>
      <c r="C31" s="2235"/>
      <c r="D31" s="2235"/>
      <c r="E31" s="2235"/>
      <c r="F31" s="2235"/>
      <c r="G31" s="2235"/>
      <c r="H31" s="2235"/>
      <c r="I31" s="2235"/>
      <c r="J31" s="2235"/>
      <c r="K31" s="2235"/>
      <c r="L31" s="2235"/>
      <c r="M31" s="2235"/>
      <c r="N31" s="2235"/>
      <c r="O31" s="2235"/>
      <c r="P31" s="684"/>
      <c r="Q31" s="684"/>
    </row>
    <row r="32" spans="1:17" ht="18" customHeight="1">
      <c r="A32" s="2234"/>
      <c r="B32" s="2236"/>
      <c r="C32" s="2236"/>
      <c r="D32" s="2236"/>
      <c r="E32" s="2236"/>
      <c r="F32" s="2236"/>
      <c r="G32" s="2236"/>
      <c r="H32" s="2236"/>
      <c r="I32" s="2236"/>
      <c r="J32" s="2236"/>
      <c r="K32" s="2236"/>
      <c r="L32" s="2236"/>
      <c r="M32" s="2236"/>
      <c r="N32" s="2236"/>
      <c r="O32" s="2236"/>
      <c r="P32" s="684"/>
      <c r="Q32" s="684"/>
    </row>
    <row r="33" spans="1:17" ht="18" customHeight="1">
      <c r="A33" s="752"/>
      <c r="B33" s="752"/>
      <c r="C33" s="752"/>
      <c r="D33" s="752"/>
      <c r="E33" s="752"/>
      <c r="F33" s="752"/>
      <c r="G33" s="752"/>
      <c r="H33" s="752"/>
      <c r="I33" s="752"/>
      <c r="J33" s="752"/>
      <c r="K33" s="752"/>
      <c r="L33" s="752"/>
      <c r="M33" s="752"/>
      <c r="N33" s="752"/>
      <c r="O33" s="752"/>
      <c r="P33" s="684"/>
      <c r="Q33" s="684"/>
    </row>
    <row r="34" spans="1:17">
      <c r="A34" s="752"/>
      <c r="B34" s="752"/>
      <c r="C34" s="752"/>
      <c r="D34" s="752"/>
      <c r="E34" s="752"/>
      <c r="F34" s="752"/>
      <c r="G34" s="752"/>
      <c r="H34" s="752"/>
      <c r="I34" s="752"/>
      <c r="J34" s="752"/>
      <c r="K34" s="752"/>
      <c r="L34" s="752"/>
      <c r="M34" s="752"/>
      <c r="N34" s="752"/>
      <c r="O34" s="752"/>
      <c r="P34" s="684"/>
      <c r="Q34" s="684"/>
    </row>
    <row r="35" spans="1:17" s="684" customFormat="1">
      <c r="A35" s="2236"/>
      <c r="B35" s="2236"/>
      <c r="C35" s="2236"/>
      <c r="D35" s="2236"/>
      <c r="E35" s="2236"/>
      <c r="F35" s="2236"/>
      <c r="G35" s="2236"/>
      <c r="H35" s="2236"/>
      <c r="I35" s="2236"/>
      <c r="J35" s="2236"/>
      <c r="K35" s="2236"/>
      <c r="L35" s="2236"/>
      <c r="M35" s="2236"/>
      <c r="N35" s="2236"/>
      <c r="O35" s="2236"/>
    </row>
    <row r="36" spans="1:17" s="684" customFormat="1" ht="7.5" customHeight="1">
      <c r="A36" s="945"/>
      <c r="B36" s="945"/>
      <c r="C36" s="945"/>
      <c r="D36" s="945"/>
      <c r="E36" s="945"/>
      <c r="F36" s="945"/>
      <c r="G36" s="945"/>
      <c r="H36" s="945"/>
      <c r="I36" s="945"/>
      <c r="J36" s="945"/>
      <c r="K36" s="945"/>
      <c r="L36" s="945"/>
      <c r="M36" s="945"/>
      <c r="N36" s="945"/>
      <c r="O36" s="945"/>
    </row>
    <row r="37" spans="1:17" s="684" customFormat="1">
      <c r="A37" s="946"/>
      <c r="B37" s="945"/>
      <c r="C37" s="945"/>
      <c r="D37" s="945"/>
      <c r="E37" s="945"/>
      <c r="F37" s="945"/>
      <c r="G37" s="945"/>
      <c r="H37" s="945"/>
      <c r="I37" s="945"/>
      <c r="J37" s="945"/>
      <c r="K37" s="945"/>
      <c r="L37" s="945"/>
      <c r="M37" s="945"/>
      <c r="N37" s="945"/>
      <c r="O37" s="945"/>
    </row>
    <row r="38" spans="1:17" s="684" customFormat="1" ht="11.25" customHeight="1">
      <c r="A38" s="752"/>
      <c r="B38" s="752"/>
      <c r="C38" s="752"/>
      <c r="D38" s="752"/>
      <c r="E38" s="752"/>
      <c r="F38" s="752"/>
      <c r="G38" s="752"/>
      <c r="H38" s="752"/>
      <c r="I38" s="752"/>
      <c r="J38" s="752"/>
      <c r="K38" s="752"/>
      <c r="L38" s="752"/>
      <c r="M38" s="752"/>
      <c r="N38" s="752"/>
      <c r="O38" s="752"/>
    </row>
    <row r="39" spans="1:17" s="684" customFormat="1" ht="15" customHeight="1">
      <c r="A39" s="2236"/>
      <c r="B39" s="2235"/>
      <c r="C39" s="2235"/>
      <c r="D39" s="2235"/>
      <c r="E39" s="2235"/>
      <c r="F39" s="2235"/>
      <c r="G39" s="2235"/>
      <c r="H39" s="2235"/>
      <c r="I39" s="2235"/>
      <c r="J39" s="2235"/>
      <c r="K39" s="2235"/>
      <c r="L39" s="2235"/>
      <c r="M39" s="2235"/>
      <c r="N39" s="2235"/>
      <c r="O39" s="2235"/>
    </row>
    <row r="40" spans="1:17">
      <c r="A40" s="747"/>
      <c r="B40" s="747"/>
      <c r="C40" s="747"/>
      <c r="D40" s="747"/>
      <c r="E40" s="747"/>
      <c r="F40" s="747"/>
      <c r="G40" s="747"/>
      <c r="H40" s="747"/>
      <c r="I40" s="747"/>
      <c r="J40" s="747"/>
      <c r="K40" s="747"/>
      <c r="L40" s="747"/>
      <c r="M40" s="747"/>
      <c r="N40" s="747"/>
      <c r="O40" s="947"/>
      <c r="P40" s="684"/>
      <c r="Q40" s="684"/>
    </row>
    <row r="41" spans="1:17" ht="18" customHeight="1">
      <c r="A41" s="2231"/>
      <c r="B41" s="2232"/>
      <c r="C41" s="2232"/>
      <c r="D41" s="2232"/>
      <c r="E41" s="2232"/>
      <c r="F41" s="2232"/>
      <c r="G41" s="2232"/>
      <c r="H41" s="2232"/>
      <c r="I41" s="2232"/>
      <c r="J41" s="2232"/>
      <c r="K41" s="2232"/>
      <c r="L41" s="2232"/>
      <c r="M41" s="2232"/>
      <c r="N41" s="2232"/>
      <c r="O41" s="2232"/>
      <c r="P41" s="2232"/>
      <c r="Q41" s="684"/>
    </row>
    <row r="42" spans="1:17">
      <c r="A42" s="747"/>
      <c r="B42" s="747"/>
      <c r="C42" s="747"/>
      <c r="D42" s="747"/>
      <c r="E42" s="747"/>
      <c r="F42" s="747"/>
      <c r="G42" s="747"/>
      <c r="H42" s="747"/>
      <c r="I42" s="747"/>
      <c r="J42" s="747"/>
      <c r="M42" s="747"/>
      <c r="N42" s="747"/>
      <c r="O42" s="747"/>
      <c r="P42" s="947"/>
      <c r="Q42" s="948"/>
    </row>
    <row r="43" spans="1:17" ht="18">
      <c r="A43" s="952"/>
      <c r="B43" s="684"/>
      <c r="C43" s="684"/>
      <c r="D43" s="684"/>
      <c r="E43" s="684"/>
      <c r="F43" s="684"/>
      <c r="G43" s="684"/>
      <c r="H43" s="684"/>
      <c r="I43" s="684"/>
      <c r="J43" s="684"/>
      <c r="M43" s="684"/>
      <c r="N43" s="684"/>
      <c r="O43" s="684"/>
      <c r="P43" s="684"/>
      <c r="Q43" s="948"/>
    </row>
  </sheetData>
  <mergeCells count="22">
    <mergeCell ref="A41:P41"/>
    <mergeCell ref="A28:O28"/>
    <mergeCell ref="A30:O30"/>
    <mergeCell ref="A31:O31"/>
    <mergeCell ref="A32:O32"/>
    <mergeCell ref="A35:O35"/>
    <mergeCell ref="A39:O39"/>
    <mergeCell ref="A7:O7"/>
    <mergeCell ref="A8:O8"/>
    <mergeCell ref="A9:A11"/>
    <mergeCell ref="B9:D10"/>
    <mergeCell ref="E9:G10"/>
    <mergeCell ref="H9:J10"/>
    <mergeCell ref="K9:K10"/>
    <mergeCell ref="L9:L10"/>
    <mergeCell ref="M9:O10"/>
    <mergeCell ref="A6:O6"/>
    <mergeCell ref="A1:O1"/>
    <mergeCell ref="A2:O2"/>
    <mergeCell ref="A3:O3"/>
    <mergeCell ref="A4:O4"/>
    <mergeCell ref="A5:O5"/>
  </mergeCells>
  <printOptions horizontalCentered="1"/>
  <pageMargins left="0.5" right="0.4" top="0.5" bottom="0.25" header="0" footer="0"/>
  <pageSetup scale="66" firstPageNumber="8" fitToHeight="0" orientation="landscape" useFirstPageNumber="1" r:id="rId1"/>
  <headerFooter alignWithMargins="0">
    <oddFooter>&amp;C&amp;"Times New Roman,Regular"Exhibit G - Crosswalk of 2011 Availability&amp;R&amp;"Times New Roman,Regular"Crime Victims Fund</oddFooter>
  </headerFooter>
</worksheet>
</file>

<file path=xl/worksheets/sheet58.xml><?xml version="1.0" encoding="utf-8"?>
<worksheet xmlns="http://schemas.openxmlformats.org/spreadsheetml/2006/main" xmlns:r="http://schemas.openxmlformats.org/officeDocument/2006/relationships">
  <sheetPr>
    <pageSetUpPr fitToPage="1"/>
  </sheetPr>
  <dimension ref="A1:T22"/>
  <sheetViews>
    <sheetView view="pageBreakPreview" zoomScale="90" zoomScaleNormal="75" zoomScaleSheetLayoutView="90" workbookViewId="0">
      <selection activeCell="B13" sqref="B13"/>
    </sheetView>
  </sheetViews>
  <sheetFormatPr defaultRowHeight="15"/>
  <cols>
    <col min="1" max="1" width="57.44140625" style="949" customWidth="1"/>
    <col min="2" max="2" width="6.21875" style="949" customWidth="1"/>
    <col min="3" max="3" width="16.6640625" style="820" customWidth="1"/>
    <col min="4" max="4" width="10.5546875" style="949" bestFit="1" customWidth="1"/>
    <col min="5" max="5" width="9.77734375" style="820" customWidth="1"/>
    <col min="6" max="6" width="0.6640625" style="992" customWidth="1"/>
    <col min="7" max="16384" width="8.88671875" style="949"/>
  </cols>
  <sheetData>
    <row r="1" spans="1:20" ht="20.25">
      <c r="A1" s="953" t="s">
        <v>29</v>
      </c>
      <c r="B1" s="954"/>
      <c r="C1" s="955"/>
      <c r="D1" s="954"/>
      <c r="E1" s="956"/>
      <c r="F1" s="957" t="s">
        <v>0</v>
      </c>
    </row>
    <row r="2" spans="1:20" ht="13.15" customHeight="1">
      <c r="A2" s="2285"/>
      <c r="B2" s="2285"/>
      <c r="C2" s="2285"/>
      <c r="D2" s="2285"/>
      <c r="E2" s="2464"/>
      <c r="F2" s="957" t="s">
        <v>0</v>
      </c>
    </row>
    <row r="3" spans="1:20" ht="18.75">
      <c r="A3" s="2241" t="s">
        <v>4</v>
      </c>
      <c r="B3" s="2241"/>
      <c r="C3" s="2241"/>
      <c r="D3" s="2241"/>
      <c r="E3" s="2241"/>
      <c r="F3" s="957" t="s">
        <v>0</v>
      </c>
    </row>
    <row r="4" spans="1:20" ht="16.5">
      <c r="A4" s="2243" t="str">
        <f>+'B. Summ of Reqs - CVF'!A5</f>
        <v>Office of Justice Programs</v>
      </c>
      <c r="B4" s="2243"/>
      <c r="C4" s="2243"/>
      <c r="D4" s="2243"/>
      <c r="E4" s="2243"/>
      <c r="F4" s="957" t="s">
        <v>0</v>
      </c>
    </row>
    <row r="5" spans="1:20" ht="16.5">
      <c r="A5" s="2243" t="str">
        <f>+'B. Summ of Reqs - CVF'!A6</f>
        <v>Crime Victims Fund</v>
      </c>
      <c r="B5" s="2243"/>
      <c r="C5" s="2243"/>
      <c r="D5" s="2243"/>
      <c r="E5" s="2243"/>
      <c r="F5" s="957" t="s">
        <v>0</v>
      </c>
    </row>
    <row r="6" spans="1:20">
      <c r="A6" s="2245" t="s">
        <v>257</v>
      </c>
      <c r="B6" s="2245"/>
      <c r="C6" s="2245"/>
      <c r="D6" s="2245"/>
      <c r="E6" s="2245"/>
      <c r="F6" s="957" t="s">
        <v>0</v>
      </c>
    </row>
    <row r="7" spans="1:20">
      <c r="A7" s="2463"/>
      <c r="B7" s="2464"/>
      <c r="C7" s="2464"/>
      <c r="D7" s="2463"/>
      <c r="E7" s="2463"/>
      <c r="F7" s="957" t="s">
        <v>0</v>
      </c>
    </row>
    <row r="8" spans="1:20" ht="22.5" customHeight="1">
      <c r="A8" s="2531"/>
      <c r="B8" s="2511" t="s">
        <v>373</v>
      </c>
      <c r="C8" s="2541"/>
      <c r="D8" s="2535" t="s">
        <v>105</v>
      </c>
      <c r="E8" s="2472"/>
      <c r="F8" s="957" t="s">
        <v>0</v>
      </c>
    </row>
    <row r="9" spans="1:20" ht="27.75" customHeight="1">
      <c r="A9" s="2532"/>
      <c r="B9" s="2511" t="s">
        <v>469</v>
      </c>
      <c r="C9" s="2512"/>
      <c r="D9" s="2287"/>
      <c r="E9" s="2536"/>
      <c r="F9" s="957" t="s">
        <v>0</v>
      </c>
    </row>
    <row r="10" spans="1:20" ht="36" customHeight="1">
      <c r="A10" s="2533"/>
      <c r="B10" s="2511" t="s">
        <v>373</v>
      </c>
      <c r="C10" s="2512"/>
      <c r="D10" s="2537"/>
      <c r="E10" s="2474"/>
      <c r="F10" s="957" t="s">
        <v>0</v>
      </c>
    </row>
    <row r="11" spans="1:20" ht="36" customHeight="1" thickBot="1">
      <c r="A11" s="2283"/>
      <c r="B11" s="1512" t="s">
        <v>277</v>
      </c>
      <c r="C11" s="1513" t="s">
        <v>255</v>
      </c>
      <c r="D11" s="961" t="s">
        <v>277</v>
      </c>
      <c r="E11" s="1360" t="s">
        <v>255</v>
      </c>
      <c r="F11" s="957" t="s">
        <v>0</v>
      </c>
    </row>
    <row r="12" spans="1:20" ht="20.25">
      <c r="A12" s="1515" t="s">
        <v>472</v>
      </c>
      <c r="B12" s="965">
        <v>0</v>
      </c>
      <c r="C12" s="967">
        <v>145000</v>
      </c>
      <c r="D12" s="965">
        <f>SUM(,B12)</f>
        <v>0</v>
      </c>
      <c r="E12" s="1363">
        <f>SUM(,C12)</f>
        <v>145000</v>
      </c>
      <c r="F12" s="957" t="s">
        <v>0</v>
      </c>
    </row>
    <row r="13" spans="1:20" ht="21" thickBot="1">
      <c r="A13" s="984" t="s">
        <v>272</v>
      </c>
      <c r="B13" s="1364">
        <f>SUM(B12:B12)</f>
        <v>0</v>
      </c>
      <c r="C13" s="1365">
        <f>SUM(C12:C12)</f>
        <v>145000</v>
      </c>
      <c r="D13" s="1368">
        <f>SUM(D12:D12)</f>
        <v>0</v>
      </c>
      <c r="E13" s="1369">
        <f>SUM(E12:E12)</f>
        <v>145000</v>
      </c>
      <c r="F13" s="957" t="s">
        <v>24</v>
      </c>
    </row>
    <row r="14" spans="1:20">
      <c r="A14" s="2465"/>
      <c r="B14" s="2466"/>
      <c r="C14" s="2466"/>
      <c r="D14" s="2466"/>
      <c r="E14" s="2467"/>
      <c r="F14" s="1370"/>
      <c r="G14" s="978"/>
      <c r="H14" s="978"/>
      <c r="I14" s="978"/>
      <c r="J14" s="978"/>
      <c r="K14" s="978"/>
      <c r="L14" s="978"/>
      <c r="M14" s="978"/>
      <c r="N14" s="978"/>
      <c r="O14" s="978"/>
      <c r="P14" s="978"/>
      <c r="Q14" s="978"/>
      <c r="R14" s="978"/>
      <c r="S14" s="978"/>
      <c r="T14" s="978"/>
    </row>
    <row r="15" spans="1:20">
      <c r="A15" s="1371"/>
      <c r="B15" s="1371"/>
      <c r="C15" s="1372"/>
      <c r="D15" s="1371"/>
      <c r="E15" s="1372"/>
      <c r="F15" s="1373"/>
      <c r="G15" s="978"/>
      <c r="H15" s="978"/>
      <c r="I15" s="978"/>
      <c r="J15" s="978"/>
      <c r="K15" s="978"/>
      <c r="L15" s="978"/>
      <c r="M15" s="978"/>
      <c r="N15" s="978"/>
      <c r="O15" s="978"/>
      <c r="P15" s="978"/>
      <c r="Q15" s="978"/>
      <c r="R15" s="978"/>
      <c r="S15" s="978"/>
      <c r="T15" s="978"/>
    </row>
    <row r="17" spans="1:5" ht="18.75">
      <c r="A17" s="2291"/>
      <c r="B17" s="2291"/>
      <c r="C17" s="2291"/>
      <c r="D17" s="991"/>
      <c r="E17" s="990"/>
    </row>
    <row r="18" spans="1:5" ht="18.75">
      <c r="A18" s="993"/>
      <c r="B18" s="993"/>
      <c r="C18" s="993"/>
      <c r="D18" s="991"/>
      <c r="E18" s="990"/>
    </row>
    <row r="19" spans="1:5" ht="141.75" customHeight="1">
      <c r="A19" s="2147"/>
      <c r="B19" s="2301"/>
      <c r="C19" s="2301"/>
      <c r="D19" s="995"/>
      <c r="E19" s="994"/>
    </row>
    <row r="22" spans="1:5">
      <c r="E22" s="996"/>
    </row>
  </sheetData>
  <mergeCells count="14">
    <mergeCell ref="A17:C17"/>
    <mergeCell ref="A19:C19"/>
    <mergeCell ref="A8:A11"/>
    <mergeCell ref="B8:C8"/>
    <mergeCell ref="D8:E10"/>
    <mergeCell ref="B9:C9"/>
    <mergeCell ref="B10:C10"/>
    <mergeCell ref="A14:E14"/>
    <mergeCell ref="A7:E7"/>
    <mergeCell ref="A2:E2"/>
    <mergeCell ref="A3:E3"/>
    <mergeCell ref="A4:E4"/>
    <mergeCell ref="A5:E5"/>
    <mergeCell ref="A6:E6"/>
  </mergeCells>
  <printOptions horizontalCentered="1"/>
  <pageMargins left="0.5" right="0.4" top="0.5" bottom="0.25" header="0" footer="0"/>
  <pageSetup firstPageNumber="8" fitToHeight="0" orientation="landscape" useFirstPageNumber="1" r:id="rId1"/>
  <headerFooter alignWithMargins="0">
    <oddFooter>&amp;C&amp;"Times New Roman,Regular"Exhibit J - Financial Analysis of Program Changes&amp;R&amp;"Times New Roman,Regular"Crime Victims Fund</oddFooter>
  </headerFooter>
</worksheet>
</file>

<file path=xl/worksheets/sheet59.xml><?xml version="1.0" encoding="utf-8"?>
<worksheet xmlns="http://schemas.openxmlformats.org/spreadsheetml/2006/main" xmlns:r="http://schemas.openxmlformats.org/officeDocument/2006/relationships">
  <dimension ref="A1:O203"/>
  <sheetViews>
    <sheetView view="pageBreakPreview" zoomScale="75" zoomScaleNormal="75" zoomScaleSheetLayoutView="50" workbookViewId="0">
      <selection activeCell="C39" sqref="C39"/>
    </sheetView>
  </sheetViews>
  <sheetFormatPr defaultRowHeight="15.75"/>
  <cols>
    <col min="1" max="1" width="62.6640625" style="1020" customWidth="1"/>
    <col min="2" max="2" width="8.88671875" style="1020"/>
    <col min="3" max="3" width="10.109375" style="1020" customWidth="1"/>
    <col min="4" max="4" width="8.88671875" style="1020"/>
    <col min="5" max="5" width="10.6640625" style="1020" customWidth="1"/>
    <col min="6" max="6" width="8.88671875" style="1020"/>
    <col min="7" max="7" width="10.5546875" style="1020" bestFit="1" customWidth="1"/>
    <col min="8" max="8" width="8.88671875" style="1020"/>
    <col min="9" max="9" width="10.33203125" style="1020" customWidth="1"/>
    <col min="10" max="12" width="0" style="1020" hidden="1" customWidth="1"/>
    <col min="13" max="13" width="1" style="1069" customWidth="1"/>
    <col min="14" max="14" width="8.88671875" style="949"/>
    <col min="15" max="16384" width="8.88671875" style="1020"/>
  </cols>
  <sheetData>
    <row r="1" spans="1:13" ht="19.149999999999999" customHeight="1">
      <c r="A1" s="2061" t="s">
        <v>236</v>
      </c>
      <c r="B1" s="2295"/>
      <c r="C1" s="2295"/>
      <c r="D1" s="2295"/>
      <c r="E1" s="2295"/>
      <c r="F1" s="2295"/>
      <c r="G1" s="2295"/>
      <c r="H1" s="2295"/>
      <c r="I1" s="2295"/>
      <c r="M1" s="1021" t="s">
        <v>0</v>
      </c>
    </row>
    <row r="2" spans="1:13" ht="19.149999999999999" customHeight="1">
      <c r="A2" s="2296"/>
      <c r="B2" s="2297"/>
      <c r="C2" s="2297"/>
      <c r="D2" s="2297"/>
      <c r="E2" s="2297"/>
      <c r="F2" s="2297"/>
      <c r="G2" s="2297"/>
      <c r="H2" s="2297"/>
      <c r="I2" s="2297"/>
      <c r="M2" s="1021" t="s">
        <v>0</v>
      </c>
    </row>
    <row r="3" spans="1:13" ht="18.75">
      <c r="A3" s="2298" t="s">
        <v>102</v>
      </c>
      <c r="B3" s="2295"/>
      <c r="C3" s="2295"/>
      <c r="D3" s="2295"/>
      <c r="E3" s="2295"/>
      <c r="F3" s="2295"/>
      <c r="G3" s="2295"/>
      <c r="H3" s="2295"/>
      <c r="I3" s="2295"/>
      <c r="M3" s="1021" t="s">
        <v>0</v>
      </c>
    </row>
    <row r="4" spans="1:13" ht="16.5">
      <c r="A4" s="2299" t="str">
        <f>+'B. Summ of Reqs - CVF'!A5</f>
        <v>Office of Justice Programs</v>
      </c>
      <c r="B4" s="2295"/>
      <c r="C4" s="2295"/>
      <c r="D4" s="2295"/>
      <c r="E4" s="2295"/>
      <c r="F4" s="2295"/>
      <c r="G4" s="2295"/>
      <c r="H4" s="2295"/>
      <c r="I4" s="2295"/>
      <c r="M4" s="1021" t="s">
        <v>0</v>
      </c>
    </row>
    <row r="5" spans="1:13" ht="16.5">
      <c r="A5" s="2299" t="str">
        <f>+'B. Summ of Reqs - CVF'!A6</f>
        <v>Crime Victims Fund</v>
      </c>
      <c r="B5" s="2295"/>
      <c r="C5" s="2295"/>
      <c r="D5" s="2295"/>
      <c r="E5" s="2295"/>
      <c r="F5" s="2295"/>
      <c r="G5" s="2295"/>
      <c r="H5" s="2295"/>
      <c r="I5" s="2295"/>
      <c r="M5" s="1021" t="s">
        <v>0</v>
      </c>
    </row>
    <row r="6" spans="1:13">
      <c r="A6" s="2294" t="s">
        <v>257</v>
      </c>
      <c r="B6" s="2295"/>
      <c r="C6" s="2295"/>
      <c r="D6" s="2295"/>
      <c r="E6" s="2295"/>
      <c r="F6" s="2295"/>
      <c r="G6" s="2295"/>
      <c r="H6" s="2295"/>
      <c r="I6" s="2295"/>
      <c r="M6" s="1021" t="s">
        <v>0</v>
      </c>
    </row>
    <row r="7" spans="1:13" ht="11.25" customHeight="1">
      <c r="A7" s="2213"/>
      <c r="B7" s="2213"/>
      <c r="C7" s="2213"/>
      <c r="D7" s="2213"/>
      <c r="E7" s="2213"/>
      <c r="F7" s="2213"/>
      <c r="G7" s="2213"/>
      <c r="H7" s="2213"/>
      <c r="I7" s="2213"/>
      <c r="M7" s="1021" t="s">
        <v>0</v>
      </c>
    </row>
    <row r="8" spans="1:13" ht="44.25" customHeight="1">
      <c r="A8" s="2302" t="s">
        <v>99</v>
      </c>
      <c r="B8" s="2304" t="s">
        <v>808</v>
      </c>
      <c r="C8" s="2305"/>
      <c r="D8" s="2306" t="s">
        <v>330</v>
      </c>
      <c r="E8" s="2307"/>
      <c r="F8" s="2308" t="s">
        <v>42</v>
      </c>
      <c r="G8" s="2309"/>
      <c r="H8" s="2304" t="s">
        <v>811</v>
      </c>
      <c r="I8" s="2530"/>
      <c r="J8" s="684"/>
      <c r="M8" s="1021" t="s">
        <v>0</v>
      </c>
    </row>
    <row r="9" spans="1:13" ht="25.5" customHeight="1" thickBot="1">
      <c r="A9" s="2303"/>
      <c r="B9" s="1022" t="s">
        <v>49</v>
      </c>
      <c r="C9" s="1023" t="s">
        <v>279</v>
      </c>
      <c r="D9" s="1022" t="s">
        <v>49</v>
      </c>
      <c r="E9" s="1023" t="s">
        <v>279</v>
      </c>
      <c r="F9" s="1022" t="s">
        <v>49</v>
      </c>
      <c r="G9" s="1023" t="s">
        <v>279</v>
      </c>
      <c r="H9" s="1022" t="s">
        <v>49</v>
      </c>
      <c r="I9" s="1024" t="s">
        <v>279</v>
      </c>
      <c r="J9" s="684"/>
      <c r="M9" s="1021" t="s">
        <v>0</v>
      </c>
    </row>
    <row r="10" spans="1:13">
      <c r="A10" s="1025" t="s">
        <v>15</v>
      </c>
      <c r="B10" s="1026"/>
      <c r="C10" s="1027"/>
      <c r="D10" s="1026"/>
      <c r="E10" s="1027"/>
      <c r="F10" s="1026"/>
      <c r="G10" s="1027"/>
      <c r="H10" s="1026"/>
      <c r="I10" s="1028"/>
      <c r="J10" s="684"/>
      <c r="M10" s="1021" t="s">
        <v>0</v>
      </c>
    </row>
    <row r="11" spans="1:13">
      <c r="A11" s="1029" t="s">
        <v>71</v>
      </c>
      <c r="B11" s="1026"/>
      <c r="C11" s="1030"/>
      <c r="D11" s="1026"/>
      <c r="E11" s="1030"/>
      <c r="F11" s="1026"/>
      <c r="G11" s="1030"/>
      <c r="H11" s="1026"/>
      <c r="I11" s="1031"/>
      <c r="J11" s="1032" t="s">
        <v>47</v>
      </c>
      <c r="K11" s="1020" t="s">
        <v>48</v>
      </c>
      <c r="M11" s="1021" t="s">
        <v>0</v>
      </c>
    </row>
    <row r="12" spans="1:13">
      <c r="A12" s="1029" t="s">
        <v>56</v>
      </c>
      <c r="B12" s="1033"/>
      <c r="C12" s="1030"/>
      <c r="D12" s="1033"/>
      <c r="E12" s="1030"/>
      <c r="F12" s="1033"/>
      <c r="G12" s="1030"/>
      <c r="H12" s="1026"/>
      <c r="I12" s="1031"/>
      <c r="J12" s="684">
        <v>93</v>
      </c>
      <c r="M12" s="1021" t="s">
        <v>0</v>
      </c>
    </row>
    <row r="13" spans="1:13">
      <c r="A13" s="1034" t="s">
        <v>58</v>
      </c>
      <c r="B13" s="1035"/>
      <c r="C13" s="1036"/>
      <c r="D13" s="1035"/>
      <c r="E13" s="1036"/>
      <c r="F13" s="1035"/>
      <c r="G13" s="1036"/>
      <c r="H13" s="1035"/>
      <c r="I13" s="1037"/>
      <c r="J13" s="684"/>
      <c r="M13" s="1021" t="s">
        <v>0</v>
      </c>
    </row>
    <row r="14" spans="1:13">
      <c r="A14" s="1034" t="s">
        <v>57</v>
      </c>
      <c r="B14" s="1035"/>
      <c r="C14" s="1036"/>
      <c r="D14" s="1035"/>
      <c r="E14" s="1036"/>
      <c r="F14" s="1035"/>
      <c r="G14" s="1036"/>
      <c r="H14" s="1035"/>
      <c r="I14" s="1037"/>
      <c r="J14" s="684"/>
      <c r="M14" s="1021" t="s">
        <v>0</v>
      </c>
    </row>
    <row r="15" spans="1:13">
      <c r="A15" s="1038" t="s">
        <v>59</v>
      </c>
      <c r="B15" s="1039"/>
      <c r="C15" s="1040"/>
      <c r="D15" s="1039"/>
      <c r="E15" s="1040"/>
      <c r="F15" s="1039"/>
      <c r="G15" s="1040"/>
      <c r="H15" s="1039"/>
      <c r="I15" s="1041"/>
      <c r="J15" s="684"/>
      <c r="M15" s="1021" t="s">
        <v>0</v>
      </c>
    </row>
    <row r="16" spans="1:13">
      <c r="A16" s="1042" t="s">
        <v>16</v>
      </c>
      <c r="B16" s="1043">
        <f>+B10+B11+B12+B15</f>
        <v>0</v>
      </c>
      <c r="C16" s="1044">
        <f t="shared" ref="C16:I16" si="0">+C10+C11+C12+C15</f>
        <v>0</v>
      </c>
      <c r="D16" s="1043">
        <f>+D10+D11+D12+D15</f>
        <v>0</v>
      </c>
      <c r="E16" s="1044">
        <f t="shared" si="0"/>
        <v>0</v>
      </c>
      <c r="F16" s="1043">
        <f t="shared" si="0"/>
        <v>0</v>
      </c>
      <c r="G16" s="1045">
        <f t="shared" si="0"/>
        <v>0</v>
      </c>
      <c r="H16" s="1044">
        <f>+H10+H11+H12+H15</f>
        <v>0</v>
      </c>
      <c r="I16" s="1045">
        <f t="shared" si="0"/>
        <v>0</v>
      </c>
      <c r="J16" s="1046">
        <f>697+630+957+2333</f>
        <v>4617</v>
      </c>
      <c r="K16" s="1020">
        <f>2451-93</f>
        <v>2358</v>
      </c>
      <c r="L16" s="1020">
        <f>+E16-G16</f>
        <v>0</v>
      </c>
      <c r="M16" s="1021" t="s">
        <v>0</v>
      </c>
    </row>
    <row r="17" spans="1:15">
      <c r="A17" s="1029" t="s">
        <v>100</v>
      </c>
      <c r="B17" s="1026"/>
      <c r="C17" s="1030"/>
      <c r="D17" s="1026"/>
      <c r="E17" s="1030"/>
      <c r="F17" s="1026"/>
      <c r="G17" s="1030"/>
      <c r="H17" s="1026"/>
      <c r="I17" s="1031"/>
      <c r="J17" s="684"/>
      <c r="M17" s="1021" t="s">
        <v>0</v>
      </c>
    </row>
    <row r="18" spans="1:15">
      <c r="A18" s="1047" t="s">
        <v>61</v>
      </c>
      <c r="B18" s="1026"/>
      <c r="C18" s="1030"/>
      <c r="D18" s="1026"/>
      <c r="E18" s="1030"/>
      <c r="F18" s="1026"/>
      <c r="G18" s="1030"/>
      <c r="H18" s="1026"/>
      <c r="I18" s="1031"/>
      <c r="J18" s="684">
        <v>359</v>
      </c>
      <c r="K18" s="1020">
        <f>1171+93</f>
        <v>1264</v>
      </c>
      <c r="L18" s="1020">
        <f t="shared" ref="L18:L34" si="1">+E18-G18</f>
        <v>0</v>
      </c>
      <c r="M18" s="1021" t="s">
        <v>0</v>
      </c>
    </row>
    <row r="19" spans="1:15">
      <c r="A19" s="1047" t="s">
        <v>62</v>
      </c>
      <c r="B19" s="1026"/>
      <c r="C19" s="1030"/>
      <c r="D19" s="1026"/>
      <c r="E19" s="1030"/>
      <c r="F19" s="1026"/>
      <c r="G19" s="1030"/>
      <c r="H19" s="1026"/>
      <c r="I19" s="1031"/>
      <c r="J19" s="684"/>
      <c r="K19" s="1020">
        <v>110</v>
      </c>
      <c r="L19" s="1020">
        <f t="shared" si="1"/>
        <v>0</v>
      </c>
      <c r="M19" s="1021" t="s">
        <v>0</v>
      </c>
    </row>
    <row r="20" spans="1:15">
      <c r="A20" s="1047" t="s">
        <v>63</v>
      </c>
      <c r="B20" s="1026"/>
      <c r="C20" s="1030"/>
      <c r="D20" s="1026"/>
      <c r="E20" s="1030"/>
      <c r="F20" s="1026"/>
      <c r="G20" s="1030"/>
      <c r="H20" s="1026"/>
      <c r="I20" s="1031"/>
      <c r="J20" s="684"/>
      <c r="K20" s="1020">
        <v>0</v>
      </c>
      <c r="L20" s="1020">
        <f t="shared" si="1"/>
        <v>0</v>
      </c>
      <c r="M20" s="1021" t="s">
        <v>0</v>
      </c>
    </row>
    <row r="21" spans="1:15">
      <c r="A21" s="1047" t="s">
        <v>234</v>
      </c>
      <c r="B21" s="1026"/>
      <c r="C21" s="1030"/>
      <c r="D21" s="1026"/>
      <c r="E21" s="1030"/>
      <c r="F21" s="1026"/>
      <c r="G21" s="1030"/>
      <c r="H21" s="1026"/>
      <c r="I21" s="1031"/>
      <c r="J21" s="684">
        <f>4220-576</f>
        <v>3644</v>
      </c>
      <c r="L21" s="1020">
        <f t="shared" si="1"/>
        <v>0</v>
      </c>
      <c r="M21" s="1021" t="s">
        <v>0</v>
      </c>
    </row>
    <row r="22" spans="1:15">
      <c r="A22" s="1047" t="s">
        <v>36</v>
      </c>
      <c r="B22" s="1026"/>
      <c r="C22" s="1030"/>
      <c r="D22" s="1026"/>
      <c r="E22" s="1030"/>
      <c r="F22" s="1026"/>
      <c r="G22" s="1030"/>
      <c r="H22" s="1026"/>
      <c r="I22" s="1031"/>
      <c r="J22" s="684"/>
      <c r="L22" s="1020">
        <f t="shared" si="1"/>
        <v>0</v>
      </c>
      <c r="M22" s="1021" t="s">
        <v>0</v>
      </c>
    </row>
    <row r="23" spans="1:15">
      <c r="A23" s="1047" t="s">
        <v>64</v>
      </c>
      <c r="B23" s="1026"/>
      <c r="C23" s="1030"/>
      <c r="D23" s="1026"/>
      <c r="E23" s="1030"/>
      <c r="F23" s="1026"/>
      <c r="G23" s="1030"/>
      <c r="H23" s="1026"/>
      <c r="I23" s="1031"/>
      <c r="J23" s="684">
        <v>332</v>
      </c>
      <c r="K23" s="1020">
        <v>175</v>
      </c>
      <c r="L23" s="1020">
        <f t="shared" si="1"/>
        <v>0</v>
      </c>
      <c r="M23" s="1021" t="s">
        <v>0</v>
      </c>
    </row>
    <row r="24" spans="1:15">
      <c r="A24" s="1047" t="s">
        <v>65</v>
      </c>
      <c r="B24" s="1026"/>
      <c r="C24" s="1030"/>
      <c r="D24" s="1026"/>
      <c r="E24" s="1030"/>
      <c r="F24" s="1026"/>
      <c r="G24" s="1030"/>
      <c r="H24" s="1026"/>
      <c r="I24" s="1031"/>
      <c r="J24" s="684"/>
      <c r="L24" s="1020">
        <f t="shared" si="1"/>
        <v>0</v>
      </c>
      <c r="M24" s="1021" t="s">
        <v>0</v>
      </c>
    </row>
    <row r="25" spans="1:15">
      <c r="A25" s="1047" t="s">
        <v>66</v>
      </c>
      <c r="B25" s="1026"/>
      <c r="C25" s="1030">
        <v>45000</v>
      </c>
      <c r="D25" s="1026"/>
      <c r="E25" s="1030">
        <v>50000</v>
      </c>
      <c r="F25" s="1026"/>
      <c r="G25" s="1030">
        <f>(C25/$C$34)*(145000)+E25</f>
        <v>59171.165574325794</v>
      </c>
      <c r="H25" s="1026"/>
      <c r="I25" s="1031">
        <f>G25-E25</f>
        <v>9171.1655743257943</v>
      </c>
      <c r="J25" s="684"/>
      <c r="K25" s="1020">
        <v>14918</v>
      </c>
      <c r="L25" s="1020">
        <f t="shared" si="1"/>
        <v>-9171.1655743257943</v>
      </c>
      <c r="M25" s="1021" t="s">
        <v>0</v>
      </c>
    </row>
    <row r="26" spans="1:15">
      <c r="A26" s="1047" t="s">
        <v>67</v>
      </c>
      <c r="B26" s="1026"/>
      <c r="C26" s="1030">
        <v>15000</v>
      </c>
      <c r="D26" s="1026"/>
      <c r="E26" s="1030">
        <v>15000</v>
      </c>
      <c r="F26" s="1026"/>
      <c r="G26" s="1030">
        <f>(C26/$C$34)*(145000)+E26</f>
        <v>18057.055191441934</v>
      </c>
      <c r="H26" s="1026"/>
      <c r="I26" s="1031">
        <f>G26-E26</f>
        <v>3057.0551914419339</v>
      </c>
      <c r="J26" s="684">
        <v>276</v>
      </c>
      <c r="K26" s="1020">
        <v>14853</v>
      </c>
      <c r="L26" s="1020">
        <f t="shared" si="1"/>
        <v>-3057.0551914419339</v>
      </c>
      <c r="M26" s="1021" t="s">
        <v>0</v>
      </c>
    </row>
    <row r="27" spans="1:15">
      <c r="A27" s="1047" t="s">
        <v>475</v>
      </c>
      <c r="B27" s="1026"/>
      <c r="C27" s="1030"/>
      <c r="D27" s="1026"/>
      <c r="E27" s="1030"/>
      <c r="F27" s="1026"/>
      <c r="G27" s="1030"/>
      <c r="H27" s="1026"/>
      <c r="I27" s="1031"/>
      <c r="J27" s="684"/>
      <c r="K27" s="1020">
        <v>135</v>
      </c>
      <c r="L27" s="1020">
        <f t="shared" si="1"/>
        <v>0</v>
      </c>
      <c r="M27" s="1021" t="s">
        <v>0</v>
      </c>
    </row>
    <row r="28" spans="1:15">
      <c r="A28" s="1047" t="s">
        <v>235</v>
      </c>
      <c r="B28" s="1026"/>
      <c r="C28" s="1030"/>
      <c r="D28" s="1026"/>
      <c r="E28" s="1030"/>
      <c r="F28" s="1026"/>
      <c r="G28" s="1030"/>
      <c r="H28" s="1026"/>
      <c r="I28" s="1031"/>
      <c r="J28" s="684"/>
      <c r="L28" s="1020">
        <f t="shared" si="1"/>
        <v>0</v>
      </c>
      <c r="M28" s="1021" t="s">
        <v>0</v>
      </c>
      <c r="O28" s="1046"/>
    </row>
    <row r="29" spans="1:15">
      <c r="A29" s="1047" t="s">
        <v>476</v>
      </c>
      <c r="B29" s="1026"/>
      <c r="C29" s="1030"/>
      <c r="D29" s="1026"/>
      <c r="E29" s="1030"/>
      <c r="F29" s="1026"/>
      <c r="G29" s="1030"/>
      <c r="H29" s="1026"/>
      <c r="I29" s="1031"/>
      <c r="J29" s="684"/>
      <c r="L29" s="1020">
        <f t="shared" si="1"/>
        <v>0</v>
      </c>
      <c r="M29" s="1021" t="s">
        <v>0</v>
      </c>
    </row>
    <row r="30" spans="1:15">
      <c r="A30" s="1047" t="s">
        <v>241</v>
      </c>
      <c r="B30" s="1026"/>
      <c r="C30" s="1030"/>
      <c r="D30" s="1026"/>
      <c r="E30" s="1030"/>
      <c r="F30" s="1026"/>
      <c r="G30" s="1030"/>
      <c r="H30" s="1026"/>
      <c r="I30" s="1031"/>
      <c r="J30" s="684"/>
      <c r="K30" s="1020">
        <v>10</v>
      </c>
      <c r="L30" s="1020">
        <f t="shared" si="1"/>
        <v>0</v>
      </c>
      <c r="M30" s="1021" t="s">
        <v>0</v>
      </c>
      <c r="O30" s="1046"/>
    </row>
    <row r="31" spans="1:15">
      <c r="A31" s="1047" t="s">
        <v>68</v>
      </c>
      <c r="B31" s="1026"/>
      <c r="C31" s="1030"/>
      <c r="D31" s="1026"/>
      <c r="E31" s="1030"/>
      <c r="F31" s="1026"/>
      <c r="G31" s="1030"/>
      <c r="H31" s="1026"/>
      <c r="I31" s="1031"/>
      <c r="J31" s="684"/>
      <c r="K31" s="1020">
        <v>85</v>
      </c>
      <c r="L31" s="1020">
        <f t="shared" si="1"/>
        <v>0</v>
      </c>
      <c r="M31" s="1021" t="s">
        <v>0</v>
      </c>
      <c r="O31" s="1046"/>
    </row>
    <row r="32" spans="1:15">
      <c r="A32" s="1047" t="s">
        <v>69</v>
      </c>
      <c r="B32" s="1026"/>
      <c r="C32" s="1030"/>
      <c r="D32" s="1026"/>
      <c r="E32" s="1030"/>
      <c r="F32" s="1026"/>
      <c r="G32" s="1030"/>
      <c r="H32" s="1026"/>
      <c r="I32" s="1031"/>
      <c r="J32" s="684"/>
      <c r="K32" s="1020">
        <v>37758</v>
      </c>
      <c r="L32" s="1020">
        <f t="shared" si="1"/>
        <v>0</v>
      </c>
      <c r="M32" s="1021" t="s">
        <v>0</v>
      </c>
    </row>
    <row r="33" spans="1:14">
      <c r="A33" s="1047" t="s">
        <v>689</v>
      </c>
      <c r="B33" s="1026"/>
      <c r="C33" s="1030">
        <v>651469</v>
      </c>
      <c r="D33" s="1026"/>
      <c r="E33" s="1030">
        <v>690000</v>
      </c>
      <c r="F33" s="1026"/>
      <c r="G33" s="1030">
        <f>(C33/$C$34)*(145000)+E33-50000</f>
        <v>772771.77923423226</v>
      </c>
      <c r="H33" s="1026"/>
      <c r="I33" s="1031">
        <f t="shared" ref="I33" si="2">G33-C33</f>
        <v>121302.77923423226</v>
      </c>
      <c r="J33" s="684"/>
      <c r="K33" s="1020">
        <v>37758</v>
      </c>
      <c r="L33" s="1020">
        <f t="shared" si="1"/>
        <v>-82771.779234232265</v>
      </c>
      <c r="M33" s="1021" t="s">
        <v>0</v>
      </c>
    </row>
    <row r="34" spans="1:14">
      <c r="A34" s="1374" t="s">
        <v>70</v>
      </c>
      <c r="B34" s="1052"/>
      <c r="C34" s="1049">
        <f>SUM(C25:C33)</f>
        <v>711469</v>
      </c>
      <c r="D34" s="1052"/>
      <c r="E34" s="1049">
        <f>SUM(E16:E33)</f>
        <v>755000</v>
      </c>
      <c r="F34" s="1052"/>
      <c r="G34" s="1049">
        <f>SUM(G16:G33)</f>
        <v>850000</v>
      </c>
      <c r="H34" s="1052"/>
      <c r="I34" s="1375">
        <f>SUM(I16:I33)</f>
        <v>133531</v>
      </c>
      <c r="J34" s="684">
        <f>SUM(J12:J33)</f>
        <v>9321</v>
      </c>
      <c r="K34" s="1020">
        <f>SUM(K16:K33)</f>
        <v>109424</v>
      </c>
      <c r="L34" s="1020">
        <f t="shared" si="1"/>
        <v>-95000</v>
      </c>
      <c r="M34" s="1021" t="s">
        <v>0</v>
      </c>
    </row>
    <row r="35" spans="1:14" ht="16.899999999999999" customHeight="1">
      <c r="A35" s="1051" t="s">
        <v>478</v>
      </c>
      <c r="B35" s="1062"/>
      <c r="C35" s="1322">
        <v>-50000</v>
      </c>
      <c r="D35" s="1062"/>
      <c r="E35" s="1322">
        <v>-50000</v>
      </c>
      <c r="F35" s="1062"/>
      <c r="G35" s="1322"/>
      <c r="H35" s="1062"/>
      <c r="I35" s="1323"/>
      <c r="J35" s="684"/>
      <c r="M35" s="1021" t="s">
        <v>0</v>
      </c>
    </row>
    <row r="36" spans="1:14">
      <c r="A36" s="1051" t="s">
        <v>479</v>
      </c>
      <c r="B36" s="1062"/>
      <c r="C36" s="1322">
        <v>50000</v>
      </c>
      <c r="D36" s="1062"/>
      <c r="E36" s="1322"/>
      <c r="F36" s="1062"/>
      <c r="G36" s="1322"/>
      <c r="H36" s="1062"/>
      <c r="I36" s="1323"/>
      <c r="J36" s="684"/>
      <c r="M36" s="1021" t="s">
        <v>0</v>
      </c>
    </row>
    <row r="37" spans="1:14">
      <c r="A37" s="1051" t="s">
        <v>481</v>
      </c>
      <c r="B37" s="1062"/>
      <c r="C37" s="1322">
        <v>-3402</v>
      </c>
      <c r="D37" s="1062"/>
      <c r="E37" s="1322"/>
      <c r="F37" s="1062"/>
      <c r="G37" s="1322"/>
      <c r="H37" s="1062"/>
      <c r="I37" s="1323"/>
      <c r="J37" s="684"/>
      <c r="M37" s="1021" t="s">
        <v>0</v>
      </c>
      <c r="N37" s="1644"/>
    </row>
    <row r="38" spans="1:14">
      <c r="A38" s="1051" t="s">
        <v>817</v>
      </c>
      <c r="B38" s="1062"/>
      <c r="C38" s="1322">
        <v>-3067</v>
      </c>
      <c r="D38" s="1062"/>
      <c r="E38" s="1322"/>
      <c r="F38" s="1062"/>
      <c r="G38" s="1322"/>
      <c r="H38" s="1062"/>
      <c r="I38" s="1323"/>
      <c r="J38" s="684"/>
      <c r="M38" s="1021" t="s">
        <v>0</v>
      </c>
    </row>
    <row r="39" spans="1:14" ht="16.5" thickBot="1">
      <c r="A39" s="1054" t="s">
        <v>1</v>
      </c>
      <c r="B39" s="1376"/>
      <c r="C39" s="1377">
        <f>SUM(C34:C38)</f>
        <v>705000</v>
      </c>
      <c r="D39" s="1376"/>
      <c r="E39" s="1377">
        <f>SUM(E34:E38)</f>
        <v>705000</v>
      </c>
      <c r="F39" s="1376"/>
      <c r="G39" s="1377">
        <f>SUM(G34:G38)</f>
        <v>850000</v>
      </c>
      <c r="H39" s="1376"/>
      <c r="I39" s="1378"/>
      <c r="J39" s="684"/>
      <c r="M39" s="1021" t="s">
        <v>0</v>
      </c>
    </row>
    <row r="40" spans="1:14">
      <c r="A40" s="1056"/>
      <c r="B40" s="1057"/>
      <c r="C40" s="1058"/>
      <c r="D40" s="1057"/>
      <c r="E40" s="1058"/>
      <c r="F40" s="1057"/>
      <c r="G40" s="1058"/>
      <c r="H40" s="1057"/>
      <c r="I40" s="1059"/>
      <c r="J40" s="684"/>
      <c r="M40" s="1021" t="s">
        <v>690</v>
      </c>
    </row>
    <row r="41" spans="1:14">
      <c r="A41" s="1060" t="s">
        <v>268</v>
      </c>
      <c r="B41" s="1026"/>
      <c r="C41" s="1030"/>
      <c r="D41" s="1026"/>
      <c r="E41" s="1030"/>
      <c r="F41" s="1026"/>
      <c r="G41" s="1030"/>
      <c r="H41" s="1026"/>
      <c r="I41" s="1031"/>
      <c r="J41" s="684"/>
      <c r="M41" s="1021" t="s">
        <v>0</v>
      </c>
    </row>
    <row r="42" spans="1:14">
      <c r="A42" s="1047" t="s">
        <v>60</v>
      </c>
      <c r="B42" s="1061"/>
      <c r="C42" s="1027">
        <v>0</v>
      </c>
      <c r="D42" s="1061"/>
      <c r="E42" s="1027">
        <v>0</v>
      </c>
      <c r="F42" s="1061"/>
      <c r="G42" s="1027">
        <v>0</v>
      </c>
      <c r="H42" s="1062"/>
      <c r="I42" s="1028">
        <f>C42+G42</f>
        <v>0</v>
      </c>
      <c r="J42" s="684"/>
      <c r="M42" s="1021" t="s">
        <v>0</v>
      </c>
    </row>
    <row r="43" spans="1:14">
      <c r="A43" s="1029" t="s">
        <v>2</v>
      </c>
      <c r="B43" s="1026"/>
      <c r="C43" s="1027">
        <v>0</v>
      </c>
      <c r="D43" s="1026"/>
      <c r="E43" s="1027">
        <v>0</v>
      </c>
      <c r="F43" s="1026"/>
      <c r="G43" s="1027">
        <v>0</v>
      </c>
      <c r="H43" s="1062"/>
      <c r="I43" s="1028">
        <f>C43+G43</f>
        <v>0</v>
      </c>
      <c r="J43" s="684"/>
      <c r="M43" s="1021" t="s">
        <v>0</v>
      </c>
    </row>
    <row r="44" spans="1:14">
      <c r="A44" s="1038" t="s">
        <v>3</v>
      </c>
      <c r="B44" s="1063"/>
      <c r="C44" s="1064">
        <v>0</v>
      </c>
      <c r="D44" s="1063"/>
      <c r="E44" s="1064">
        <v>0</v>
      </c>
      <c r="F44" s="1063"/>
      <c r="G44" s="1064">
        <v>0</v>
      </c>
      <c r="H44" s="1065"/>
      <c r="I44" s="1066">
        <f>C44+G44</f>
        <v>0</v>
      </c>
      <c r="J44" s="684"/>
      <c r="M44" s="1021" t="s">
        <v>0</v>
      </c>
    </row>
    <row r="45" spans="1:14">
      <c r="A45" s="928"/>
      <c r="B45" s="1067"/>
      <c r="C45" s="1067"/>
      <c r="D45" s="1067"/>
      <c r="E45" s="1067"/>
      <c r="F45" s="1067"/>
      <c r="G45" s="1067"/>
      <c r="H45" s="1067"/>
      <c r="I45" s="1067"/>
      <c r="J45" s="684"/>
      <c r="M45" s="1021" t="s">
        <v>24</v>
      </c>
    </row>
    <row r="46" spans="1:14">
      <c r="A46" s="2311"/>
      <c r="B46" s="2312"/>
      <c r="C46" s="2312"/>
      <c r="D46" s="2312"/>
      <c r="E46" s="2312"/>
      <c r="F46" s="2312"/>
      <c r="G46" s="2312"/>
      <c r="H46" s="2312"/>
      <c r="I46" s="2312"/>
      <c r="J46" s="2312"/>
      <c r="K46" s="2312"/>
      <c r="L46" s="2312"/>
      <c r="M46" s="2312"/>
    </row>
    <row r="47" spans="1:14">
      <c r="H47" s="1068"/>
      <c r="I47" s="1068"/>
      <c r="J47" s="684"/>
    </row>
    <row r="48" spans="1:14">
      <c r="A48" s="2313"/>
      <c r="B48" s="2313"/>
      <c r="C48" s="2313"/>
      <c r="D48" s="2313"/>
      <c r="E48" s="2313"/>
      <c r="F48" s="2313"/>
      <c r="G48" s="2313"/>
      <c r="H48" s="1067"/>
      <c r="I48" s="1067"/>
      <c r="J48" s="684"/>
    </row>
    <row r="49" spans="1:14">
      <c r="A49" s="1070"/>
      <c r="B49" s="1071"/>
      <c r="C49" s="1071"/>
      <c r="D49" s="1071"/>
      <c r="E49" s="1071"/>
      <c r="F49" s="1071"/>
      <c r="G49" s="1071"/>
      <c r="H49" s="1067"/>
      <c r="I49" s="1067"/>
      <c r="J49" s="684"/>
    </row>
    <row r="50" spans="1:14" ht="41.25" customHeight="1">
      <c r="A50" s="2314"/>
      <c r="B50" s="2315"/>
      <c r="C50" s="2315"/>
      <c r="D50" s="2315"/>
      <c r="E50" s="2315"/>
      <c r="F50" s="2315"/>
      <c r="G50" s="2315"/>
      <c r="H50" s="995"/>
      <c r="I50" s="1072"/>
      <c r="J50" s="684"/>
    </row>
    <row r="51" spans="1:14" ht="14.25" customHeight="1">
      <c r="A51" s="1070"/>
      <c r="B51" s="1073"/>
      <c r="C51" s="1073"/>
      <c r="D51" s="1073"/>
      <c r="E51" s="1073"/>
      <c r="F51" s="1073"/>
      <c r="G51" s="1073"/>
      <c r="H51" s="995"/>
      <c r="I51" s="995"/>
      <c r="J51" s="684"/>
    </row>
    <row r="52" spans="1:14" ht="77.25" customHeight="1">
      <c r="A52" s="2147"/>
      <c r="B52" s="2147"/>
      <c r="C52" s="2147"/>
      <c r="D52" s="2147"/>
      <c r="E52" s="2147"/>
      <c r="F52" s="2147"/>
      <c r="G52" s="2147"/>
      <c r="H52" s="1074"/>
      <c r="I52" s="1072"/>
      <c r="J52" s="684"/>
    </row>
    <row r="53" spans="1:14" ht="12.75" customHeight="1">
      <c r="A53" s="1070"/>
      <c r="B53" s="1073"/>
      <c r="C53" s="1073"/>
      <c r="D53" s="1073"/>
      <c r="E53" s="1073"/>
      <c r="F53" s="1073"/>
      <c r="G53" s="1073"/>
      <c r="H53" s="995"/>
      <c r="I53" s="995"/>
      <c r="J53" s="684"/>
    </row>
    <row r="54" spans="1:14" ht="54" customHeight="1">
      <c r="A54" s="2147"/>
      <c r="B54" s="2301"/>
      <c r="C54" s="2301"/>
      <c r="D54" s="2301"/>
      <c r="E54" s="2301"/>
      <c r="F54" s="2301"/>
      <c r="G54" s="2301"/>
      <c r="H54" s="1074"/>
      <c r="I54" s="1072"/>
      <c r="J54" s="684"/>
    </row>
    <row r="55" spans="1:14" ht="43.5" customHeight="1">
      <c r="A55" s="2300"/>
      <c r="B55" s="2301"/>
      <c r="C55" s="2301"/>
      <c r="D55" s="2301"/>
      <c r="E55" s="2301"/>
      <c r="F55" s="2301"/>
      <c r="G55" s="2301"/>
      <c r="H55" s="995"/>
      <c r="I55" s="995"/>
      <c r="J55" s="684"/>
    </row>
    <row r="56" spans="1:14" ht="62.25" customHeight="1">
      <c r="A56" s="1075"/>
      <c r="B56" s="2147"/>
      <c r="C56" s="2147"/>
      <c r="D56" s="2147"/>
      <c r="E56" s="2147"/>
      <c r="F56" s="2147"/>
      <c r="G56" s="2147"/>
      <c r="H56" s="995"/>
      <c r="I56" s="995"/>
      <c r="J56" s="684"/>
    </row>
    <row r="57" spans="1:14" ht="12" customHeight="1">
      <c r="A57" s="1075"/>
      <c r="B57" s="1073"/>
      <c r="C57" s="1073"/>
      <c r="D57" s="1073"/>
      <c r="E57" s="1073"/>
      <c r="F57" s="1073"/>
      <c r="G57" s="1073"/>
      <c r="H57" s="995"/>
      <c r="I57" s="995"/>
      <c r="J57" s="684"/>
    </row>
    <row r="58" spans="1:14" ht="64.5" customHeight="1">
      <c r="A58" s="2317"/>
      <c r="B58" s="2318"/>
      <c r="C58" s="2318"/>
      <c r="D58" s="2318"/>
      <c r="E58" s="2318"/>
      <c r="F58" s="2318"/>
      <c r="G58" s="2318"/>
      <c r="H58" s="995"/>
      <c r="I58" s="995"/>
      <c r="J58" s="684"/>
    </row>
    <row r="59" spans="1:14" ht="47.25" customHeight="1">
      <c r="A59" s="2317"/>
      <c r="B59" s="2301"/>
      <c r="C59" s="2301"/>
      <c r="D59" s="2301"/>
      <c r="E59" s="2301"/>
      <c r="F59" s="2301"/>
      <c r="G59" s="2301"/>
      <c r="H59" s="995"/>
      <c r="I59" s="995"/>
      <c r="J59" s="684"/>
    </row>
    <row r="60" spans="1:14" ht="60" customHeight="1">
      <c r="A60" s="2317"/>
      <c r="B60" s="2301"/>
      <c r="C60" s="2301"/>
      <c r="D60" s="2301"/>
      <c r="E60" s="2301"/>
      <c r="F60" s="2301"/>
      <c r="G60" s="2301"/>
      <c r="H60" s="995"/>
      <c r="I60" s="995"/>
      <c r="J60" s="684"/>
    </row>
    <row r="61" spans="1:14" ht="15" customHeight="1">
      <c r="A61" s="2256"/>
      <c r="B61" s="2256"/>
      <c r="C61" s="2256"/>
      <c r="D61" s="2256"/>
      <c r="E61" s="2256"/>
      <c r="F61" s="2256"/>
      <c r="G61" s="2256"/>
      <c r="H61" s="2256"/>
      <c r="I61" s="2256"/>
      <c r="J61" s="2256"/>
      <c r="K61" s="2256"/>
      <c r="L61" s="2256"/>
      <c r="M61" s="2256"/>
      <c r="N61" s="2257"/>
    </row>
    <row r="62" spans="1:14" ht="22.9" customHeight="1">
      <c r="A62" s="1076"/>
      <c r="B62" s="2316"/>
      <c r="C62" s="2316"/>
      <c r="D62" s="2316"/>
      <c r="E62" s="2316"/>
      <c r="F62" s="2316"/>
      <c r="G62" s="2316"/>
      <c r="H62" s="2316"/>
      <c r="I62" s="2316"/>
      <c r="J62" s="684"/>
    </row>
    <row r="63" spans="1:14">
      <c r="A63" s="1076"/>
      <c r="B63" s="1076"/>
      <c r="C63" s="1076"/>
      <c r="D63" s="1076"/>
      <c r="E63" s="1076"/>
      <c r="F63" s="1076"/>
      <c r="G63" s="1076"/>
      <c r="H63" s="1077"/>
      <c r="I63" s="1078"/>
      <c r="J63" s="684"/>
    </row>
    <row r="64" spans="1:14">
      <c r="A64" s="1076"/>
      <c r="B64" s="1076"/>
      <c r="C64" s="1076"/>
      <c r="D64" s="1076"/>
      <c r="E64" s="1076"/>
      <c r="F64" s="1076"/>
      <c r="G64" s="1076"/>
      <c r="H64" s="1078"/>
      <c r="I64" s="1078"/>
      <c r="J64" s="684"/>
    </row>
    <row r="65" spans="1:10">
      <c r="A65" s="1076"/>
      <c r="B65" s="1076"/>
      <c r="C65" s="1076"/>
      <c r="D65" s="1076"/>
      <c r="E65" s="1076"/>
      <c r="F65" s="1076"/>
      <c r="G65" s="1076"/>
      <c r="H65" s="1078"/>
      <c r="I65" s="1078"/>
      <c r="J65" s="684"/>
    </row>
    <row r="66" spans="1:10" ht="65.45" customHeight="1">
      <c r="A66" s="1076"/>
      <c r="B66" s="2316"/>
      <c r="C66" s="2316"/>
      <c r="D66" s="2316"/>
      <c r="E66" s="2316"/>
      <c r="F66" s="2316"/>
      <c r="G66" s="2316"/>
      <c r="H66" s="2316"/>
      <c r="I66" s="2316"/>
      <c r="J66" s="684"/>
    </row>
    <row r="67" spans="1:10">
      <c r="H67" s="1079"/>
      <c r="I67" s="1079"/>
      <c r="J67" s="684"/>
    </row>
    <row r="68" spans="1:10">
      <c r="H68" s="1079"/>
      <c r="I68" s="1080"/>
      <c r="J68" s="684"/>
    </row>
    <row r="69" spans="1:10">
      <c r="H69" s="1079"/>
      <c r="I69" s="1079"/>
      <c r="J69" s="684"/>
    </row>
    <row r="70" spans="1:10">
      <c r="H70" s="1079"/>
      <c r="I70" s="1079"/>
      <c r="J70" s="684"/>
    </row>
    <row r="71" spans="1:10">
      <c r="H71" s="1079"/>
      <c r="I71" s="1079"/>
      <c r="J71" s="684"/>
    </row>
    <row r="72" spans="1:10">
      <c r="H72" s="1079"/>
      <c r="I72" s="1079"/>
      <c r="J72" s="684"/>
    </row>
    <row r="73" spans="1:10">
      <c r="H73" s="1079"/>
      <c r="I73" s="1079"/>
      <c r="J73" s="684"/>
    </row>
    <row r="74" spans="1:10">
      <c r="H74" s="1079"/>
      <c r="I74" s="1079"/>
      <c r="J74" s="684"/>
    </row>
    <row r="75" spans="1:10">
      <c r="H75" s="1079"/>
      <c r="I75" s="1079"/>
      <c r="J75" s="684"/>
    </row>
    <row r="76" spans="1:10">
      <c r="H76" s="1079"/>
      <c r="I76" s="1079"/>
      <c r="J76" s="684"/>
    </row>
    <row r="77" spans="1:10">
      <c r="H77" s="1079"/>
      <c r="I77" s="1079"/>
      <c r="J77" s="684"/>
    </row>
    <row r="78" spans="1:10">
      <c r="H78" s="1079"/>
      <c r="I78" s="1079"/>
      <c r="J78" s="684"/>
    </row>
    <row r="79" spans="1:10">
      <c r="H79" s="1079"/>
      <c r="I79" s="1081"/>
      <c r="J79" s="684"/>
    </row>
    <row r="80" spans="1:10">
      <c r="H80" s="1079"/>
      <c r="I80" s="1081"/>
      <c r="J80" s="684"/>
    </row>
    <row r="81" spans="8:10">
      <c r="H81" s="1079"/>
      <c r="I81" s="1079"/>
      <c r="J81" s="684"/>
    </row>
    <row r="82" spans="8:10">
      <c r="H82" s="1079"/>
      <c r="I82" s="1079"/>
      <c r="J82" s="684"/>
    </row>
    <row r="83" spans="8:10">
      <c r="H83" s="1079"/>
      <c r="I83" s="1079"/>
      <c r="J83" s="684"/>
    </row>
    <row r="84" spans="8:10">
      <c r="H84" s="1079"/>
      <c r="I84" s="1079"/>
      <c r="J84" s="684"/>
    </row>
    <row r="85" spans="8:10">
      <c r="H85" s="1079"/>
      <c r="I85" s="1079"/>
      <c r="J85" s="684"/>
    </row>
    <row r="86" spans="8:10">
      <c r="H86" s="1079"/>
      <c r="I86" s="1079"/>
      <c r="J86" s="684"/>
    </row>
    <row r="87" spans="8:10">
      <c r="H87" s="1079"/>
      <c r="I87" s="1079"/>
      <c r="J87" s="684"/>
    </row>
    <row r="88" spans="8:10">
      <c r="H88" s="1079"/>
      <c r="I88" s="1079"/>
      <c r="J88" s="684"/>
    </row>
    <row r="89" spans="8:10">
      <c r="H89" s="1079"/>
      <c r="I89" s="1079"/>
      <c r="J89" s="684"/>
    </row>
    <row r="90" spans="8:10">
      <c r="H90" s="1079"/>
      <c r="I90" s="1079"/>
      <c r="J90" s="684"/>
    </row>
    <row r="91" spans="8:10">
      <c r="H91" s="1079"/>
      <c r="I91" s="1079"/>
      <c r="J91" s="684"/>
    </row>
    <row r="92" spans="8:10">
      <c r="H92" s="1079"/>
      <c r="I92" s="1079"/>
      <c r="J92" s="684"/>
    </row>
    <row r="93" spans="8:10">
      <c r="H93" s="1079"/>
      <c r="I93" s="1079"/>
      <c r="J93" s="684"/>
    </row>
    <row r="94" spans="8:10">
      <c r="H94" s="1082"/>
      <c r="I94" s="1079"/>
      <c r="J94" s="684"/>
    </row>
    <row r="95" spans="8:10">
      <c r="H95" s="684"/>
      <c r="I95" s="684"/>
      <c r="J95" s="684"/>
    </row>
    <row r="96" spans="8:10">
      <c r="H96" s="1083"/>
      <c r="I96" s="1083"/>
      <c r="J96" s="684"/>
    </row>
    <row r="97" spans="8:10">
      <c r="H97" s="1083"/>
      <c r="I97" s="1083"/>
      <c r="J97" s="684"/>
    </row>
    <row r="98" spans="8:10">
      <c r="H98" s="1083"/>
      <c r="I98" s="1083"/>
      <c r="J98" s="684"/>
    </row>
    <row r="99" spans="8:10">
      <c r="H99" s="1083"/>
      <c r="I99" s="1083"/>
      <c r="J99" s="684"/>
    </row>
    <row r="100" spans="8:10">
      <c r="J100" s="684"/>
    </row>
    <row r="101" spans="8:10">
      <c r="J101" s="684"/>
    </row>
    <row r="203" spans="1:1">
      <c r="A203" s="1020" t="s">
        <v>232</v>
      </c>
    </row>
  </sheetData>
  <mergeCells count="25">
    <mergeCell ref="B66:I66"/>
    <mergeCell ref="B56:G56"/>
    <mergeCell ref="A58:G58"/>
    <mergeCell ref="A59:G59"/>
    <mergeCell ref="A60:G60"/>
    <mergeCell ref="A61:N61"/>
    <mergeCell ref="B62:I62"/>
    <mergeCell ref="A55:G55"/>
    <mergeCell ref="A7:I7"/>
    <mergeCell ref="A8:A9"/>
    <mergeCell ref="B8:C8"/>
    <mergeCell ref="D8:E8"/>
    <mergeCell ref="F8:G8"/>
    <mergeCell ref="H8:I8"/>
    <mergeCell ref="A46:M46"/>
    <mergeCell ref="A48:G48"/>
    <mergeCell ref="A50:G50"/>
    <mergeCell ref="A52:G52"/>
    <mergeCell ref="A54:G54"/>
    <mergeCell ref="A6:I6"/>
    <mergeCell ref="A1:I1"/>
    <mergeCell ref="A2:I2"/>
    <mergeCell ref="A3:I3"/>
    <mergeCell ref="A4:I4"/>
    <mergeCell ref="A5:I5"/>
  </mergeCells>
  <printOptions horizontalCentered="1"/>
  <pageMargins left="0.5" right="0.4" top="0.5" bottom="0.25" header="0" footer="0"/>
  <pageSetup scale="74" firstPageNumber="8" fitToHeight="0" orientation="landscape" useFirstPageNumber="1" r:id="rId1"/>
  <headerFooter alignWithMargins="0">
    <oddFooter>&amp;C&amp;"Times New Roman,Regular"Exhibit L - Summary of Requirements by Object Class&amp;R&amp;"Times New Roman,Regular"Crime Victims Fund</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Q37"/>
  <sheetViews>
    <sheetView view="pageBreakPreview" zoomScale="70" zoomScaleNormal="100" zoomScaleSheetLayoutView="70" workbookViewId="0">
      <selection activeCell="H9" sqref="H9:J10"/>
    </sheetView>
  </sheetViews>
  <sheetFormatPr defaultRowHeight="15.75"/>
  <cols>
    <col min="1" max="1" width="35.21875" customWidth="1"/>
    <col min="11" max="11" width="9.44140625" style="8" customWidth="1"/>
    <col min="12" max="12" width="10" style="8" customWidth="1"/>
  </cols>
  <sheetData>
    <row r="1" spans="1:17" ht="20.25">
      <c r="A1" s="1823" t="s">
        <v>613</v>
      </c>
      <c r="B1" s="1824"/>
      <c r="C1" s="1824"/>
      <c r="D1" s="1824"/>
      <c r="E1" s="1824"/>
      <c r="F1" s="1824"/>
      <c r="G1" s="1824"/>
      <c r="H1" s="1824"/>
      <c r="I1" s="1824"/>
      <c r="J1" s="1824"/>
      <c r="K1" s="1824"/>
      <c r="L1" s="1824"/>
      <c r="M1" s="1824"/>
      <c r="N1" s="1824"/>
      <c r="O1" s="1824"/>
      <c r="P1" s="108" t="s">
        <v>0</v>
      </c>
      <c r="Q1" s="8"/>
    </row>
    <row r="2" spans="1:17">
      <c r="A2" s="1902"/>
      <c r="B2" s="1902"/>
      <c r="C2" s="1902"/>
      <c r="D2" s="1902"/>
      <c r="E2" s="1902"/>
      <c r="F2" s="1902"/>
      <c r="G2" s="1902"/>
      <c r="H2" s="1902"/>
      <c r="I2" s="1902"/>
      <c r="J2" s="1902"/>
      <c r="K2" s="1902"/>
      <c r="L2" s="1902"/>
      <c r="M2" s="1902"/>
      <c r="N2" s="1902"/>
      <c r="O2" s="1902"/>
      <c r="P2" s="108" t="s">
        <v>0</v>
      </c>
      <c r="Q2" s="8"/>
    </row>
    <row r="3" spans="1:17" ht="18.75">
      <c r="A3" s="1906" t="s">
        <v>329</v>
      </c>
      <c r="B3" s="1907"/>
      <c r="C3" s="1907"/>
      <c r="D3" s="1907"/>
      <c r="E3" s="1907"/>
      <c r="F3" s="1907"/>
      <c r="G3" s="1907"/>
      <c r="H3" s="1907"/>
      <c r="I3" s="1907"/>
      <c r="J3" s="1907"/>
      <c r="K3" s="1907"/>
      <c r="L3" s="1907"/>
      <c r="M3" s="1907"/>
      <c r="N3" s="1907"/>
      <c r="O3" s="1907"/>
      <c r="P3" s="108" t="s">
        <v>0</v>
      </c>
      <c r="Q3" s="8"/>
    </row>
    <row r="4" spans="1:17" ht="16.5">
      <c r="A4" s="1908" t="str">
        <f>+'B. Summ of Reqs - S&amp;E '!A5</f>
        <v>Office of Justice Programs</v>
      </c>
      <c r="B4" s="1905"/>
      <c r="C4" s="1905"/>
      <c r="D4" s="1905"/>
      <c r="E4" s="1905"/>
      <c r="F4" s="1905"/>
      <c r="G4" s="1905"/>
      <c r="H4" s="1905"/>
      <c r="I4" s="1905"/>
      <c r="J4" s="1905"/>
      <c r="K4" s="1905"/>
      <c r="L4" s="1905"/>
      <c r="M4" s="1905"/>
      <c r="N4" s="1905"/>
      <c r="O4" s="1905"/>
      <c r="P4" s="108" t="s">
        <v>0</v>
      </c>
      <c r="Q4" s="8"/>
    </row>
    <row r="5" spans="1:17" ht="16.5">
      <c r="A5" s="1908" t="str">
        <f>+'B. Summ of Reqs - S&amp;E '!A6</f>
        <v>Salaries and Expenses</v>
      </c>
      <c r="B5" s="1907"/>
      <c r="C5" s="1907"/>
      <c r="D5" s="1907"/>
      <c r="E5" s="1907"/>
      <c r="F5" s="1907"/>
      <c r="G5" s="1907"/>
      <c r="H5" s="1907"/>
      <c r="I5" s="1907"/>
      <c r="J5" s="1907"/>
      <c r="K5" s="1907"/>
      <c r="L5" s="1907"/>
      <c r="M5" s="1907"/>
      <c r="N5" s="1907"/>
      <c r="O5" s="1907"/>
      <c r="P5" s="108" t="s">
        <v>0</v>
      </c>
      <c r="Q5" s="8"/>
    </row>
    <row r="6" spans="1:17">
      <c r="A6" s="1904" t="s">
        <v>257</v>
      </c>
      <c r="B6" s="1905"/>
      <c r="C6" s="1905"/>
      <c r="D6" s="1905"/>
      <c r="E6" s="1905"/>
      <c r="F6" s="1905"/>
      <c r="G6" s="1905"/>
      <c r="H6" s="1905"/>
      <c r="I6" s="1905"/>
      <c r="J6" s="1905"/>
      <c r="K6" s="1905"/>
      <c r="L6" s="1905"/>
      <c r="M6" s="1905"/>
      <c r="N6" s="1905"/>
      <c r="O6" s="1905"/>
      <c r="P6" s="108" t="s">
        <v>0</v>
      </c>
      <c r="Q6" s="8"/>
    </row>
    <row r="7" spans="1:17">
      <c r="A7" s="1902"/>
      <c r="B7" s="1902"/>
      <c r="C7" s="1902"/>
      <c r="D7" s="1902"/>
      <c r="E7" s="1902"/>
      <c r="F7" s="1902"/>
      <c r="G7" s="1902"/>
      <c r="H7" s="1902"/>
      <c r="I7" s="1902"/>
      <c r="J7" s="1902"/>
      <c r="K7" s="1902"/>
      <c r="L7" s="1902"/>
      <c r="M7" s="1902"/>
      <c r="N7" s="1902"/>
      <c r="O7" s="1902"/>
      <c r="P7" s="108" t="s">
        <v>0</v>
      </c>
      <c r="Q7" s="8"/>
    </row>
    <row r="8" spans="1:17">
      <c r="A8" s="1903"/>
      <c r="B8" s="1903"/>
      <c r="C8" s="1903"/>
      <c r="D8" s="1903"/>
      <c r="E8" s="1903"/>
      <c r="F8" s="1903"/>
      <c r="G8" s="1903"/>
      <c r="H8" s="1903"/>
      <c r="I8" s="1903"/>
      <c r="J8" s="1903"/>
      <c r="K8" s="1903"/>
      <c r="L8" s="1903"/>
      <c r="M8" s="1903"/>
      <c r="N8" s="1903"/>
      <c r="O8" s="1903"/>
      <c r="P8" s="108" t="s">
        <v>0</v>
      </c>
      <c r="Q8" s="8"/>
    </row>
    <row r="9" spans="1:17" ht="15.75" customHeight="1">
      <c r="A9" s="1898" t="s">
        <v>45</v>
      </c>
      <c r="B9" s="1880" t="s">
        <v>359</v>
      </c>
      <c r="C9" s="1881"/>
      <c r="D9" s="1882"/>
      <c r="E9" s="1892" t="s">
        <v>269</v>
      </c>
      <c r="F9" s="1893"/>
      <c r="G9" s="1894"/>
      <c r="H9" s="1880" t="s">
        <v>23</v>
      </c>
      <c r="I9" s="1881"/>
      <c r="J9" s="1882"/>
      <c r="K9" s="1890" t="s">
        <v>356</v>
      </c>
      <c r="L9" s="1909" t="s">
        <v>357</v>
      </c>
      <c r="M9" s="1880" t="s">
        <v>330</v>
      </c>
      <c r="N9" s="1881"/>
      <c r="O9" s="1882"/>
      <c r="P9" s="108" t="s">
        <v>0</v>
      </c>
      <c r="Q9" s="8"/>
    </row>
    <row r="10" spans="1:17">
      <c r="A10" s="1899"/>
      <c r="B10" s="1883"/>
      <c r="C10" s="1884"/>
      <c r="D10" s="1885"/>
      <c r="E10" s="1895"/>
      <c r="F10" s="1896"/>
      <c r="G10" s="1897"/>
      <c r="H10" s="1883"/>
      <c r="I10" s="1884"/>
      <c r="J10" s="1885"/>
      <c r="K10" s="1891"/>
      <c r="L10" s="1910"/>
      <c r="M10" s="1883"/>
      <c r="N10" s="1884"/>
      <c r="O10" s="1885"/>
      <c r="P10" s="108" t="s">
        <v>0</v>
      </c>
      <c r="Q10" s="8"/>
    </row>
    <row r="11" spans="1:17" ht="16.5" thickBot="1">
      <c r="A11" s="1900"/>
      <c r="B11" s="320" t="s">
        <v>277</v>
      </c>
      <c r="C11" s="321" t="s">
        <v>49</v>
      </c>
      <c r="D11" s="321" t="s">
        <v>279</v>
      </c>
      <c r="E11" s="320" t="s">
        <v>277</v>
      </c>
      <c r="F11" s="321" t="s">
        <v>49</v>
      </c>
      <c r="G11" s="321" t="s">
        <v>279</v>
      </c>
      <c r="H11" s="320" t="s">
        <v>277</v>
      </c>
      <c r="I11" s="321" t="s">
        <v>49</v>
      </c>
      <c r="J11" s="321" t="s">
        <v>279</v>
      </c>
      <c r="K11" s="568" t="s">
        <v>279</v>
      </c>
      <c r="L11" s="569" t="s">
        <v>279</v>
      </c>
      <c r="M11" s="320" t="s">
        <v>277</v>
      </c>
      <c r="N11" s="321" t="s">
        <v>49</v>
      </c>
      <c r="O11" s="322" t="s">
        <v>279</v>
      </c>
      <c r="P11" s="108" t="s">
        <v>0</v>
      </c>
      <c r="Q11" s="8"/>
    </row>
    <row r="12" spans="1:17">
      <c r="A12" s="619" t="s">
        <v>258</v>
      </c>
      <c r="B12" s="240">
        <v>702</v>
      </c>
      <c r="C12" s="188">
        <v>680</v>
      </c>
      <c r="D12" s="188">
        <v>160218</v>
      </c>
      <c r="E12" s="240"/>
      <c r="F12" s="188"/>
      <c r="G12" s="1623"/>
      <c r="H12" s="240"/>
      <c r="I12" s="188"/>
      <c r="J12" s="188"/>
      <c r="K12" s="114">
        <v>1824</v>
      </c>
      <c r="L12" s="188"/>
      <c r="M12" s="240">
        <f>B12+E12+H12</f>
        <v>702</v>
      </c>
      <c r="N12" s="188">
        <f>C12+F12+I12</f>
        <v>680</v>
      </c>
      <c r="O12" s="115">
        <f>D12+G12+J12+K12+L12</f>
        <v>162042</v>
      </c>
      <c r="P12" s="108" t="s">
        <v>0</v>
      </c>
      <c r="Q12" s="8"/>
    </row>
    <row r="13" spans="1:17">
      <c r="A13" s="326" t="s">
        <v>286</v>
      </c>
      <c r="B13" s="327">
        <f t="shared" ref="B13:O13" si="0">SUM(B12:B12)</f>
        <v>702</v>
      </c>
      <c r="C13" s="328">
        <f t="shared" si="0"/>
        <v>680</v>
      </c>
      <c r="D13" s="329">
        <f t="shared" si="0"/>
        <v>160218</v>
      </c>
      <c r="E13" s="327">
        <f t="shared" si="0"/>
        <v>0</v>
      </c>
      <c r="F13" s="328">
        <f t="shared" si="0"/>
        <v>0</v>
      </c>
      <c r="G13" s="329">
        <f t="shared" si="0"/>
        <v>0</v>
      </c>
      <c r="H13" s="327">
        <f t="shared" si="0"/>
        <v>0</v>
      </c>
      <c r="I13" s="328">
        <f t="shared" si="0"/>
        <v>0</v>
      </c>
      <c r="J13" s="329">
        <f t="shared" si="0"/>
        <v>0</v>
      </c>
      <c r="K13" s="565">
        <f t="shared" si="0"/>
        <v>1824</v>
      </c>
      <c r="L13" s="329">
        <f t="shared" si="0"/>
        <v>0</v>
      </c>
      <c r="M13" s="327">
        <f t="shared" si="0"/>
        <v>702</v>
      </c>
      <c r="N13" s="328">
        <f t="shared" si="0"/>
        <v>680</v>
      </c>
      <c r="O13" s="330">
        <f t="shared" si="0"/>
        <v>162042</v>
      </c>
      <c r="P13" s="108" t="s">
        <v>0</v>
      </c>
      <c r="Q13" s="8"/>
    </row>
    <row r="14" spans="1:17">
      <c r="A14" s="319" t="s">
        <v>263</v>
      </c>
      <c r="B14" s="238" t="s">
        <v>278</v>
      </c>
      <c r="C14" s="239"/>
      <c r="D14" s="239"/>
      <c r="E14" s="238"/>
      <c r="F14" s="239"/>
      <c r="G14" s="239"/>
      <c r="H14" s="238"/>
      <c r="I14" s="239"/>
      <c r="J14" s="239"/>
      <c r="K14" s="119"/>
      <c r="L14" s="239"/>
      <c r="M14" s="238"/>
      <c r="N14" s="239"/>
      <c r="O14" s="331"/>
      <c r="P14" s="108" t="s">
        <v>0</v>
      </c>
      <c r="Q14" s="10"/>
    </row>
    <row r="15" spans="1:17">
      <c r="A15" s="319" t="s">
        <v>262</v>
      </c>
      <c r="B15" s="332"/>
      <c r="C15" s="333">
        <f>SUM(C13:C14)</f>
        <v>680</v>
      </c>
      <c r="D15" s="333"/>
      <c r="E15" s="332"/>
      <c r="F15" s="333">
        <f>+F13+F14</f>
        <v>0</v>
      </c>
      <c r="G15" s="333"/>
      <c r="H15" s="332"/>
      <c r="I15" s="333">
        <f>+I13+I14</f>
        <v>0</v>
      </c>
      <c r="J15" s="333"/>
      <c r="K15" s="566"/>
      <c r="L15" s="333"/>
      <c r="M15" s="332"/>
      <c r="N15" s="333">
        <f>SUM(N13:N14)</f>
        <v>680</v>
      </c>
      <c r="O15" s="334"/>
      <c r="P15" s="108" t="s">
        <v>0</v>
      </c>
      <c r="Q15" s="8"/>
    </row>
    <row r="16" spans="1:17">
      <c r="A16" s="335" t="s">
        <v>264</v>
      </c>
      <c r="B16" s="240"/>
      <c r="C16" s="188"/>
      <c r="D16" s="188"/>
      <c r="E16" s="240"/>
      <c r="F16" s="188"/>
      <c r="G16" s="188"/>
      <c r="H16" s="240"/>
      <c r="I16" s="188"/>
      <c r="J16" s="188"/>
      <c r="K16" s="114"/>
      <c r="L16" s="188"/>
      <c r="M16" s="240"/>
      <c r="N16" s="188"/>
      <c r="O16" s="115"/>
      <c r="P16" s="108" t="s">
        <v>0</v>
      </c>
      <c r="Q16" s="8"/>
    </row>
    <row r="17" spans="1:17">
      <c r="A17" s="336" t="s">
        <v>55</v>
      </c>
      <c r="B17" s="240"/>
      <c r="C17" s="188"/>
      <c r="D17" s="188"/>
      <c r="E17" s="240"/>
      <c r="F17" s="188"/>
      <c r="G17" s="188"/>
      <c r="H17" s="240"/>
      <c r="I17" s="188"/>
      <c r="J17" s="188"/>
      <c r="K17" s="114"/>
      <c r="L17" s="188"/>
      <c r="M17" s="240"/>
      <c r="N17" s="188"/>
      <c r="O17" s="115"/>
      <c r="P17" s="108" t="s">
        <v>0</v>
      </c>
      <c r="Q17" s="8"/>
    </row>
    <row r="18" spans="1:17">
      <c r="A18" s="337" t="s">
        <v>103</v>
      </c>
      <c r="B18" s="238"/>
      <c r="C18" s="239"/>
      <c r="D18" s="239"/>
      <c r="E18" s="238"/>
      <c r="F18" s="239"/>
      <c r="G18" s="239"/>
      <c r="H18" s="238"/>
      <c r="I18" s="239"/>
      <c r="J18" s="239"/>
      <c r="K18" s="119"/>
      <c r="L18" s="239"/>
      <c r="M18" s="238"/>
      <c r="N18" s="239"/>
      <c r="O18" s="331"/>
      <c r="P18" s="108" t="s">
        <v>0</v>
      </c>
      <c r="Q18" s="8"/>
    </row>
    <row r="19" spans="1:17">
      <c r="A19" s="319" t="s">
        <v>265</v>
      </c>
      <c r="B19" s="238"/>
      <c r="C19" s="239">
        <f>C18+C17+C15</f>
        <v>680</v>
      </c>
      <c r="D19" s="338"/>
      <c r="E19" s="238"/>
      <c r="F19" s="239">
        <f>F18+F17+F15</f>
        <v>0</v>
      </c>
      <c r="G19" s="338"/>
      <c r="H19" s="238"/>
      <c r="I19" s="239">
        <f>I18+I17+I15</f>
        <v>0</v>
      </c>
      <c r="J19" s="338"/>
      <c r="K19" s="567"/>
      <c r="L19" s="338"/>
      <c r="M19" s="238"/>
      <c r="N19" s="239">
        <f>N18+N17+N15</f>
        <v>680</v>
      </c>
      <c r="O19" s="339"/>
      <c r="P19" s="342" t="s">
        <v>24</v>
      </c>
      <c r="Q19" s="8"/>
    </row>
    <row r="20" spans="1:17">
      <c r="A20" s="307"/>
      <c r="B20" s="1"/>
      <c r="C20" s="1"/>
      <c r="D20" s="1"/>
      <c r="E20" s="1"/>
      <c r="F20" s="1"/>
      <c r="G20" s="1"/>
      <c r="H20" s="1"/>
      <c r="I20" s="1"/>
      <c r="J20" s="1"/>
      <c r="K20" s="1"/>
      <c r="L20" s="1"/>
      <c r="M20" s="1"/>
      <c r="N20" s="1"/>
      <c r="O20" s="1"/>
      <c r="P20" s="109"/>
      <c r="Q20" s="8"/>
    </row>
    <row r="21" spans="1:17">
      <c r="A21" s="38"/>
      <c r="B21" s="38"/>
      <c r="C21" s="38"/>
      <c r="D21" s="38"/>
      <c r="E21" s="38"/>
      <c r="F21" s="38"/>
      <c r="G21" s="38"/>
      <c r="H21" s="1"/>
      <c r="I21" s="1"/>
      <c r="J21" s="1"/>
      <c r="K21" s="1"/>
      <c r="L21" s="1"/>
      <c r="M21" s="1"/>
      <c r="N21" s="1"/>
      <c r="O21" s="1"/>
      <c r="P21" s="109"/>
      <c r="Q21" s="8"/>
    </row>
    <row r="22" spans="1:17">
      <c r="A22" s="1888"/>
      <c r="B22" s="1879"/>
      <c r="C22" s="1879"/>
      <c r="D22" s="1879"/>
      <c r="E22" s="1879"/>
      <c r="F22" s="1879"/>
      <c r="G22" s="1879"/>
      <c r="H22" s="1879"/>
      <c r="I22" s="1879"/>
      <c r="J22" s="1879"/>
      <c r="K22" s="1879"/>
      <c r="L22" s="1879"/>
      <c r="M22" s="1879"/>
      <c r="N22" s="1879"/>
      <c r="O22" s="1879"/>
      <c r="P22" s="20"/>
      <c r="Q22" s="8"/>
    </row>
    <row r="23" spans="1:17">
      <c r="A23" s="551"/>
      <c r="B23" s="76"/>
      <c r="C23" s="76"/>
      <c r="D23" s="76"/>
      <c r="E23" s="76"/>
      <c r="F23" s="76"/>
      <c r="G23" s="76"/>
      <c r="H23" s="76"/>
      <c r="I23" s="76"/>
      <c r="J23" s="76"/>
      <c r="K23" s="76"/>
      <c r="L23" s="76"/>
      <c r="M23" s="76"/>
      <c r="N23" s="76"/>
      <c r="O23" s="76"/>
      <c r="P23" s="20"/>
      <c r="Q23" s="8"/>
    </row>
    <row r="24" spans="1:17">
      <c r="A24" s="1889"/>
      <c r="B24" s="1887"/>
      <c r="C24" s="1887"/>
      <c r="D24" s="1887"/>
      <c r="E24" s="1887"/>
      <c r="F24" s="1887"/>
      <c r="G24" s="1887"/>
      <c r="H24" s="1887"/>
      <c r="I24" s="1887"/>
      <c r="J24" s="1887"/>
      <c r="K24" s="1887"/>
      <c r="L24" s="1887"/>
      <c r="M24" s="1887"/>
      <c r="N24" s="1887"/>
      <c r="O24" s="1887"/>
      <c r="P24" s="20"/>
      <c r="Q24" s="8"/>
    </row>
    <row r="25" spans="1:17">
      <c r="A25" s="1886"/>
      <c r="B25" s="1887"/>
      <c r="C25" s="1887"/>
      <c r="D25" s="1887"/>
      <c r="E25" s="1887"/>
      <c r="F25" s="1887"/>
      <c r="G25" s="1887"/>
      <c r="H25" s="1887"/>
      <c r="I25" s="1887"/>
      <c r="J25" s="1887"/>
      <c r="K25" s="1887"/>
      <c r="L25" s="1887"/>
      <c r="M25" s="1887"/>
      <c r="N25" s="1887"/>
      <c r="O25" s="1887"/>
      <c r="P25" s="20"/>
      <c r="Q25" s="8"/>
    </row>
    <row r="26" spans="1:17" ht="18" customHeight="1">
      <c r="A26" s="1889"/>
      <c r="B26" s="1886"/>
      <c r="C26" s="1886"/>
      <c r="D26" s="1886"/>
      <c r="E26" s="1886"/>
      <c r="F26" s="1886"/>
      <c r="G26" s="1886"/>
      <c r="H26" s="1886"/>
      <c r="I26" s="1886"/>
      <c r="J26" s="1886"/>
      <c r="K26" s="1886"/>
      <c r="L26" s="1886"/>
      <c r="M26" s="1886"/>
      <c r="N26" s="1886"/>
      <c r="O26" s="1886"/>
      <c r="P26" s="20"/>
      <c r="Q26" s="8"/>
    </row>
    <row r="27" spans="1:17" ht="18" customHeight="1">
      <c r="A27" s="73"/>
      <c r="B27" s="73"/>
      <c r="C27" s="73"/>
      <c r="D27" s="73"/>
      <c r="E27" s="73"/>
      <c r="F27" s="73"/>
      <c r="G27" s="73"/>
      <c r="H27" s="73"/>
      <c r="I27" s="73"/>
      <c r="J27" s="73"/>
      <c r="K27" s="73"/>
      <c r="L27" s="73"/>
      <c r="M27" s="73"/>
      <c r="N27" s="73"/>
      <c r="O27" s="73"/>
      <c r="P27" s="20"/>
      <c r="Q27" s="8"/>
    </row>
    <row r="28" spans="1:17">
      <c r="A28" s="73"/>
      <c r="B28" s="73"/>
      <c r="C28" s="73"/>
      <c r="D28" s="73"/>
      <c r="E28" s="73"/>
      <c r="F28" s="73"/>
      <c r="G28" s="73"/>
      <c r="H28" s="73"/>
      <c r="I28" s="73"/>
      <c r="J28" s="73"/>
      <c r="K28" s="73"/>
      <c r="L28" s="73"/>
      <c r="M28" s="73"/>
      <c r="N28" s="73"/>
      <c r="O28" s="73"/>
      <c r="P28" s="20"/>
      <c r="Q28" s="8"/>
    </row>
    <row r="29" spans="1:17" s="8" customFormat="1">
      <c r="A29" s="1886"/>
      <c r="B29" s="1886"/>
      <c r="C29" s="1886"/>
      <c r="D29" s="1886"/>
      <c r="E29" s="1886"/>
      <c r="F29" s="1886"/>
      <c r="G29" s="1886"/>
      <c r="H29" s="1886"/>
      <c r="I29" s="1886"/>
      <c r="J29" s="1886"/>
      <c r="K29" s="1886"/>
      <c r="L29" s="1886"/>
      <c r="M29" s="1886"/>
      <c r="N29" s="1886"/>
      <c r="O29" s="1886"/>
      <c r="P29" s="20"/>
    </row>
    <row r="30" spans="1:17" s="8" customFormat="1" ht="7.5" customHeight="1">
      <c r="A30" s="552"/>
      <c r="B30" s="552"/>
      <c r="C30" s="552"/>
      <c r="D30" s="552"/>
      <c r="E30" s="552"/>
      <c r="F30" s="552"/>
      <c r="G30" s="552"/>
      <c r="H30" s="552"/>
      <c r="I30" s="552"/>
      <c r="J30" s="552"/>
      <c r="K30" s="562"/>
      <c r="L30" s="562"/>
      <c r="M30" s="552"/>
      <c r="N30" s="552"/>
      <c r="O30" s="552"/>
      <c r="P30" s="20"/>
    </row>
    <row r="31" spans="1:17" s="8" customFormat="1">
      <c r="A31" s="553"/>
      <c r="B31" s="552"/>
      <c r="C31" s="552"/>
      <c r="D31" s="552"/>
      <c r="E31" s="552"/>
      <c r="F31" s="552"/>
      <c r="G31" s="552"/>
      <c r="H31" s="552"/>
      <c r="I31" s="552"/>
      <c r="J31" s="552"/>
      <c r="K31" s="562"/>
      <c r="L31" s="562"/>
      <c r="M31" s="552"/>
      <c r="N31" s="552"/>
      <c r="O31" s="552"/>
      <c r="P31" s="20"/>
    </row>
    <row r="32" spans="1:17" s="8" customFormat="1" ht="11.25" customHeight="1">
      <c r="A32" s="73"/>
      <c r="B32" s="73"/>
      <c r="C32" s="73"/>
      <c r="D32" s="73"/>
      <c r="E32" s="73"/>
      <c r="F32" s="73"/>
      <c r="G32" s="73"/>
      <c r="H32" s="73"/>
      <c r="I32" s="73"/>
      <c r="J32" s="73"/>
      <c r="K32" s="73"/>
      <c r="L32" s="73"/>
      <c r="M32" s="73"/>
      <c r="N32" s="73"/>
      <c r="O32" s="73"/>
      <c r="P32" s="20"/>
    </row>
    <row r="33" spans="1:17" s="8" customFormat="1" ht="15" customHeight="1">
      <c r="A33" s="1886"/>
      <c r="B33" s="1887"/>
      <c r="C33" s="1887"/>
      <c r="D33" s="1887"/>
      <c r="E33" s="1887"/>
      <c r="F33" s="1887"/>
      <c r="G33" s="1887"/>
      <c r="H33" s="1887"/>
      <c r="I33" s="1887"/>
      <c r="J33" s="1887"/>
      <c r="K33" s="1887"/>
      <c r="L33" s="1887"/>
      <c r="M33" s="1887"/>
      <c r="N33" s="1887"/>
      <c r="O33" s="1887"/>
      <c r="P33" s="20"/>
    </row>
    <row r="34" spans="1:17">
      <c r="A34" s="545"/>
      <c r="B34" s="545"/>
      <c r="C34" s="545"/>
      <c r="D34" s="545"/>
      <c r="E34" s="545"/>
      <c r="F34" s="545"/>
      <c r="G34" s="545"/>
      <c r="H34" s="545"/>
      <c r="I34" s="545"/>
      <c r="J34" s="545"/>
      <c r="K34" s="545"/>
      <c r="L34" s="545"/>
      <c r="M34" s="545"/>
      <c r="N34" s="545"/>
      <c r="O34" s="554"/>
      <c r="P34" s="20"/>
      <c r="Q34" s="8"/>
    </row>
    <row r="35" spans="1:17" ht="18" customHeight="1">
      <c r="A35" s="1878"/>
      <c r="B35" s="1879"/>
      <c r="C35" s="1879"/>
      <c r="D35" s="1879"/>
      <c r="E35" s="1879"/>
      <c r="F35" s="1879"/>
      <c r="G35" s="1879"/>
      <c r="H35" s="1879"/>
      <c r="I35" s="1879"/>
      <c r="J35" s="1879"/>
      <c r="K35" s="1879"/>
      <c r="L35" s="1879"/>
      <c r="M35" s="1879"/>
      <c r="N35" s="1879"/>
      <c r="O35" s="1879"/>
      <c r="P35" s="1879"/>
      <c r="Q35" s="8"/>
    </row>
    <row r="36" spans="1:17">
      <c r="A36" s="545"/>
      <c r="B36" s="545"/>
      <c r="C36" s="545"/>
      <c r="D36" s="545"/>
      <c r="E36" s="545"/>
      <c r="F36" s="545"/>
      <c r="G36" s="545"/>
      <c r="H36" s="545"/>
      <c r="I36" s="545"/>
      <c r="J36" s="545"/>
      <c r="K36" s="20"/>
      <c r="L36" s="20"/>
      <c r="M36" s="545"/>
      <c r="N36" s="545"/>
      <c r="O36" s="545"/>
      <c r="P36" s="554"/>
      <c r="Q36" s="109"/>
    </row>
    <row r="37" spans="1:17" ht="18">
      <c r="A37" s="176"/>
      <c r="B37" s="20"/>
      <c r="C37" s="20"/>
      <c r="D37" s="20"/>
      <c r="E37" s="20"/>
      <c r="F37" s="20"/>
      <c r="G37" s="20"/>
      <c r="H37" s="20"/>
      <c r="I37" s="20"/>
      <c r="J37" s="20"/>
      <c r="M37" s="20"/>
      <c r="N37" s="20"/>
      <c r="O37" s="20"/>
      <c r="P37" s="20"/>
      <c r="Q37" s="109"/>
    </row>
  </sheetData>
  <mergeCells count="22">
    <mergeCell ref="H9:J10"/>
    <mergeCell ref="A1:O1"/>
    <mergeCell ref="A2:O2"/>
    <mergeCell ref="A3:O3"/>
    <mergeCell ref="A4:O4"/>
    <mergeCell ref="A5:O5"/>
    <mergeCell ref="M9:O10"/>
    <mergeCell ref="K9:K10"/>
    <mergeCell ref="L9:L10"/>
    <mergeCell ref="A6:O6"/>
    <mergeCell ref="A7:O7"/>
    <mergeCell ref="A8:O8"/>
    <mergeCell ref="A9:A11"/>
    <mergeCell ref="B9:D10"/>
    <mergeCell ref="E9:G10"/>
    <mergeCell ref="A35:P35"/>
    <mergeCell ref="A33:O33"/>
    <mergeCell ref="A22:O22"/>
    <mergeCell ref="A24:O24"/>
    <mergeCell ref="A25:O25"/>
    <mergeCell ref="A26:O26"/>
    <mergeCell ref="A29:O29"/>
  </mergeCells>
  <phoneticPr fontId="48" type="noConversion"/>
  <printOptions horizontalCentered="1"/>
  <pageMargins left="0.5" right="0.4" top="0.5" bottom="0.25" header="0" footer="0"/>
  <pageSetup scale="66" firstPageNumber="8" fitToHeight="0" orientation="landscape" useFirstPageNumber="1" r:id="rId1"/>
  <headerFooter alignWithMargins="0">
    <oddFooter>&amp;C&amp;"Times New Roman,Regular"Exhibit G – Crosswalk of 2010 Availability&amp;R&amp;"Times New Roman,Regular"Salaries and Expenses</oddFooter>
  </headerFooter>
</worksheet>
</file>

<file path=xl/worksheets/sheet60.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247" customWidth="1"/>
    <col min="2" max="2" width="37.77734375" style="247" customWidth="1"/>
    <col min="3" max="10" width="9.88671875" style="249" customWidth="1"/>
    <col min="11" max="16384" width="8.88671875" style="247"/>
  </cols>
  <sheetData>
    <row r="1" spans="1:11" s="263" customFormat="1" ht="15.75">
      <c r="A1" s="2543" t="s">
        <v>119</v>
      </c>
      <c r="B1" s="2543"/>
      <c r="C1" s="2543"/>
      <c r="D1" s="2543"/>
      <c r="E1" s="2543"/>
      <c r="F1" s="2543"/>
      <c r="G1" s="2543"/>
      <c r="H1" s="2543"/>
      <c r="I1" s="2543"/>
      <c r="J1" s="2543"/>
      <c r="K1" s="246" t="s">
        <v>0</v>
      </c>
    </row>
    <row r="2" spans="1:11" s="263" customFormat="1" ht="15.75">
      <c r="A2" s="2542"/>
      <c r="B2" s="2542"/>
      <c r="C2" s="2542"/>
      <c r="D2" s="2542"/>
      <c r="E2" s="2542"/>
      <c r="F2" s="2542"/>
      <c r="G2" s="2542"/>
      <c r="H2" s="2542"/>
      <c r="I2" s="2542"/>
      <c r="J2" s="2542"/>
    </row>
    <row r="3" spans="1:11" s="263" customFormat="1" ht="15.75">
      <c r="A3" s="2544" t="s">
        <v>218</v>
      </c>
      <c r="B3" s="2544"/>
      <c r="C3" s="2544"/>
      <c r="D3" s="2544"/>
      <c r="E3" s="2544"/>
      <c r="F3" s="2544"/>
      <c r="G3" s="2544"/>
      <c r="H3" s="2544"/>
      <c r="I3" s="2544"/>
      <c r="J3" s="2544"/>
      <c r="K3" s="246" t="s">
        <v>0</v>
      </c>
    </row>
    <row r="4" spans="1:11" s="263" customFormat="1" ht="15.75">
      <c r="A4" s="2544" t="s">
        <v>258</v>
      </c>
      <c r="B4" s="2544"/>
      <c r="C4" s="2544"/>
      <c r="D4" s="2544"/>
      <c r="E4" s="2544"/>
      <c r="F4" s="2544"/>
      <c r="G4" s="2544"/>
      <c r="H4" s="2544"/>
      <c r="I4" s="2544"/>
      <c r="J4" s="2544"/>
      <c r="K4" s="246" t="s">
        <v>0</v>
      </c>
    </row>
    <row r="5" spans="1:11" s="263" customFormat="1" ht="15.75">
      <c r="A5" s="2542" t="s">
        <v>257</v>
      </c>
      <c r="B5" s="2542"/>
      <c r="C5" s="2542"/>
      <c r="D5" s="2542"/>
      <c r="E5" s="2542"/>
      <c r="F5" s="2542"/>
      <c r="G5" s="2542"/>
      <c r="H5" s="2542"/>
      <c r="I5" s="2542"/>
      <c r="J5" s="2542"/>
      <c r="K5" s="246" t="s">
        <v>0</v>
      </c>
    </row>
    <row r="6" spans="1:11" s="263" customFormat="1" ht="15.75">
      <c r="A6" s="2542"/>
      <c r="B6" s="2542"/>
      <c r="C6" s="2542"/>
      <c r="D6" s="2542"/>
      <c r="E6" s="2542"/>
      <c r="F6" s="2542"/>
      <c r="G6" s="2542"/>
      <c r="H6" s="2542"/>
      <c r="I6" s="2542"/>
      <c r="J6" s="2542"/>
    </row>
    <row r="7" spans="1:11">
      <c r="A7" s="2545"/>
      <c r="B7" s="2545"/>
      <c r="C7" s="2545"/>
      <c r="D7" s="2545"/>
      <c r="E7" s="2545"/>
      <c r="F7" s="2545"/>
      <c r="G7" s="2545"/>
      <c r="H7" s="2545"/>
      <c r="I7" s="2545"/>
      <c r="J7" s="2545"/>
    </row>
    <row r="8" spans="1:11">
      <c r="A8" s="344" t="s">
        <v>120</v>
      </c>
      <c r="B8" s="343"/>
      <c r="C8" s="2547"/>
      <c r="D8" s="2547"/>
      <c r="E8" s="2547"/>
      <c r="F8" s="2547"/>
      <c r="G8" s="2547"/>
      <c r="H8" s="2547"/>
      <c r="I8" s="2547"/>
      <c r="J8" s="2547"/>
      <c r="K8" s="246" t="s">
        <v>0</v>
      </c>
    </row>
    <row r="9" spans="1:11">
      <c r="A9" s="344" t="s">
        <v>121</v>
      </c>
      <c r="B9" s="345" t="s">
        <v>191</v>
      </c>
      <c r="C9" s="2547"/>
      <c r="D9" s="2547"/>
      <c r="E9" s="2547"/>
      <c r="F9" s="2547"/>
      <c r="G9" s="2547"/>
      <c r="H9" s="2547"/>
      <c r="I9" s="2547"/>
      <c r="J9" s="2547"/>
      <c r="K9" s="246" t="s">
        <v>0</v>
      </c>
    </row>
    <row r="10" spans="1:11">
      <c r="A10" s="344" t="s">
        <v>122</v>
      </c>
      <c r="B10" s="345" t="s">
        <v>123</v>
      </c>
      <c r="C10" s="2547"/>
      <c r="D10" s="2547"/>
      <c r="E10" s="2547"/>
      <c r="F10" s="2547"/>
      <c r="G10" s="2547"/>
      <c r="H10" s="2547"/>
      <c r="I10" s="2547"/>
      <c r="J10" s="2547"/>
      <c r="K10" s="246" t="s">
        <v>0</v>
      </c>
    </row>
    <row r="11" spans="1:11">
      <c r="A11" s="2546"/>
      <c r="B11" s="2546"/>
      <c r="C11" s="2546"/>
      <c r="D11" s="2546"/>
      <c r="E11" s="2546"/>
      <c r="F11" s="2546"/>
      <c r="G11" s="2546"/>
      <c r="H11" s="2546"/>
      <c r="I11" s="2546"/>
      <c r="J11" s="2546"/>
    </row>
    <row r="12" spans="1:11" ht="18" customHeight="1">
      <c r="A12" s="2550" t="s">
        <v>124</v>
      </c>
      <c r="B12" s="2551"/>
      <c r="C12" s="2561" t="s">
        <v>323</v>
      </c>
      <c r="D12" s="2559" t="s">
        <v>320</v>
      </c>
      <c r="E12" s="2559" t="s">
        <v>125</v>
      </c>
      <c r="F12" s="2559" t="s">
        <v>126</v>
      </c>
      <c r="G12" s="2559" t="s">
        <v>321</v>
      </c>
      <c r="H12" s="2559" t="s">
        <v>322</v>
      </c>
      <c r="I12" s="2559" t="s">
        <v>125</v>
      </c>
      <c r="J12" s="2557" t="s">
        <v>324</v>
      </c>
      <c r="K12" s="246" t="s">
        <v>0</v>
      </c>
    </row>
    <row r="13" spans="1:11">
      <c r="A13" s="2552"/>
      <c r="B13" s="2553"/>
      <c r="C13" s="2562"/>
      <c r="D13" s="2560"/>
      <c r="E13" s="2560"/>
      <c r="F13" s="2560"/>
      <c r="G13" s="2560"/>
      <c r="H13" s="2560"/>
      <c r="I13" s="2560"/>
      <c r="J13" s="2558"/>
      <c r="K13" s="246" t="s">
        <v>0</v>
      </c>
    </row>
    <row r="14" spans="1:11">
      <c r="A14" s="360" t="s">
        <v>127</v>
      </c>
      <c r="B14" s="361"/>
      <c r="C14" s="387"/>
      <c r="D14" s="387"/>
      <c r="E14" s="387"/>
      <c r="F14" s="387"/>
      <c r="G14" s="387"/>
      <c r="H14" s="387"/>
      <c r="I14" s="387"/>
      <c r="J14" s="388"/>
      <c r="K14" s="246" t="s">
        <v>0</v>
      </c>
    </row>
    <row r="15" spans="1:11">
      <c r="A15" s="362" t="s">
        <v>128</v>
      </c>
      <c r="B15" s="347" t="s">
        <v>129</v>
      </c>
      <c r="C15" s="389"/>
      <c r="D15" s="389"/>
      <c r="E15" s="389"/>
      <c r="F15" s="389"/>
      <c r="G15" s="389"/>
      <c r="H15" s="389"/>
      <c r="I15" s="389"/>
      <c r="J15" s="390"/>
      <c r="K15" s="246" t="s">
        <v>0</v>
      </c>
    </row>
    <row r="16" spans="1:11">
      <c r="A16" s="352" t="s">
        <v>130</v>
      </c>
      <c r="B16" s="351" t="s">
        <v>131</v>
      </c>
      <c r="C16" s="391"/>
      <c r="D16" s="391"/>
      <c r="E16" s="391"/>
      <c r="F16" s="391"/>
      <c r="G16" s="391"/>
      <c r="H16" s="391"/>
      <c r="I16" s="391"/>
      <c r="J16" s="392"/>
      <c r="K16" s="246" t="s">
        <v>0</v>
      </c>
    </row>
    <row r="17" spans="1:11">
      <c r="A17" s="352" t="s">
        <v>130</v>
      </c>
      <c r="B17" s="351" t="s">
        <v>132</v>
      </c>
      <c r="C17" s="391"/>
      <c r="D17" s="391"/>
      <c r="E17" s="391"/>
      <c r="F17" s="391"/>
      <c r="G17" s="391"/>
      <c r="H17" s="391"/>
      <c r="I17" s="391"/>
      <c r="J17" s="392"/>
      <c r="K17" s="246" t="s">
        <v>0</v>
      </c>
    </row>
    <row r="18" spans="1:11">
      <c r="A18" s="352" t="s">
        <v>130</v>
      </c>
      <c r="B18" s="351" t="s">
        <v>133</v>
      </c>
      <c r="C18" s="391"/>
      <c r="D18" s="391"/>
      <c r="E18" s="391"/>
      <c r="F18" s="391"/>
      <c r="G18" s="391"/>
      <c r="H18" s="391"/>
      <c r="I18" s="391"/>
      <c r="J18" s="392"/>
      <c r="K18" s="246" t="s">
        <v>0</v>
      </c>
    </row>
    <row r="19" spans="1:11">
      <c r="A19" s="352" t="s">
        <v>130</v>
      </c>
      <c r="B19" s="351" t="s">
        <v>134</v>
      </c>
      <c r="C19" s="391"/>
      <c r="D19" s="391"/>
      <c r="E19" s="391"/>
      <c r="F19" s="391"/>
      <c r="G19" s="391"/>
      <c r="H19" s="391"/>
      <c r="I19" s="391"/>
      <c r="J19" s="392"/>
      <c r="K19" s="246" t="s">
        <v>0</v>
      </c>
    </row>
    <row r="20" spans="1:11">
      <c r="A20" s="352" t="s">
        <v>136</v>
      </c>
      <c r="B20" s="351" t="s">
        <v>135</v>
      </c>
      <c r="C20" s="391"/>
      <c r="D20" s="393"/>
      <c r="E20" s="393"/>
      <c r="F20" s="393"/>
      <c r="G20" s="393"/>
      <c r="H20" s="393"/>
      <c r="I20" s="393"/>
      <c r="J20" s="394"/>
      <c r="K20" s="246" t="s">
        <v>0</v>
      </c>
    </row>
    <row r="21" spans="1:11">
      <c r="A21" s="360" t="s">
        <v>137</v>
      </c>
      <c r="B21" s="361"/>
      <c r="C21" s="387"/>
      <c r="D21" s="387"/>
      <c r="E21" s="387"/>
      <c r="F21" s="387"/>
      <c r="G21" s="387"/>
      <c r="H21" s="387"/>
      <c r="I21" s="387"/>
      <c r="J21" s="388"/>
      <c r="K21" s="246" t="s">
        <v>0</v>
      </c>
    </row>
    <row r="22" spans="1:11">
      <c r="A22" s="362" t="s">
        <v>138</v>
      </c>
      <c r="B22" s="363" t="s">
        <v>139</v>
      </c>
      <c r="C22" s="389"/>
      <c r="D22" s="389"/>
      <c r="E22" s="389"/>
      <c r="F22" s="389"/>
      <c r="G22" s="389"/>
      <c r="H22" s="389"/>
      <c r="I22" s="389"/>
      <c r="J22" s="390"/>
      <c r="K22" s="246" t="s">
        <v>0</v>
      </c>
    </row>
    <row r="23" spans="1:11">
      <c r="A23" s="352">
        <v>22</v>
      </c>
      <c r="B23" s="351" t="s">
        <v>140</v>
      </c>
      <c r="C23" s="391"/>
      <c r="D23" s="391"/>
      <c r="E23" s="391"/>
      <c r="F23" s="391"/>
      <c r="G23" s="391"/>
      <c r="H23" s="391"/>
      <c r="I23" s="391"/>
      <c r="J23" s="392"/>
      <c r="K23" s="246" t="s">
        <v>0</v>
      </c>
    </row>
    <row r="24" spans="1:11">
      <c r="A24" s="352" t="s">
        <v>196</v>
      </c>
      <c r="B24" s="351" t="s">
        <v>197</v>
      </c>
      <c r="C24" s="391"/>
      <c r="D24" s="391"/>
      <c r="E24" s="391"/>
      <c r="F24" s="391"/>
      <c r="G24" s="391"/>
      <c r="H24" s="391"/>
      <c r="I24" s="391"/>
      <c r="J24" s="392"/>
      <c r="K24" s="246" t="s">
        <v>0</v>
      </c>
    </row>
    <row r="25" spans="1:11">
      <c r="A25" s="352" t="s">
        <v>141</v>
      </c>
      <c r="B25" s="351" t="s">
        <v>142</v>
      </c>
      <c r="C25" s="391"/>
      <c r="D25" s="391"/>
      <c r="E25" s="391"/>
      <c r="F25" s="391"/>
      <c r="G25" s="391"/>
      <c r="H25" s="391"/>
      <c r="I25" s="391"/>
      <c r="J25" s="392"/>
      <c r="K25" s="246" t="s">
        <v>0</v>
      </c>
    </row>
    <row r="26" spans="1:11">
      <c r="A26" s="352" t="s">
        <v>143</v>
      </c>
      <c r="B26" s="351" t="s">
        <v>144</v>
      </c>
      <c r="C26" s="391"/>
      <c r="D26" s="391"/>
      <c r="E26" s="391"/>
      <c r="F26" s="391"/>
      <c r="G26" s="391"/>
      <c r="H26" s="391"/>
      <c r="I26" s="391"/>
      <c r="J26" s="392"/>
      <c r="K26" s="246" t="s">
        <v>0</v>
      </c>
    </row>
    <row r="27" spans="1:11">
      <c r="A27" s="352" t="s">
        <v>143</v>
      </c>
      <c r="B27" s="351" t="s">
        <v>145</v>
      </c>
      <c r="C27" s="391"/>
      <c r="D27" s="391"/>
      <c r="E27" s="391"/>
      <c r="F27" s="391"/>
      <c r="G27" s="391"/>
      <c r="H27" s="391"/>
      <c r="I27" s="391"/>
      <c r="J27" s="392"/>
      <c r="K27" s="246" t="s">
        <v>0</v>
      </c>
    </row>
    <row r="28" spans="1:11">
      <c r="A28" s="352" t="s">
        <v>143</v>
      </c>
      <c r="B28" s="351" t="s">
        <v>146</v>
      </c>
      <c r="C28" s="391"/>
      <c r="D28" s="391"/>
      <c r="E28" s="391"/>
      <c r="F28" s="391"/>
      <c r="G28" s="391"/>
      <c r="H28" s="391"/>
      <c r="I28" s="391"/>
      <c r="J28" s="392"/>
      <c r="K28" s="246" t="s">
        <v>0</v>
      </c>
    </row>
    <row r="29" spans="1:11">
      <c r="A29" s="352">
        <v>25.3</v>
      </c>
      <c r="B29" s="351" t="s">
        <v>147</v>
      </c>
      <c r="C29" s="391"/>
      <c r="D29" s="391"/>
      <c r="E29" s="391"/>
      <c r="F29" s="391"/>
      <c r="G29" s="391"/>
      <c r="H29" s="391"/>
      <c r="I29" s="391"/>
      <c r="J29" s="392"/>
      <c r="K29" s="246" t="s">
        <v>0</v>
      </c>
    </row>
    <row r="30" spans="1:11">
      <c r="A30" s="348">
        <v>25.3</v>
      </c>
      <c r="B30" s="349" t="s">
        <v>148</v>
      </c>
      <c r="C30" s="391"/>
      <c r="D30" s="391"/>
      <c r="E30" s="391"/>
      <c r="F30" s="391"/>
      <c r="G30" s="391"/>
      <c r="H30" s="391"/>
      <c r="I30" s="391"/>
      <c r="J30" s="392"/>
      <c r="K30" s="246" t="s">
        <v>0</v>
      </c>
    </row>
    <row r="31" spans="1:11">
      <c r="A31" s="348">
        <v>25.3</v>
      </c>
      <c r="B31" s="349" t="s">
        <v>149</v>
      </c>
      <c r="C31" s="391"/>
      <c r="D31" s="391"/>
      <c r="E31" s="391"/>
      <c r="F31" s="391"/>
      <c r="G31" s="391"/>
      <c r="H31" s="391"/>
      <c r="I31" s="391"/>
      <c r="J31" s="392"/>
      <c r="K31" s="246" t="s">
        <v>0</v>
      </c>
    </row>
    <row r="32" spans="1:11">
      <c r="A32" s="348">
        <v>25.3</v>
      </c>
      <c r="B32" s="349" t="s">
        <v>150</v>
      </c>
      <c r="C32" s="391"/>
      <c r="D32" s="391"/>
      <c r="E32" s="391"/>
      <c r="F32" s="391"/>
      <c r="G32" s="391"/>
      <c r="H32" s="391"/>
      <c r="I32" s="391"/>
      <c r="J32" s="392"/>
      <c r="K32" s="246" t="s">
        <v>0</v>
      </c>
    </row>
    <row r="33" spans="1:11">
      <c r="A33" s="348">
        <v>25.3</v>
      </c>
      <c r="B33" s="349" t="s">
        <v>151</v>
      </c>
      <c r="C33" s="391"/>
      <c r="D33" s="391"/>
      <c r="E33" s="391"/>
      <c r="F33" s="391"/>
      <c r="G33" s="391"/>
      <c r="H33" s="391"/>
      <c r="I33" s="391"/>
      <c r="J33" s="392"/>
      <c r="K33" s="246" t="s">
        <v>0</v>
      </c>
    </row>
    <row r="34" spans="1:11">
      <c r="A34" s="352">
        <v>25.2</v>
      </c>
      <c r="B34" s="351" t="s">
        <v>210</v>
      </c>
      <c r="C34" s="391"/>
      <c r="D34" s="391"/>
      <c r="E34" s="391"/>
      <c r="F34" s="391"/>
      <c r="G34" s="391"/>
      <c r="H34" s="391"/>
      <c r="I34" s="391"/>
      <c r="J34" s="392"/>
      <c r="K34" s="246" t="s">
        <v>0</v>
      </c>
    </row>
    <row r="35" spans="1:11">
      <c r="A35" s="352">
        <v>25.6</v>
      </c>
      <c r="B35" s="351" t="s">
        <v>153</v>
      </c>
      <c r="C35" s="391"/>
      <c r="D35" s="391"/>
      <c r="E35" s="391"/>
      <c r="F35" s="391"/>
      <c r="G35" s="391"/>
      <c r="H35" s="391"/>
      <c r="I35" s="391"/>
      <c r="J35" s="392"/>
      <c r="K35" s="246" t="s">
        <v>0</v>
      </c>
    </row>
    <row r="36" spans="1:11">
      <c r="A36" s="352">
        <v>25.6</v>
      </c>
      <c r="B36" s="351" t="s">
        <v>154</v>
      </c>
      <c r="C36" s="391"/>
      <c r="D36" s="391"/>
      <c r="E36" s="391"/>
      <c r="F36" s="391"/>
      <c r="G36" s="391"/>
      <c r="H36" s="391"/>
      <c r="I36" s="391"/>
      <c r="J36" s="392"/>
      <c r="K36" s="246" t="s">
        <v>0</v>
      </c>
    </row>
    <row r="37" spans="1:11">
      <c r="A37" s="352">
        <v>25.2</v>
      </c>
      <c r="B37" s="351" t="s">
        <v>155</v>
      </c>
      <c r="C37" s="391"/>
      <c r="D37" s="391"/>
      <c r="E37" s="391"/>
      <c r="F37" s="391"/>
      <c r="G37" s="391"/>
      <c r="H37" s="391"/>
      <c r="I37" s="391"/>
      <c r="J37" s="392"/>
      <c r="K37" s="246" t="s">
        <v>0</v>
      </c>
    </row>
    <row r="38" spans="1:11">
      <c r="A38" s="352">
        <v>25.2</v>
      </c>
      <c r="B38" s="351" t="s">
        <v>157</v>
      </c>
      <c r="C38" s="391"/>
      <c r="D38" s="391"/>
      <c r="E38" s="391"/>
      <c r="F38" s="391"/>
      <c r="G38" s="391"/>
      <c r="H38" s="391"/>
      <c r="I38" s="391"/>
      <c r="J38" s="392"/>
      <c r="K38" s="246" t="s">
        <v>0</v>
      </c>
    </row>
    <row r="39" spans="1:11">
      <c r="A39" s="352" t="s">
        <v>152</v>
      </c>
      <c r="B39" s="351" t="s">
        <v>211</v>
      </c>
      <c r="C39" s="391"/>
      <c r="D39" s="391"/>
      <c r="E39" s="391"/>
      <c r="F39" s="391"/>
      <c r="G39" s="391"/>
      <c r="H39" s="391"/>
      <c r="I39" s="391"/>
      <c r="J39" s="392"/>
      <c r="K39" s="246" t="s">
        <v>0</v>
      </c>
    </row>
    <row r="40" spans="1:11">
      <c r="A40" s="352" t="s">
        <v>159</v>
      </c>
      <c r="B40" s="351" t="s">
        <v>160</v>
      </c>
      <c r="C40" s="391"/>
      <c r="D40" s="391"/>
      <c r="E40" s="391"/>
      <c r="F40" s="391"/>
      <c r="G40" s="391"/>
      <c r="H40" s="391"/>
      <c r="I40" s="391"/>
      <c r="J40" s="392"/>
      <c r="K40" s="246" t="s">
        <v>0</v>
      </c>
    </row>
    <row r="41" spans="1:11">
      <c r="A41" s="352" t="s">
        <v>159</v>
      </c>
      <c r="B41" s="351" t="s">
        <v>161</v>
      </c>
      <c r="C41" s="391"/>
      <c r="D41" s="391"/>
      <c r="E41" s="391"/>
      <c r="F41" s="391"/>
      <c r="G41" s="391"/>
      <c r="H41" s="391"/>
      <c r="I41" s="391"/>
      <c r="J41" s="392"/>
      <c r="K41" s="246" t="s">
        <v>0</v>
      </c>
    </row>
    <row r="42" spans="1:11">
      <c r="A42" s="352" t="s">
        <v>159</v>
      </c>
      <c r="B42" s="351" t="s">
        <v>162</v>
      </c>
      <c r="C42" s="391"/>
      <c r="D42" s="391"/>
      <c r="E42" s="391"/>
      <c r="F42" s="391"/>
      <c r="G42" s="391"/>
      <c r="H42" s="391"/>
      <c r="I42" s="391"/>
      <c r="J42" s="392"/>
      <c r="K42" s="246" t="s">
        <v>0</v>
      </c>
    </row>
    <row r="43" spans="1:11">
      <c r="A43" s="352" t="s">
        <v>159</v>
      </c>
      <c r="B43" s="351" t="s">
        <v>164</v>
      </c>
      <c r="C43" s="391"/>
      <c r="D43" s="391"/>
      <c r="E43" s="391"/>
      <c r="F43" s="391"/>
      <c r="G43" s="391"/>
      <c r="H43" s="391"/>
      <c r="I43" s="391"/>
      <c r="J43" s="392"/>
      <c r="K43" s="246" t="s">
        <v>0</v>
      </c>
    </row>
    <row r="44" spans="1:11">
      <c r="A44" s="358" t="s">
        <v>159</v>
      </c>
      <c r="B44" s="359" t="s">
        <v>165</v>
      </c>
      <c r="C44" s="395"/>
      <c r="D44" s="395"/>
      <c r="E44" s="395"/>
      <c r="F44" s="395"/>
      <c r="G44" s="395"/>
      <c r="H44" s="395"/>
      <c r="I44" s="395"/>
      <c r="J44" s="396"/>
      <c r="K44" s="246" t="s">
        <v>0</v>
      </c>
    </row>
    <row r="45" spans="1:11">
      <c r="A45" s="360" t="s">
        <v>166</v>
      </c>
      <c r="B45" s="361"/>
      <c r="C45" s="387"/>
      <c r="D45" s="387"/>
      <c r="E45" s="387"/>
      <c r="F45" s="387"/>
      <c r="G45" s="387"/>
      <c r="H45" s="387"/>
      <c r="I45" s="387"/>
      <c r="J45" s="388"/>
      <c r="K45" s="246" t="s">
        <v>0</v>
      </c>
    </row>
    <row r="46" spans="1:11">
      <c r="A46" s="352" t="s">
        <v>167</v>
      </c>
      <c r="B46" s="363" t="s">
        <v>205</v>
      </c>
      <c r="C46" s="389"/>
      <c r="D46" s="389"/>
      <c r="E46" s="389"/>
      <c r="F46" s="389"/>
      <c r="G46" s="389"/>
      <c r="H46" s="389"/>
      <c r="I46" s="389"/>
      <c r="J46" s="390"/>
      <c r="K46" s="246" t="s">
        <v>0</v>
      </c>
    </row>
    <row r="47" spans="1:11">
      <c r="A47" s="352" t="s">
        <v>167</v>
      </c>
      <c r="B47" s="351" t="s">
        <v>168</v>
      </c>
      <c r="C47" s="397"/>
      <c r="D47" s="397"/>
      <c r="E47" s="397"/>
      <c r="F47" s="397"/>
      <c r="G47" s="397"/>
      <c r="H47" s="397"/>
      <c r="I47" s="397"/>
      <c r="J47" s="398"/>
      <c r="K47" s="246" t="s">
        <v>0</v>
      </c>
    </row>
    <row r="48" spans="1:11">
      <c r="A48" s="348" t="s">
        <v>167</v>
      </c>
      <c r="B48" s="349" t="s">
        <v>169</v>
      </c>
      <c r="C48" s="377"/>
      <c r="D48" s="377"/>
      <c r="E48" s="377"/>
      <c r="F48" s="377"/>
      <c r="G48" s="377"/>
      <c r="H48" s="377"/>
      <c r="I48" s="377"/>
      <c r="J48" s="378"/>
      <c r="K48" s="246" t="s">
        <v>0</v>
      </c>
    </row>
    <row r="49" spans="1:11">
      <c r="A49" s="348" t="s">
        <v>167</v>
      </c>
      <c r="B49" s="349" t="s">
        <v>170</v>
      </c>
      <c r="C49" s="377"/>
      <c r="D49" s="377"/>
      <c r="E49" s="377"/>
      <c r="F49" s="377"/>
      <c r="G49" s="377"/>
      <c r="H49" s="377"/>
      <c r="I49" s="377"/>
      <c r="J49" s="378"/>
      <c r="K49" s="246" t="s">
        <v>0</v>
      </c>
    </row>
    <row r="50" spans="1:11">
      <c r="A50" s="352">
        <v>25.2</v>
      </c>
      <c r="B50" s="351" t="s">
        <v>171</v>
      </c>
      <c r="C50" s="397"/>
      <c r="D50" s="397"/>
      <c r="E50" s="397"/>
      <c r="F50" s="397"/>
      <c r="G50" s="397"/>
      <c r="H50" s="397"/>
      <c r="I50" s="397"/>
      <c r="J50" s="398"/>
      <c r="K50" s="246" t="s">
        <v>0</v>
      </c>
    </row>
    <row r="51" spans="1:11">
      <c r="A51" s="352" t="s">
        <v>167</v>
      </c>
      <c r="B51" s="351" t="s">
        <v>172</v>
      </c>
      <c r="C51" s="391"/>
      <c r="D51" s="391"/>
      <c r="E51" s="391"/>
      <c r="F51" s="391"/>
      <c r="G51" s="391"/>
      <c r="H51" s="391"/>
      <c r="I51" s="391"/>
      <c r="J51" s="392"/>
      <c r="K51" s="246" t="s">
        <v>0</v>
      </c>
    </row>
    <row r="52" spans="1:11">
      <c r="A52" s="352" t="s">
        <v>167</v>
      </c>
      <c r="B52" s="351" t="s">
        <v>173</v>
      </c>
      <c r="C52" s="391"/>
      <c r="D52" s="391"/>
      <c r="E52" s="391"/>
      <c r="F52" s="391"/>
      <c r="G52" s="391"/>
      <c r="H52" s="391"/>
      <c r="I52" s="391"/>
      <c r="J52" s="392"/>
      <c r="K52" s="246" t="s">
        <v>0</v>
      </c>
    </row>
    <row r="53" spans="1:11">
      <c r="A53" s="352" t="s">
        <v>167</v>
      </c>
      <c r="B53" s="351" t="s">
        <v>174</v>
      </c>
      <c r="C53" s="391"/>
      <c r="D53" s="391"/>
      <c r="E53" s="391"/>
      <c r="F53" s="391"/>
      <c r="G53" s="391"/>
      <c r="H53" s="391"/>
      <c r="I53" s="391"/>
      <c r="J53" s="392"/>
      <c r="K53" s="246" t="s">
        <v>0</v>
      </c>
    </row>
    <row r="54" spans="1:11">
      <c r="A54" s="352" t="s">
        <v>167</v>
      </c>
      <c r="B54" s="351" t="s">
        <v>175</v>
      </c>
      <c r="C54" s="391"/>
      <c r="D54" s="391"/>
      <c r="E54" s="391"/>
      <c r="F54" s="391"/>
      <c r="G54" s="391"/>
      <c r="H54" s="391"/>
      <c r="I54" s="391"/>
      <c r="J54" s="392"/>
      <c r="K54" s="246" t="s">
        <v>0</v>
      </c>
    </row>
    <row r="55" spans="1:11">
      <c r="A55" s="352" t="s">
        <v>167</v>
      </c>
      <c r="B55" s="351" t="s">
        <v>176</v>
      </c>
      <c r="C55" s="391"/>
      <c r="D55" s="391"/>
      <c r="E55" s="391"/>
      <c r="F55" s="391"/>
      <c r="G55" s="391"/>
      <c r="H55" s="391"/>
      <c r="I55" s="391"/>
      <c r="J55" s="392"/>
      <c r="K55" s="246" t="s">
        <v>0</v>
      </c>
    </row>
    <row r="56" spans="1:11">
      <c r="A56" s="352" t="s">
        <v>167</v>
      </c>
      <c r="B56" s="351" t="s">
        <v>177</v>
      </c>
      <c r="C56" s="391"/>
      <c r="D56" s="391"/>
      <c r="E56" s="391"/>
      <c r="F56" s="391"/>
      <c r="G56" s="391"/>
      <c r="H56" s="391"/>
      <c r="I56" s="391"/>
      <c r="J56" s="392"/>
      <c r="K56" s="246" t="s">
        <v>0</v>
      </c>
    </row>
    <row r="57" spans="1:11">
      <c r="A57" s="352" t="s">
        <v>167</v>
      </c>
      <c r="B57" s="351" t="s">
        <v>178</v>
      </c>
      <c r="C57" s="391"/>
      <c r="D57" s="391"/>
      <c r="E57" s="391"/>
      <c r="F57" s="391"/>
      <c r="G57" s="391"/>
      <c r="H57" s="391"/>
      <c r="I57" s="391"/>
      <c r="J57" s="392"/>
      <c r="K57" s="246" t="s">
        <v>0</v>
      </c>
    </row>
    <row r="58" spans="1:11">
      <c r="A58" s="352" t="s">
        <v>167</v>
      </c>
      <c r="B58" s="351" t="s">
        <v>212</v>
      </c>
      <c r="C58" s="391"/>
      <c r="D58" s="391"/>
      <c r="E58" s="391"/>
      <c r="F58" s="391"/>
      <c r="G58" s="391"/>
      <c r="H58" s="391"/>
      <c r="I58" s="391"/>
      <c r="J58" s="392"/>
      <c r="K58" s="246" t="s">
        <v>0</v>
      </c>
    </row>
    <row r="59" spans="1:11">
      <c r="A59" s="364" t="s">
        <v>207</v>
      </c>
      <c r="B59" s="365" t="s">
        <v>208</v>
      </c>
      <c r="C59" s="393"/>
      <c r="D59" s="393"/>
      <c r="E59" s="393"/>
      <c r="F59" s="393"/>
      <c r="G59" s="393"/>
      <c r="H59" s="393"/>
      <c r="I59" s="393"/>
      <c r="J59" s="394"/>
      <c r="K59" s="246" t="s">
        <v>0</v>
      </c>
    </row>
    <row r="60" spans="1:11">
      <c r="A60" s="360" t="s">
        <v>179</v>
      </c>
      <c r="B60" s="366"/>
      <c r="C60" s="399"/>
      <c r="D60" s="399"/>
      <c r="E60" s="399"/>
      <c r="F60" s="399"/>
      <c r="G60" s="399"/>
      <c r="H60" s="399"/>
      <c r="I60" s="399"/>
      <c r="J60" s="400"/>
      <c r="K60" s="246" t="s">
        <v>0</v>
      </c>
    </row>
    <row r="61" spans="1:11">
      <c r="A61" s="367" t="s">
        <v>180</v>
      </c>
      <c r="B61" s="368" t="s">
        <v>213</v>
      </c>
      <c r="C61" s="397"/>
      <c r="D61" s="397"/>
      <c r="E61" s="397"/>
      <c r="F61" s="397"/>
      <c r="G61" s="397"/>
      <c r="H61" s="397"/>
      <c r="I61" s="397"/>
      <c r="J61" s="398"/>
      <c r="K61" s="246" t="s">
        <v>0</v>
      </c>
    </row>
    <row r="62" spans="1:11">
      <c r="A62" s="367" t="s">
        <v>180</v>
      </c>
      <c r="B62" s="368" t="s">
        <v>181</v>
      </c>
      <c r="C62" s="397"/>
      <c r="D62" s="397"/>
      <c r="E62" s="397"/>
      <c r="F62" s="397"/>
      <c r="G62" s="397"/>
      <c r="H62" s="397"/>
      <c r="I62" s="397"/>
      <c r="J62" s="398"/>
      <c r="K62" s="246" t="s">
        <v>0</v>
      </c>
    </row>
    <row r="63" spans="1:11">
      <c r="A63" s="367" t="s">
        <v>180</v>
      </c>
      <c r="B63" s="365" t="s">
        <v>182</v>
      </c>
      <c r="C63" s="397"/>
      <c r="D63" s="397"/>
      <c r="E63" s="397"/>
      <c r="F63" s="397"/>
      <c r="G63" s="397"/>
      <c r="H63" s="397"/>
      <c r="I63" s="397"/>
      <c r="J63" s="398"/>
      <c r="K63" s="246" t="s">
        <v>0</v>
      </c>
    </row>
    <row r="64" spans="1:11">
      <c r="A64" s="367" t="s">
        <v>180</v>
      </c>
      <c r="B64" s="351" t="s">
        <v>183</v>
      </c>
      <c r="C64" s="391"/>
      <c r="D64" s="391"/>
      <c r="E64" s="391"/>
      <c r="F64" s="391"/>
      <c r="G64" s="391"/>
      <c r="H64" s="391"/>
      <c r="I64" s="391"/>
      <c r="J64" s="392"/>
      <c r="K64" s="246" t="s">
        <v>0</v>
      </c>
    </row>
    <row r="65" spans="1:18">
      <c r="A65" s="367" t="s">
        <v>180</v>
      </c>
      <c r="B65" s="351" t="s">
        <v>184</v>
      </c>
      <c r="C65" s="391"/>
      <c r="D65" s="391"/>
      <c r="E65" s="391"/>
      <c r="F65" s="391"/>
      <c r="G65" s="391"/>
      <c r="H65" s="391"/>
      <c r="I65" s="391"/>
      <c r="J65" s="392"/>
      <c r="K65" s="246" t="s">
        <v>0</v>
      </c>
    </row>
    <row r="66" spans="1:18">
      <c r="A66" s="369" t="s">
        <v>180</v>
      </c>
      <c r="B66" s="365" t="s">
        <v>185</v>
      </c>
      <c r="C66" s="393"/>
      <c r="D66" s="393"/>
      <c r="E66" s="393"/>
      <c r="F66" s="393"/>
      <c r="G66" s="393"/>
      <c r="H66" s="393"/>
      <c r="I66" s="393"/>
      <c r="J66" s="394"/>
      <c r="K66" s="246" t="s">
        <v>0</v>
      </c>
    </row>
    <row r="67" spans="1:18">
      <c r="A67" s="358" t="s">
        <v>180</v>
      </c>
      <c r="B67" s="359" t="s">
        <v>186</v>
      </c>
      <c r="C67" s="395"/>
      <c r="D67" s="395"/>
      <c r="E67" s="395"/>
      <c r="F67" s="395"/>
      <c r="G67" s="395"/>
      <c r="H67" s="395"/>
      <c r="I67" s="395"/>
      <c r="J67" s="396"/>
      <c r="K67" s="246" t="s">
        <v>0</v>
      </c>
    </row>
    <row r="68" spans="1:18">
      <c r="A68" s="360"/>
      <c r="B68" s="370" t="s">
        <v>187</v>
      </c>
      <c r="C68" s="399"/>
      <c r="D68" s="399"/>
      <c r="E68" s="399"/>
      <c r="F68" s="399"/>
      <c r="G68" s="399"/>
      <c r="H68" s="399"/>
      <c r="I68" s="399"/>
      <c r="J68" s="400"/>
      <c r="K68" s="250" t="s">
        <v>24</v>
      </c>
    </row>
    <row r="69" spans="1:18">
      <c r="A69" s="343"/>
      <c r="B69" s="343"/>
      <c r="C69" s="386"/>
      <c r="D69" s="386"/>
      <c r="E69" s="386"/>
      <c r="F69" s="386"/>
      <c r="G69" s="386"/>
      <c r="H69" s="386"/>
      <c r="I69" s="386"/>
      <c r="J69" s="386"/>
    </row>
    <row r="70" spans="1:18">
      <c r="B70" s="256"/>
      <c r="C70" s="264"/>
      <c r="D70" s="264"/>
      <c r="E70" s="264"/>
      <c r="F70" s="264"/>
      <c r="G70" s="264"/>
      <c r="H70" s="264"/>
      <c r="I70" s="264"/>
      <c r="J70" s="264"/>
      <c r="K70" s="256"/>
      <c r="L70" s="256"/>
      <c r="M70" s="256"/>
      <c r="N70" s="256"/>
      <c r="O70" s="256"/>
      <c r="P70" s="256"/>
      <c r="Q70" s="256"/>
      <c r="R70" s="256"/>
    </row>
    <row r="71" spans="1:18" ht="15.75">
      <c r="A71" s="2554" t="s">
        <v>275</v>
      </c>
      <c r="B71" s="1835"/>
      <c r="C71" s="1835"/>
      <c r="D71" s="1835"/>
      <c r="E71" s="1835"/>
      <c r="F71" s="1835"/>
      <c r="G71" s="1835"/>
      <c r="H71" s="1835"/>
      <c r="I71" s="1835"/>
      <c r="J71" s="1835"/>
      <c r="K71" s="251"/>
      <c r="L71" s="251"/>
      <c r="M71" s="251"/>
      <c r="N71" s="251"/>
      <c r="O71" s="251"/>
      <c r="P71" s="251"/>
      <c r="Q71" s="251"/>
      <c r="R71" s="251"/>
    </row>
    <row r="72" spans="1:18" ht="16.5" customHeight="1">
      <c r="A72" s="2555" t="s">
        <v>188</v>
      </c>
      <c r="B72" s="2014"/>
      <c r="C72" s="2014"/>
      <c r="D72" s="2014"/>
      <c r="E72" s="2014"/>
      <c r="F72" s="2014"/>
      <c r="G72" s="2014"/>
      <c r="H72" s="2014"/>
      <c r="I72" s="2014"/>
      <c r="J72" s="2014"/>
      <c r="K72" s="265"/>
      <c r="L72" s="265"/>
      <c r="M72" s="265"/>
      <c r="N72" s="265"/>
      <c r="O72" s="265"/>
      <c r="P72" s="265"/>
      <c r="Q72" s="265"/>
      <c r="R72" s="265"/>
    </row>
    <row r="73" spans="1:18" ht="13.5">
      <c r="A73" s="252"/>
      <c r="B73" s="251"/>
      <c r="C73" s="251"/>
      <c r="D73" s="251"/>
      <c r="E73" s="251"/>
      <c r="F73" s="251"/>
      <c r="G73" s="251"/>
      <c r="H73" s="251"/>
      <c r="I73" s="251"/>
      <c r="J73" s="251"/>
      <c r="K73" s="251"/>
      <c r="L73" s="251"/>
      <c r="M73" s="251"/>
      <c r="N73" s="251"/>
      <c r="O73" s="251"/>
      <c r="P73" s="251"/>
      <c r="Q73" s="251"/>
      <c r="R73" s="251"/>
    </row>
    <row r="74" spans="1:18" ht="18.75" customHeight="1">
      <c r="A74" s="2556" t="s">
        <v>189</v>
      </c>
      <c r="B74" s="2014"/>
      <c r="C74" s="2014"/>
      <c r="D74" s="2014"/>
      <c r="E74" s="2014"/>
      <c r="F74" s="2014"/>
      <c r="G74" s="2014"/>
      <c r="H74" s="2014"/>
      <c r="I74" s="2014"/>
      <c r="J74" s="2014"/>
      <c r="K74" s="265"/>
      <c r="L74" s="265"/>
      <c r="M74" s="265"/>
      <c r="N74" s="265"/>
      <c r="O74" s="265"/>
      <c r="P74" s="265"/>
      <c r="Q74" s="265"/>
      <c r="R74" s="265"/>
    </row>
    <row r="75" spans="1:18">
      <c r="A75" s="254"/>
      <c r="B75" s="255"/>
      <c r="C75" s="255"/>
      <c r="D75" s="255"/>
      <c r="E75" s="255"/>
      <c r="F75" s="255"/>
      <c r="G75" s="255"/>
      <c r="H75" s="255"/>
      <c r="I75" s="255"/>
      <c r="J75" s="255"/>
      <c r="K75" s="255"/>
      <c r="L75" s="255"/>
      <c r="M75" s="255"/>
      <c r="N75" s="255"/>
      <c r="O75" s="255"/>
      <c r="P75" s="255"/>
      <c r="Q75" s="255"/>
      <c r="R75" s="255"/>
    </row>
    <row r="76" spans="1:18" ht="15">
      <c r="A76" s="2548" t="s">
        <v>190</v>
      </c>
      <c r="B76" s="2549"/>
      <c r="C76" s="2549"/>
      <c r="D76" s="2549"/>
      <c r="E76" s="2549"/>
      <c r="F76" s="2549"/>
      <c r="G76" s="2549"/>
      <c r="H76" s="2549"/>
      <c r="I76" s="2549"/>
      <c r="J76" s="2549"/>
      <c r="K76" s="253"/>
      <c r="L76" s="253"/>
      <c r="M76" s="253"/>
      <c r="N76" s="253"/>
      <c r="O76" s="253"/>
      <c r="P76" s="253"/>
      <c r="Q76" s="253"/>
      <c r="R76" s="253"/>
    </row>
    <row r="77" spans="1:18">
      <c r="A77" s="266"/>
      <c r="B77" s="267"/>
      <c r="C77" s="267"/>
      <c r="D77" s="267"/>
      <c r="E77" s="267"/>
      <c r="F77" s="267"/>
      <c r="G77" s="267"/>
      <c r="H77" s="267"/>
      <c r="I77" s="267"/>
      <c r="J77" s="267"/>
      <c r="K77" s="267"/>
      <c r="L77" s="267"/>
      <c r="M77" s="267"/>
      <c r="N77" s="267"/>
      <c r="O77" s="267"/>
      <c r="P77" s="267"/>
      <c r="Q77" s="267"/>
      <c r="R77" s="267"/>
    </row>
    <row r="78" spans="1:18">
      <c r="A78" s="256"/>
      <c r="B78" s="256"/>
      <c r="C78" s="264"/>
      <c r="D78" s="264"/>
      <c r="E78" s="264"/>
      <c r="F78" s="264"/>
      <c r="G78" s="264"/>
      <c r="H78" s="264"/>
      <c r="I78" s="264"/>
      <c r="J78" s="264"/>
    </row>
    <row r="80" spans="1:18">
      <c r="C80" s="268"/>
      <c r="D80" s="268"/>
    </row>
  </sheetData>
  <mergeCells count="24">
    <mergeCell ref="A76:J76"/>
    <mergeCell ref="A12:B13"/>
    <mergeCell ref="A71:J71"/>
    <mergeCell ref="A72:J72"/>
    <mergeCell ref="A74:J74"/>
    <mergeCell ref="J12:J13"/>
    <mergeCell ref="E12:E13"/>
    <mergeCell ref="F12:F13"/>
    <mergeCell ref="G12:G13"/>
    <mergeCell ref="C12:C13"/>
    <mergeCell ref="D12:D13"/>
    <mergeCell ref="H12:H13"/>
    <mergeCell ref="I12:I13"/>
    <mergeCell ref="A7:J7"/>
    <mergeCell ref="A11:J11"/>
    <mergeCell ref="C10:J10"/>
    <mergeCell ref="C9:J9"/>
    <mergeCell ref="C8:J8"/>
    <mergeCell ref="A6:J6"/>
    <mergeCell ref="A1:J1"/>
    <mergeCell ref="A2:J2"/>
    <mergeCell ref="A3:J3"/>
    <mergeCell ref="A4:J4"/>
    <mergeCell ref="A5:J5"/>
  </mergeCells>
  <phoneticPr fontId="48"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61.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247" customWidth="1"/>
    <col min="2" max="2" width="38" style="247" customWidth="1"/>
    <col min="3" max="8" width="9.88671875" style="249" customWidth="1"/>
    <col min="9" max="16384" width="8.88671875" style="247"/>
  </cols>
  <sheetData>
    <row r="1" spans="1:10" ht="15.75">
      <c r="A1" s="2543" t="s">
        <v>119</v>
      </c>
      <c r="B1" s="2543"/>
      <c r="C1" s="2543"/>
      <c r="D1" s="2543"/>
      <c r="E1" s="2543"/>
      <c r="F1" s="2543"/>
      <c r="G1" s="2543"/>
      <c r="H1" s="2543"/>
      <c r="I1" s="246" t="s">
        <v>0</v>
      </c>
      <c r="J1" s="245"/>
    </row>
    <row r="2" spans="1:10" ht="15.75">
      <c r="A2" s="2542"/>
      <c r="B2" s="2542"/>
      <c r="C2" s="2542"/>
      <c r="D2" s="2542"/>
      <c r="E2" s="2542"/>
      <c r="F2" s="2542"/>
      <c r="G2" s="2542"/>
      <c r="H2" s="2542"/>
      <c r="I2" s="245"/>
      <c r="J2" s="245"/>
    </row>
    <row r="3" spans="1:10" ht="15.75">
      <c r="A3" s="2544" t="s">
        <v>218</v>
      </c>
      <c r="B3" s="2544"/>
      <c r="C3" s="2544"/>
      <c r="D3" s="2544"/>
      <c r="E3" s="2544"/>
      <c r="F3" s="2544"/>
      <c r="G3" s="2544"/>
      <c r="H3" s="2544"/>
      <c r="I3" s="246" t="s">
        <v>0</v>
      </c>
      <c r="J3" s="248"/>
    </row>
    <row r="4" spans="1:10" ht="15.75">
      <c r="A4" s="2544" t="s">
        <v>258</v>
      </c>
      <c r="B4" s="2544"/>
      <c r="C4" s="2544"/>
      <c r="D4" s="2544"/>
      <c r="E4" s="2544"/>
      <c r="F4" s="2544"/>
      <c r="G4" s="2544"/>
      <c r="H4" s="2544"/>
      <c r="I4" s="246" t="s">
        <v>0</v>
      </c>
      <c r="J4" s="248"/>
    </row>
    <row r="5" spans="1:10" ht="15.75">
      <c r="A5" s="2542" t="s">
        <v>257</v>
      </c>
      <c r="B5" s="2542"/>
      <c r="C5" s="2542"/>
      <c r="D5" s="2542"/>
      <c r="E5" s="2542"/>
      <c r="F5" s="2542"/>
      <c r="G5" s="2542"/>
      <c r="H5" s="2542"/>
      <c r="I5" s="246" t="s">
        <v>0</v>
      </c>
      <c r="J5" s="248"/>
    </row>
    <row r="6" spans="1:10" ht="15.75">
      <c r="A6" s="2566"/>
      <c r="B6" s="2566"/>
      <c r="C6" s="2566"/>
      <c r="D6" s="2566"/>
      <c r="E6" s="2566"/>
      <c r="F6" s="2566"/>
      <c r="G6" s="2566"/>
      <c r="H6" s="2566"/>
    </row>
    <row r="7" spans="1:10">
      <c r="A7" s="2545"/>
      <c r="B7" s="2545"/>
      <c r="C7" s="2545"/>
      <c r="D7" s="2545"/>
      <c r="E7" s="2545"/>
      <c r="F7" s="2545"/>
      <c r="G7" s="2545"/>
      <c r="H7" s="2545"/>
    </row>
    <row r="8" spans="1:10">
      <c r="A8" s="344" t="s">
        <v>120</v>
      </c>
      <c r="B8" s="343"/>
      <c r="C8" s="2547"/>
      <c r="D8" s="2547"/>
      <c r="E8" s="2547"/>
      <c r="F8" s="2547"/>
      <c r="G8" s="2547"/>
      <c r="H8" s="2547"/>
      <c r="I8" s="246" t="s">
        <v>0</v>
      </c>
    </row>
    <row r="9" spans="1:10">
      <c r="A9" s="344" t="s">
        <v>121</v>
      </c>
      <c r="B9" s="345" t="s">
        <v>191</v>
      </c>
      <c r="C9" s="2547"/>
      <c r="D9" s="2547"/>
      <c r="E9" s="2547"/>
      <c r="F9" s="2547"/>
      <c r="G9" s="2547"/>
      <c r="H9" s="2547"/>
      <c r="I9" s="246" t="s">
        <v>0</v>
      </c>
    </row>
    <row r="10" spans="1:10">
      <c r="A10" s="344" t="s">
        <v>122</v>
      </c>
      <c r="B10" s="345" t="s">
        <v>192</v>
      </c>
      <c r="C10" s="2547"/>
      <c r="D10" s="2547"/>
      <c r="E10" s="2547"/>
      <c r="F10" s="2547"/>
      <c r="G10" s="2547"/>
      <c r="H10" s="2547"/>
      <c r="I10" s="246" t="s">
        <v>0</v>
      </c>
    </row>
    <row r="11" spans="1:10">
      <c r="A11" s="2567"/>
      <c r="B11" s="2567"/>
      <c r="C11" s="2567"/>
      <c r="D11" s="2567"/>
      <c r="E11" s="2567"/>
      <c r="F11" s="2567"/>
      <c r="G11" s="2567"/>
      <c r="H11" s="2567"/>
    </row>
    <row r="12" spans="1:10" ht="12.75" customHeight="1">
      <c r="A12" s="2550" t="s">
        <v>124</v>
      </c>
      <c r="B12" s="2551"/>
      <c r="C12" s="2561" t="s">
        <v>325</v>
      </c>
      <c r="D12" s="2559" t="s">
        <v>320</v>
      </c>
      <c r="E12" s="2559" t="s">
        <v>125</v>
      </c>
      <c r="F12" s="2559" t="s">
        <v>126</v>
      </c>
      <c r="G12" s="2559" t="s">
        <v>321</v>
      </c>
      <c r="H12" s="2557" t="s">
        <v>326</v>
      </c>
      <c r="I12" s="246" t="s">
        <v>0</v>
      </c>
    </row>
    <row r="13" spans="1:10" ht="12.75" customHeight="1">
      <c r="A13" s="2552"/>
      <c r="B13" s="2553"/>
      <c r="C13" s="2562"/>
      <c r="D13" s="2560"/>
      <c r="E13" s="2560"/>
      <c r="F13" s="2560"/>
      <c r="G13" s="2560"/>
      <c r="H13" s="2558"/>
      <c r="I13" s="246" t="s">
        <v>0</v>
      </c>
    </row>
    <row r="14" spans="1:10">
      <c r="A14" s="2564" t="s">
        <v>127</v>
      </c>
      <c r="B14" s="2565"/>
      <c r="C14" s="373"/>
      <c r="D14" s="373"/>
      <c r="E14" s="373"/>
      <c r="F14" s="373"/>
      <c r="G14" s="373"/>
      <c r="H14" s="374"/>
      <c r="I14" s="246" t="s">
        <v>0</v>
      </c>
    </row>
    <row r="15" spans="1:10">
      <c r="A15" s="355" t="s">
        <v>128</v>
      </c>
      <c r="B15" s="347" t="s">
        <v>129</v>
      </c>
      <c r="C15" s="375"/>
      <c r="D15" s="375"/>
      <c r="E15" s="375"/>
      <c r="F15" s="375"/>
      <c r="G15" s="375"/>
      <c r="H15" s="376"/>
      <c r="I15" s="246" t="s">
        <v>0</v>
      </c>
    </row>
    <row r="16" spans="1:10">
      <c r="A16" s="356" t="s">
        <v>130</v>
      </c>
      <c r="B16" s="349" t="s">
        <v>193</v>
      </c>
      <c r="C16" s="377"/>
      <c r="D16" s="377"/>
      <c r="E16" s="377"/>
      <c r="F16" s="377"/>
      <c r="G16" s="377"/>
      <c r="H16" s="378"/>
      <c r="I16" s="246" t="s">
        <v>0</v>
      </c>
    </row>
    <row r="17" spans="1:9">
      <c r="A17" s="356" t="s">
        <v>130</v>
      </c>
      <c r="B17" s="349" t="s">
        <v>134</v>
      </c>
      <c r="C17" s="377"/>
      <c r="D17" s="377"/>
      <c r="E17" s="377"/>
      <c r="F17" s="377"/>
      <c r="G17" s="377"/>
      <c r="H17" s="378"/>
      <c r="I17" s="246" t="s">
        <v>0</v>
      </c>
    </row>
    <row r="18" spans="1:9">
      <c r="A18" s="356" t="s">
        <v>136</v>
      </c>
      <c r="B18" s="349" t="s">
        <v>135</v>
      </c>
      <c r="C18" s="377"/>
      <c r="D18" s="377"/>
      <c r="E18" s="377"/>
      <c r="F18" s="377"/>
      <c r="G18" s="377"/>
      <c r="H18" s="378"/>
      <c r="I18" s="246" t="s">
        <v>0</v>
      </c>
    </row>
    <row r="19" spans="1:9">
      <c r="A19" s="356" t="s">
        <v>136</v>
      </c>
      <c r="B19" s="349" t="s">
        <v>194</v>
      </c>
      <c r="C19" s="377"/>
      <c r="D19" s="377"/>
      <c r="E19" s="377"/>
      <c r="F19" s="377"/>
      <c r="G19" s="377"/>
      <c r="H19" s="378"/>
      <c r="I19" s="246" t="s">
        <v>0</v>
      </c>
    </row>
    <row r="20" spans="1:9">
      <c r="A20" s="2564" t="s">
        <v>137</v>
      </c>
      <c r="B20" s="2565"/>
      <c r="C20" s="373"/>
      <c r="D20" s="373"/>
      <c r="E20" s="373"/>
      <c r="F20" s="373"/>
      <c r="G20" s="373"/>
      <c r="H20" s="374"/>
      <c r="I20" s="246" t="s">
        <v>0</v>
      </c>
    </row>
    <row r="21" spans="1:9">
      <c r="A21" s="356" t="s">
        <v>138</v>
      </c>
      <c r="B21" s="349" t="s">
        <v>139</v>
      </c>
      <c r="C21" s="377"/>
      <c r="D21" s="377"/>
      <c r="E21" s="377"/>
      <c r="F21" s="377"/>
      <c r="G21" s="377"/>
      <c r="H21" s="378"/>
      <c r="I21" s="246" t="s">
        <v>0</v>
      </c>
    </row>
    <row r="22" spans="1:9">
      <c r="A22" s="356" t="s">
        <v>195</v>
      </c>
      <c r="B22" s="349" t="s">
        <v>140</v>
      </c>
      <c r="C22" s="377"/>
      <c r="D22" s="377"/>
      <c r="E22" s="377"/>
      <c r="F22" s="377"/>
      <c r="G22" s="377"/>
      <c r="H22" s="378"/>
      <c r="I22" s="246" t="s">
        <v>0</v>
      </c>
    </row>
    <row r="23" spans="1:9">
      <c r="A23" s="356" t="s">
        <v>196</v>
      </c>
      <c r="B23" s="349" t="s">
        <v>197</v>
      </c>
      <c r="C23" s="377"/>
      <c r="D23" s="377"/>
      <c r="E23" s="377"/>
      <c r="F23" s="377"/>
      <c r="G23" s="377"/>
      <c r="H23" s="378"/>
      <c r="I23" s="246" t="s">
        <v>0</v>
      </c>
    </row>
    <row r="24" spans="1:9">
      <c r="A24" s="348">
        <v>23.2</v>
      </c>
      <c r="B24" s="349" t="s">
        <v>198</v>
      </c>
      <c r="C24" s="377"/>
      <c r="D24" s="377"/>
      <c r="E24" s="377"/>
      <c r="F24" s="377"/>
      <c r="G24" s="377"/>
      <c r="H24" s="378"/>
      <c r="I24" s="246" t="s">
        <v>0</v>
      </c>
    </row>
    <row r="25" spans="1:9">
      <c r="A25" s="356" t="s">
        <v>143</v>
      </c>
      <c r="B25" s="349" t="s">
        <v>144</v>
      </c>
      <c r="C25" s="377"/>
      <c r="D25" s="377"/>
      <c r="E25" s="377"/>
      <c r="F25" s="377"/>
      <c r="G25" s="377"/>
      <c r="H25" s="378"/>
      <c r="I25" s="246" t="s">
        <v>0</v>
      </c>
    </row>
    <row r="26" spans="1:9">
      <c r="A26" s="356" t="s">
        <v>143</v>
      </c>
      <c r="B26" s="349" t="s">
        <v>145</v>
      </c>
      <c r="C26" s="377"/>
      <c r="D26" s="377"/>
      <c r="E26" s="377"/>
      <c r="F26" s="377"/>
      <c r="G26" s="377"/>
      <c r="H26" s="378"/>
      <c r="I26" s="246" t="s">
        <v>0</v>
      </c>
    </row>
    <row r="27" spans="1:9">
      <c r="A27" s="356" t="s">
        <v>143</v>
      </c>
      <c r="B27" s="349" t="s">
        <v>146</v>
      </c>
      <c r="C27" s="377"/>
      <c r="D27" s="377"/>
      <c r="E27" s="377"/>
      <c r="F27" s="377"/>
      <c r="G27" s="377"/>
      <c r="H27" s="378"/>
      <c r="I27" s="246" t="s">
        <v>0</v>
      </c>
    </row>
    <row r="28" spans="1:9">
      <c r="A28" s="356" t="s">
        <v>143</v>
      </c>
      <c r="B28" s="349" t="s">
        <v>199</v>
      </c>
      <c r="C28" s="377"/>
      <c r="D28" s="377"/>
      <c r="E28" s="377"/>
      <c r="F28" s="377"/>
      <c r="G28" s="377"/>
      <c r="H28" s="378"/>
      <c r="I28" s="246" t="s">
        <v>0</v>
      </c>
    </row>
    <row r="29" spans="1:9">
      <c r="A29" s="356" t="s">
        <v>143</v>
      </c>
      <c r="B29" s="349" t="s">
        <v>200</v>
      </c>
      <c r="C29" s="377"/>
      <c r="D29" s="377"/>
      <c r="E29" s="377"/>
      <c r="F29" s="377"/>
      <c r="G29" s="377"/>
      <c r="H29" s="378"/>
      <c r="I29" s="246" t="s">
        <v>0</v>
      </c>
    </row>
    <row r="30" spans="1:9">
      <c r="A30" s="356" t="s">
        <v>201</v>
      </c>
      <c r="B30" s="349" t="s">
        <v>202</v>
      </c>
      <c r="C30" s="377"/>
      <c r="D30" s="377"/>
      <c r="E30" s="377"/>
      <c r="F30" s="377"/>
      <c r="G30" s="377"/>
      <c r="H30" s="378"/>
      <c r="I30" s="246" t="s">
        <v>0</v>
      </c>
    </row>
    <row r="31" spans="1:9">
      <c r="A31" s="348">
        <v>25.3</v>
      </c>
      <c r="B31" s="349" t="s">
        <v>147</v>
      </c>
      <c r="C31" s="377"/>
      <c r="D31" s="377"/>
      <c r="E31" s="377"/>
      <c r="F31" s="377"/>
      <c r="G31" s="377"/>
      <c r="H31" s="378"/>
      <c r="I31" s="246" t="s">
        <v>0</v>
      </c>
    </row>
    <row r="32" spans="1:9">
      <c r="A32" s="356" t="s">
        <v>156</v>
      </c>
      <c r="B32" s="349" t="s">
        <v>203</v>
      </c>
      <c r="C32" s="377"/>
      <c r="D32" s="377"/>
      <c r="E32" s="377"/>
      <c r="F32" s="377"/>
      <c r="G32" s="377"/>
      <c r="H32" s="378"/>
      <c r="I32" s="246" t="s">
        <v>0</v>
      </c>
    </row>
    <row r="33" spans="1:9">
      <c r="A33" s="348">
        <v>25.3</v>
      </c>
      <c r="B33" s="349" t="s">
        <v>148</v>
      </c>
      <c r="C33" s="377"/>
      <c r="D33" s="377"/>
      <c r="E33" s="377"/>
      <c r="F33" s="377"/>
      <c r="G33" s="377"/>
      <c r="H33" s="378"/>
      <c r="I33" s="246" t="s">
        <v>0</v>
      </c>
    </row>
    <row r="34" spans="1:9">
      <c r="A34" s="348">
        <v>25.3</v>
      </c>
      <c r="B34" s="349" t="s">
        <v>149</v>
      </c>
      <c r="C34" s="377"/>
      <c r="D34" s="377"/>
      <c r="E34" s="377"/>
      <c r="F34" s="377"/>
      <c r="G34" s="377"/>
      <c r="H34" s="378"/>
      <c r="I34" s="246" t="s">
        <v>0</v>
      </c>
    </row>
    <row r="35" spans="1:9">
      <c r="A35" s="348">
        <v>25.3</v>
      </c>
      <c r="B35" s="349" t="s">
        <v>150</v>
      </c>
      <c r="C35" s="377"/>
      <c r="D35" s="377"/>
      <c r="E35" s="377"/>
      <c r="F35" s="377"/>
      <c r="G35" s="377"/>
      <c r="H35" s="378"/>
      <c r="I35" s="246" t="s">
        <v>0</v>
      </c>
    </row>
    <row r="36" spans="1:9">
      <c r="A36" s="348">
        <v>25.3</v>
      </c>
      <c r="B36" s="349" t="s">
        <v>151</v>
      </c>
      <c r="C36" s="377"/>
      <c r="D36" s="377"/>
      <c r="E36" s="377"/>
      <c r="F36" s="377"/>
      <c r="G36" s="377"/>
      <c r="H36" s="378"/>
      <c r="I36" s="246" t="s">
        <v>0</v>
      </c>
    </row>
    <row r="37" spans="1:9">
      <c r="A37" s="356" t="s">
        <v>156</v>
      </c>
      <c r="B37" s="349" t="s">
        <v>157</v>
      </c>
      <c r="C37" s="377"/>
      <c r="D37" s="377"/>
      <c r="E37" s="377"/>
      <c r="F37" s="377"/>
      <c r="G37" s="377"/>
      <c r="H37" s="378"/>
      <c r="I37" s="246" t="s">
        <v>0</v>
      </c>
    </row>
    <row r="38" spans="1:9">
      <c r="A38" s="348">
        <v>25.3</v>
      </c>
      <c r="B38" s="349" t="s">
        <v>204</v>
      </c>
      <c r="C38" s="377"/>
      <c r="D38" s="377"/>
      <c r="E38" s="377"/>
      <c r="F38" s="377"/>
      <c r="G38" s="377"/>
      <c r="H38" s="378"/>
      <c r="I38" s="246" t="s">
        <v>0</v>
      </c>
    </row>
    <row r="39" spans="1:9">
      <c r="A39" s="348">
        <v>25.6</v>
      </c>
      <c r="B39" s="349" t="s">
        <v>158</v>
      </c>
      <c r="C39" s="377"/>
      <c r="D39" s="377"/>
      <c r="E39" s="377"/>
      <c r="F39" s="377"/>
      <c r="G39" s="377"/>
      <c r="H39" s="378"/>
      <c r="I39" s="246" t="s">
        <v>0</v>
      </c>
    </row>
    <row r="40" spans="1:9">
      <c r="A40" s="499" t="s">
        <v>159</v>
      </c>
      <c r="B40" s="498" t="s">
        <v>160</v>
      </c>
      <c r="C40" s="382"/>
      <c r="D40" s="382"/>
      <c r="E40" s="382"/>
      <c r="F40" s="382"/>
      <c r="G40" s="382"/>
      <c r="H40" s="383"/>
      <c r="I40" s="246" t="s">
        <v>0</v>
      </c>
    </row>
    <row r="41" spans="1:9">
      <c r="A41" s="2564" t="s">
        <v>166</v>
      </c>
      <c r="B41" s="2565"/>
      <c r="C41" s="373"/>
      <c r="D41" s="373"/>
      <c r="E41" s="373"/>
      <c r="F41" s="373"/>
      <c r="G41" s="373"/>
      <c r="H41" s="374"/>
      <c r="I41" s="246" t="s">
        <v>0</v>
      </c>
    </row>
    <row r="42" spans="1:9">
      <c r="A42" s="356" t="s">
        <v>167</v>
      </c>
      <c r="B42" s="349" t="s">
        <v>205</v>
      </c>
      <c r="C42" s="377"/>
      <c r="D42" s="377"/>
      <c r="E42" s="377"/>
      <c r="F42" s="377"/>
      <c r="G42" s="377"/>
      <c r="H42" s="378"/>
      <c r="I42" s="246" t="s">
        <v>0</v>
      </c>
    </row>
    <row r="43" spans="1:9">
      <c r="A43" s="352" t="s">
        <v>167</v>
      </c>
      <c r="B43" s="351" t="s">
        <v>172</v>
      </c>
      <c r="C43" s="377"/>
      <c r="D43" s="377"/>
      <c r="E43" s="377"/>
      <c r="F43" s="377"/>
      <c r="G43" s="377"/>
      <c r="H43" s="378"/>
      <c r="I43" s="246" t="s">
        <v>0</v>
      </c>
    </row>
    <row r="44" spans="1:9">
      <c r="A44" s="352" t="s">
        <v>167</v>
      </c>
      <c r="B44" s="351" t="s">
        <v>173</v>
      </c>
      <c r="C44" s="377"/>
      <c r="D44" s="377"/>
      <c r="E44" s="377"/>
      <c r="F44" s="377"/>
      <c r="G44" s="377"/>
      <c r="H44" s="378"/>
      <c r="I44" s="246" t="s">
        <v>0</v>
      </c>
    </row>
    <row r="45" spans="1:9">
      <c r="A45" s="352" t="s">
        <v>167</v>
      </c>
      <c r="B45" s="351" t="s">
        <v>174</v>
      </c>
      <c r="C45" s="377"/>
      <c r="D45" s="377"/>
      <c r="E45" s="377"/>
      <c r="F45" s="377"/>
      <c r="G45" s="377"/>
      <c r="H45" s="378"/>
      <c r="I45" s="246" t="s">
        <v>0</v>
      </c>
    </row>
    <row r="46" spans="1:9">
      <c r="A46" s="352" t="s">
        <v>167</v>
      </c>
      <c r="B46" s="351" t="s">
        <v>175</v>
      </c>
      <c r="C46" s="377"/>
      <c r="D46" s="377"/>
      <c r="E46" s="377"/>
      <c r="F46" s="377"/>
      <c r="G46" s="377"/>
      <c r="H46" s="378"/>
      <c r="I46" s="246" t="s">
        <v>0</v>
      </c>
    </row>
    <row r="47" spans="1:9">
      <c r="A47" s="352" t="s">
        <v>167</v>
      </c>
      <c r="B47" s="351" t="s">
        <v>176</v>
      </c>
      <c r="C47" s="377"/>
      <c r="D47" s="377"/>
      <c r="E47" s="377"/>
      <c r="F47" s="377"/>
      <c r="G47" s="377"/>
      <c r="H47" s="378"/>
      <c r="I47" s="246" t="s">
        <v>0</v>
      </c>
    </row>
    <row r="48" spans="1:9">
      <c r="A48" s="356" t="s">
        <v>167</v>
      </c>
      <c r="B48" s="349" t="s">
        <v>206</v>
      </c>
      <c r="C48" s="377"/>
      <c r="D48" s="377"/>
      <c r="E48" s="377"/>
      <c r="F48" s="377"/>
      <c r="G48" s="377"/>
      <c r="H48" s="378"/>
      <c r="I48" s="246" t="s">
        <v>0</v>
      </c>
    </row>
    <row r="49" spans="1:18">
      <c r="A49" s="356" t="s">
        <v>207</v>
      </c>
      <c r="B49" s="349" t="s">
        <v>208</v>
      </c>
      <c r="C49" s="377"/>
      <c r="D49" s="377"/>
      <c r="E49" s="379"/>
      <c r="F49" s="379"/>
      <c r="G49" s="377"/>
      <c r="H49" s="378"/>
      <c r="I49" s="246" t="s">
        <v>0</v>
      </c>
    </row>
    <row r="50" spans="1:18">
      <c r="A50" s="2564" t="s">
        <v>179</v>
      </c>
      <c r="B50" s="2565"/>
      <c r="C50" s="373"/>
      <c r="D50" s="373"/>
      <c r="E50" s="373"/>
      <c r="F50" s="373"/>
      <c r="G50" s="373"/>
      <c r="H50" s="374"/>
      <c r="I50" s="246" t="s">
        <v>0</v>
      </c>
    </row>
    <row r="51" spans="1:18">
      <c r="A51" s="357" t="s">
        <v>180</v>
      </c>
      <c r="B51" s="353" t="s">
        <v>209</v>
      </c>
      <c r="C51" s="379"/>
      <c r="D51" s="379"/>
      <c r="E51" s="379"/>
      <c r="F51" s="379"/>
      <c r="G51" s="379"/>
      <c r="H51" s="381"/>
      <c r="I51" s="246" t="s">
        <v>0</v>
      </c>
    </row>
    <row r="52" spans="1:18">
      <c r="A52" s="358" t="s">
        <v>180</v>
      </c>
      <c r="B52" s="359" t="s">
        <v>186</v>
      </c>
      <c r="C52" s="382"/>
      <c r="D52" s="382"/>
      <c r="E52" s="382"/>
      <c r="F52" s="382"/>
      <c r="G52" s="382"/>
      <c r="H52" s="383"/>
      <c r="I52" s="246" t="s">
        <v>0</v>
      </c>
    </row>
    <row r="53" spans="1:18">
      <c r="A53" s="354"/>
      <c r="B53" s="346" t="s">
        <v>187</v>
      </c>
      <c r="C53" s="373"/>
      <c r="D53" s="373"/>
      <c r="E53" s="373"/>
      <c r="F53" s="373"/>
      <c r="G53" s="373"/>
      <c r="H53" s="374"/>
      <c r="I53" s="250" t="s">
        <v>24</v>
      </c>
    </row>
    <row r="55" spans="1:18" s="256" customFormat="1" ht="15.75">
      <c r="A55" s="2554" t="s">
        <v>275</v>
      </c>
      <c r="B55" s="1835"/>
      <c r="C55" s="1835"/>
      <c r="D55" s="1835"/>
      <c r="E55" s="1835"/>
      <c r="F55" s="1835"/>
      <c r="G55" s="1835"/>
      <c r="H55" s="1835"/>
      <c r="I55" s="251"/>
      <c r="J55" s="251"/>
      <c r="K55" s="251"/>
      <c r="L55" s="251"/>
      <c r="M55" s="251"/>
      <c r="N55" s="251"/>
      <c r="O55" s="251"/>
      <c r="P55" s="251"/>
      <c r="Q55" s="251"/>
      <c r="R55" s="251"/>
    </row>
    <row r="56" spans="1:18" s="256" customFormat="1" ht="15">
      <c r="A56" s="2555" t="s">
        <v>188</v>
      </c>
      <c r="B56" s="2563"/>
      <c r="C56" s="2563"/>
      <c r="D56" s="2563"/>
      <c r="E56" s="2563"/>
      <c r="F56" s="2563"/>
      <c r="G56" s="2563"/>
      <c r="H56" s="2563"/>
      <c r="I56" s="257"/>
      <c r="J56" s="257"/>
      <c r="K56" s="257"/>
      <c r="L56" s="257"/>
      <c r="M56" s="257"/>
      <c r="N56" s="257"/>
      <c r="O56" s="257"/>
      <c r="P56" s="257"/>
      <c r="Q56" s="257"/>
      <c r="R56" s="257"/>
    </row>
    <row r="57" spans="1:18" s="256" customFormat="1" ht="13.5">
      <c r="A57" s="258"/>
      <c r="B57" s="259"/>
      <c r="C57" s="259"/>
      <c r="D57" s="259"/>
      <c r="E57" s="259"/>
      <c r="F57" s="259"/>
      <c r="G57" s="259"/>
      <c r="H57" s="259"/>
      <c r="I57" s="259"/>
      <c r="J57" s="259"/>
      <c r="K57" s="259"/>
      <c r="L57" s="259"/>
      <c r="M57" s="259"/>
      <c r="N57" s="259"/>
      <c r="O57" s="259"/>
      <c r="P57" s="259"/>
      <c r="Q57" s="259"/>
      <c r="R57" s="259"/>
    </row>
    <row r="58" spans="1:18" s="256" customFormat="1" ht="30.75" customHeight="1">
      <c r="A58" s="2556" t="s">
        <v>189</v>
      </c>
      <c r="B58" s="2563"/>
      <c r="C58" s="2563"/>
      <c r="D58" s="2563"/>
      <c r="E58" s="2563"/>
      <c r="F58" s="2563"/>
      <c r="G58" s="2563"/>
      <c r="H58" s="2563"/>
      <c r="I58" s="257"/>
      <c r="J58" s="257"/>
      <c r="K58" s="257"/>
      <c r="L58" s="257"/>
      <c r="M58" s="257"/>
      <c r="N58" s="257"/>
      <c r="O58" s="257"/>
      <c r="P58" s="257"/>
      <c r="Q58" s="257"/>
      <c r="R58" s="257"/>
    </row>
    <row r="59" spans="1:18" s="256" customFormat="1">
      <c r="A59" s="260"/>
      <c r="B59" s="261"/>
      <c r="C59" s="261"/>
      <c r="D59" s="261"/>
      <c r="E59" s="261"/>
      <c r="F59" s="261"/>
      <c r="G59" s="261"/>
      <c r="H59" s="261"/>
      <c r="I59" s="261"/>
      <c r="J59" s="261"/>
      <c r="K59" s="261"/>
      <c r="L59" s="261"/>
      <c r="M59" s="261"/>
      <c r="N59" s="261"/>
      <c r="O59" s="261"/>
      <c r="P59" s="261"/>
      <c r="Q59" s="261"/>
      <c r="R59" s="261"/>
    </row>
    <row r="60" spans="1:18" s="256" customFormat="1" ht="26.25" customHeight="1">
      <c r="A60" s="2548" t="s">
        <v>190</v>
      </c>
      <c r="B60" s="2563"/>
      <c r="C60" s="2563"/>
      <c r="D60" s="2563"/>
      <c r="E60" s="2563"/>
      <c r="F60" s="2563"/>
      <c r="G60" s="2563"/>
      <c r="H60" s="2563"/>
      <c r="I60" s="262"/>
      <c r="J60" s="262"/>
      <c r="K60" s="262"/>
      <c r="L60" s="262"/>
      <c r="M60" s="262"/>
      <c r="N60" s="262"/>
      <c r="O60" s="262"/>
      <c r="P60" s="262"/>
      <c r="Q60" s="262"/>
      <c r="R60" s="262"/>
    </row>
  </sheetData>
  <mergeCells count="26">
    <mergeCell ref="A3:H3"/>
    <mergeCell ref="A1:H1"/>
    <mergeCell ref="A2:H2"/>
    <mergeCell ref="A4:H4"/>
    <mergeCell ref="F12:F13"/>
    <mergeCell ref="G12:G13"/>
    <mergeCell ref="H12:H13"/>
    <mergeCell ref="A5:H5"/>
    <mergeCell ref="A6:H6"/>
    <mergeCell ref="A7:H7"/>
    <mergeCell ref="A11:H11"/>
    <mergeCell ref="C8:H8"/>
    <mergeCell ref="C9:H9"/>
    <mergeCell ref="C10:H10"/>
    <mergeCell ref="A56:H56"/>
    <mergeCell ref="A58:H58"/>
    <mergeCell ref="A60:H60"/>
    <mergeCell ref="A12:B13"/>
    <mergeCell ref="A55:H55"/>
    <mergeCell ref="A20:B20"/>
    <mergeCell ref="A14:B14"/>
    <mergeCell ref="A41:B41"/>
    <mergeCell ref="A50:B50"/>
    <mergeCell ref="D12:D13"/>
    <mergeCell ref="C12:C13"/>
    <mergeCell ref="E12:E13"/>
  </mergeCells>
  <phoneticPr fontId="48"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62.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247" customWidth="1"/>
    <col min="2" max="2" width="38.5546875" style="247" customWidth="1"/>
    <col min="3" max="10" width="9.88671875" style="249" customWidth="1"/>
    <col min="11" max="16384" width="8.88671875" style="247"/>
  </cols>
  <sheetData>
    <row r="1" spans="1:11" ht="15.75">
      <c r="A1" s="2543" t="s">
        <v>119</v>
      </c>
      <c r="B1" s="2543"/>
      <c r="C1" s="2543"/>
      <c r="D1" s="2543"/>
      <c r="E1" s="2543"/>
      <c r="F1" s="2543"/>
      <c r="G1" s="2543"/>
      <c r="H1" s="2543"/>
      <c r="I1" s="2543"/>
      <c r="J1" s="2543"/>
      <c r="K1" s="246" t="s">
        <v>0</v>
      </c>
    </row>
    <row r="2" spans="1:11" ht="15.75">
      <c r="A2" s="2542"/>
      <c r="B2" s="2542"/>
      <c r="C2" s="2542"/>
      <c r="D2" s="2542"/>
      <c r="E2" s="2542"/>
      <c r="F2" s="2542"/>
      <c r="G2" s="2542"/>
      <c r="H2" s="2542"/>
      <c r="I2" s="2542"/>
      <c r="J2" s="2542"/>
    </row>
    <row r="3" spans="1:11" ht="15.75">
      <c r="A3" s="2544" t="s">
        <v>218</v>
      </c>
      <c r="B3" s="2544"/>
      <c r="C3" s="2544"/>
      <c r="D3" s="2544"/>
      <c r="E3" s="2544"/>
      <c r="F3" s="2544"/>
      <c r="G3" s="2544"/>
      <c r="H3" s="2544"/>
      <c r="I3" s="2544"/>
      <c r="J3" s="2544"/>
      <c r="K3" s="246" t="s">
        <v>0</v>
      </c>
    </row>
    <row r="4" spans="1:11" ht="15.75">
      <c r="A4" s="2544" t="s">
        <v>258</v>
      </c>
      <c r="B4" s="2544"/>
      <c r="C4" s="2544"/>
      <c r="D4" s="2544"/>
      <c r="E4" s="2544"/>
      <c r="F4" s="2544"/>
      <c r="G4" s="2544"/>
      <c r="H4" s="2544"/>
      <c r="I4" s="2544"/>
      <c r="J4" s="2544"/>
      <c r="K4" s="246" t="s">
        <v>0</v>
      </c>
    </row>
    <row r="5" spans="1:11" ht="15.75">
      <c r="A5" s="2542" t="s">
        <v>257</v>
      </c>
      <c r="B5" s="2542"/>
      <c r="C5" s="2542"/>
      <c r="D5" s="2542"/>
      <c r="E5" s="2542"/>
      <c r="F5" s="2542"/>
      <c r="G5" s="2542"/>
      <c r="H5" s="2542"/>
      <c r="I5" s="2542"/>
      <c r="J5" s="2542"/>
      <c r="K5" s="246" t="s">
        <v>0</v>
      </c>
    </row>
    <row r="6" spans="1:11" ht="15.75">
      <c r="A6" s="2542"/>
      <c r="B6" s="2542"/>
      <c r="C6" s="2542"/>
      <c r="D6" s="2542"/>
      <c r="E6" s="2542"/>
      <c r="F6" s="2542"/>
      <c r="G6" s="2542"/>
      <c r="H6" s="2542"/>
      <c r="I6" s="2542"/>
      <c r="J6" s="2542"/>
    </row>
    <row r="7" spans="1:11">
      <c r="A7" s="2545"/>
      <c r="B7" s="2545"/>
      <c r="C7" s="2545"/>
      <c r="D7" s="2545"/>
      <c r="E7" s="2545"/>
      <c r="F7" s="2545"/>
      <c r="G7" s="2545"/>
      <c r="H7" s="2545"/>
      <c r="I7" s="2545"/>
      <c r="J7" s="2545"/>
    </row>
    <row r="8" spans="1:11">
      <c r="A8" s="344" t="s">
        <v>120</v>
      </c>
      <c r="B8" s="343"/>
      <c r="C8" s="2547"/>
      <c r="D8" s="2547"/>
      <c r="E8" s="2547"/>
      <c r="F8" s="2547"/>
      <c r="G8" s="2547"/>
      <c r="H8" s="2547"/>
      <c r="I8" s="2547"/>
      <c r="J8" s="2547"/>
      <c r="K8" s="246" t="s">
        <v>0</v>
      </c>
    </row>
    <row r="9" spans="1:11">
      <c r="A9" s="344" t="s">
        <v>121</v>
      </c>
      <c r="B9" s="345" t="s">
        <v>191</v>
      </c>
      <c r="C9" s="2547"/>
      <c r="D9" s="2547"/>
      <c r="E9" s="2547"/>
      <c r="F9" s="2547"/>
      <c r="G9" s="2547"/>
      <c r="H9" s="2547"/>
      <c r="I9" s="2547"/>
      <c r="J9" s="2547"/>
      <c r="K9" s="246" t="s">
        <v>0</v>
      </c>
    </row>
    <row r="10" spans="1:11">
      <c r="A10" s="344" t="s">
        <v>122</v>
      </c>
      <c r="B10" s="345" t="s">
        <v>214</v>
      </c>
      <c r="C10" s="2547"/>
      <c r="D10" s="2547"/>
      <c r="E10" s="2547"/>
      <c r="F10" s="2547"/>
      <c r="G10" s="2547"/>
      <c r="H10" s="2547"/>
      <c r="I10" s="2547"/>
      <c r="J10" s="2547"/>
      <c r="K10" s="246" t="s">
        <v>0</v>
      </c>
    </row>
    <row r="11" spans="1:11">
      <c r="A11" s="2567"/>
      <c r="B11" s="2567"/>
      <c r="C11" s="2567"/>
      <c r="D11" s="2567"/>
      <c r="E11" s="2567"/>
      <c r="F11" s="2567"/>
      <c r="G11" s="2567"/>
      <c r="H11" s="2567"/>
      <c r="I11" s="2567"/>
      <c r="J11" s="2567"/>
    </row>
    <row r="12" spans="1:11" ht="12.75" customHeight="1">
      <c r="A12" s="2550" t="s">
        <v>124</v>
      </c>
      <c r="B12" s="2551"/>
      <c r="C12" s="2561" t="s">
        <v>323</v>
      </c>
      <c r="D12" s="2559" t="s">
        <v>320</v>
      </c>
      <c r="E12" s="2559" t="s">
        <v>125</v>
      </c>
      <c r="F12" s="2559" t="s">
        <v>126</v>
      </c>
      <c r="G12" s="2559" t="s">
        <v>321</v>
      </c>
      <c r="H12" s="2559" t="s">
        <v>322</v>
      </c>
      <c r="I12" s="2559" t="s">
        <v>125</v>
      </c>
      <c r="J12" s="2557" t="s">
        <v>324</v>
      </c>
      <c r="K12" s="246" t="s">
        <v>0</v>
      </c>
    </row>
    <row r="13" spans="1:11" ht="12.75" customHeight="1">
      <c r="A13" s="2552"/>
      <c r="B13" s="2553"/>
      <c r="C13" s="2562"/>
      <c r="D13" s="2560"/>
      <c r="E13" s="2560"/>
      <c r="F13" s="2560"/>
      <c r="G13" s="2560"/>
      <c r="H13" s="2560"/>
      <c r="I13" s="2560"/>
      <c r="J13" s="2558"/>
      <c r="K13" s="246" t="s">
        <v>0</v>
      </c>
    </row>
    <row r="14" spans="1:11">
      <c r="A14" s="354" t="s">
        <v>127</v>
      </c>
      <c r="B14" s="346"/>
      <c r="C14" s="373"/>
      <c r="D14" s="373"/>
      <c r="E14" s="373"/>
      <c r="F14" s="373"/>
      <c r="G14" s="373"/>
      <c r="H14" s="373"/>
      <c r="I14" s="373"/>
      <c r="J14" s="374"/>
      <c r="K14" s="246" t="s">
        <v>0</v>
      </c>
    </row>
    <row r="15" spans="1:11">
      <c r="A15" s="355" t="s">
        <v>128</v>
      </c>
      <c r="B15" s="347" t="s">
        <v>129</v>
      </c>
      <c r="C15" s="375"/>
      <c r="D15" s="375"/>
      <c r="E15" s="375"/>
      <c r="F15" s="375"/>
      <c r="G15" s="375"/>
      <c r="H15" s="375"/>
      <c r="I15" s="375"/>
      <c r="J15" s="376"/>
      <c r="K15" s="246" t="s">
        <v>0</v>
      </c>
    </row>
    <row r="16" spans="1:11">
      <c r="A16" s="356" t="s">
        <v>130</v>
      </c>
      <c r="B16" s="349" t="s">
        <v>193</v>
      </c>
      <c r="C16" s="377"/>
      <c r="D16" s="377"/>
      <c r="E16" s="377"/>
      <c r="F16" s="377"/>
      <c r="G16" s="377"/>
      <c r="H16" s="377"/>
      <c r="I16" s="377"/>
      <c r="J16" s="378"/>
      <c r="K16" s="246" t="s">
        <v>0</v>
      </c>
    </row>
    <row r="17" spans="1:11">
      <c r="A17" s="356" t="s">
        <v>130</v>
      </c>
      <c r="B17" s="349" t="s">
        <v>134</v>
      </c>
      <c r="C17" s="377"/>
      <c r="D17" s="377"/>
      <c r="E17" s="377"/>
      <c r="F17" s="377"/>
      <c r="G17" s="377"/>
      <c r="H17" s="377"/>
      <c r="I17" s="377"/>
      <c r="J17" s="378"/>
      <c r="K17" s="246" t="s">
        <v>0</v>
      </c>
    </row>
    <row r="18" spans="1:11">
      <c r="A18" s="356" t="s">
        <v>136</v>
      </c>
      <c r="B18" s="349" t="s">
        <v>135</v>
      </c>
      <c r="C18" s="377"/>
      <c r="D18" s="377"/>
      <c r="E18" s="377"/>
      <c r="F18" s="377"/>
      <c r="G18" s="377"/>
      <c r="H18" s="377"/>
      <c r="I18" s="377"/>
      <c r="J18" s="378"/>
      <c r="K18" s="246" t="s">
        <v>0</v>
      </c>
    </row>
    <row r="19" spans="1:11">
      <c r="A19" s="356" t="s">
        <v>136</v>
      </c>
      <c r="B19" s="349" t="s">
        <v>194</v>
      </c>
      <c r="C19" s="377"/>
      <c r="D19" s="377"/>
      <c r="E19" s="377"/>
      <c r="F19" s="377"/>
      <c r="G19" s="377"/>
      <c r="H19" s="377"/>
      <c r="I19" s="377"/>
      <c r="J19" s="378"/>
      <c r="K19" s="246" t="s">
        <v>0</v>
      </c>
    </row>
    <row r="20" spans="1:11">
      <c r="A20" s="354" t="s">
        <v>137</v>
      </c>
      <c r="B20" s="346"/>
      <c r="C20" s="373"/>
      <c r="D20" s="373"/>
      <c r="E20" s="373"/>
      <c r="F20" s="373"/>
      <c r="G20" s="373"/>
      <c r="H20" s="373"/>
      <c r="I20" s="373"/>
      <c r="J20" s="374"/>
      <c r="K20" s="246" t="s">
        <v>0</v>
      </c>
    </row>
    <row r="21" spans="1:11">
      <c r="A21" s="356" t="s">
        <v>138</v>
      </c>
      <c r="B21" s="349" t="s">
        <v>139</v>
      </c>
      <c r="C21" s="377"/>
      <c r="D21" s="377"/>
      <c r="E21" s="377"/>
      <c r="F21" s="377"/>
      <c r="G21" s="377"/>
      <c r="H21" s="377"/>
      <c r="I21" s="377"/>
      <c r="J21" s="378"/>
      <c r="K21" s="246" t="s">
        <v>0</v>
      </c>
    </row>
    <row r="22" spans="1:11">
      <c r="A22" s="356" t="s">
        <v>195</v>
      </c>
      <c r="B22" s="349" t="s">
        <v>140</v>
      </c>
      <c r="C22" s="377"/>
      <c r="D22" s="377"/>
      <c r="E22" s="377"/>
      <c r="F22" s="377"/>
      <c r="G22" s="377"/>
      <c r="H22" s="377"/>
      <c r="I22" s="377"/>
      <c r="J22" s="378"/>
      <c r="K22" s="246" t="s">
        <v>0</v>
      </c>
    </row>
    <row r="23" spans="1:11">
      <c r="A23" s="356" t="s">
        <v>196</v>
      </c>
      <c r="B23" s="349" t="s">
        <v>197</v>
      </c>
      <c r="C23" s="377"/>
      <c r="D23" s="377"/>
      <c r="E23" s="377"/>
      <c r="F23" s="377"/>
      <c r="G23" s="377"/>
      <c r="H23" s="377"/>
      <c r="I23" s="377"/>
      <c r="J23" s="378"/>
      <c r="K23" s="246" t="s">
        <v>0</v>
      </c>
    </row>
    <row r="24" spans="1:11">
      <c r="A24" s="348">
        <v>23.2</v>
      </c>
      <c r="B24" s="349" t="s">
        <v>198</v>
      </c>
      <c r="C24" s="377"/>
      <c r="D24" s="377"/>
      <c r="E24" s="377"/>
      <c r="F24" s="377"/>
      <c r="G24" s="377"/>
      <c r="H24" s="377"/>
      <c r="I24" s="377"/>
      <c r="J24" s="378"/>
      <c r="K24" s="246" t="s">
        <v>0</v>
      </c>
    </row>
    <row r="25" spans="1:11">
      <c r="A25" s="356" t="s">
        <v>143</v>
      </c>
      <c r="B25" s="349" t="s">
        <v>144</v>
      </c>
      <c r="C25" s="377"/>
      <c r="D25" s="377"/>
      <c r="E25" s="377"/>
      <c r="F25" s="377"/>
      <c r="G25" s="377"/>
      <c r="H25" s="377"/>
      <c r="I25" s="377"/>
      <c r="J25" s="378"/>
      <c r="K25" s="246" t="s">
        <v>0</v>
      </c>
    </row>
    <row r="26" spans="1:11">
      <c r="A26" s="356" t="s">
        <v>143</v>
      </c>
      <c r="B26" s="349" t="s">
        <v>145</v>
      </c>
      <c r="C26" s="377"/>
      <c r="D26" s="377"/>
      <c r="E26" s="377"/>
      <c r="F26" s="377"/>
      <c r="G26" s="377"/>
      <c r="H26" s="377"/>
      <c r="I26" s="377"/>
      <c r="J26" s="378"/>
      <c r="K26" s="246" t="s">
        <v>0</v>
      </c>
    </row>
    <row r="27" spans="1:11">
      <c r="A27" s="356" t="s">
        <v>143</v>
      </c>
      <c r="B27" s="349" t="s">
        <v>146</v>
      </c>
      <c r="C27" s="377"/>
      <c r="D27" s="377"/>
      <c r="E27" s="377"/>
      <c r="F27" s="377"/>
      <c r="G27" s="377"/>
      <c r="H27" s="377"/>
      <c r="I27" s="377"/>
      <c r="J27" s="378"/>
      <c r="K27" s="246" t="s">
        <v>0</v>
      </c>
    </row>
    <row r="28" spans="1:11">
      <c r="A28" s="356" t="s">
        <v>143</v>
      </c>
      <c r="B28" s="349" t="s">
        <v>199</v>
      </c>
      <c r="C28" s="377"/>
      <c r="D28" s="377"/>
      <c r="E28" s="377"/>
      <c r="F28" s="377"/>
      <c r="G28" s="377"/>
      <c r="H28" s="377"/>
      <c r="I28" s="380"/>
      <c r="J28" s="378"/>
      <c r="K28" s="246" t="s">
        <v>0</v>
      </c>
    </row>
    <row r="29" spans="1:11">
      <c r="A29" s="356" t="s">
        <v>143</v>
      </c>
      <c r="B29" s="349" t="s">
        <v>200</v>
      </c>
      <c r="C29" s="377"/>
      <c r="D29" s="377"/>
      <c r="E29" s="377"/>
      <c r="F29" s="377"/>
      <c r="G29" s="377"/>
      <c r="H29" s="377"/>
      <c r="I29" s="380"/>
      <c r="J29" s="378"/>
      <c r="K29" s="246" t="s">
        <v>0</v>
      </c>
    </row>
    <row r="30" spans="1:11">
      <c r="A30" s="356" t="s">
        <v>201</v>
      </c>
      <c r="B30" s="349" t="s">
        <v>202</v>
      </c>
      <c r="C30" s="377"/>
      <c r="D30" s="377"/>
      <c r="E30" s="377"/>
      <c r="F30" s="377"/>
      <c r="G30" s="377"/>
      <c r="H30" s="377"/>
      <c r="I30" s="377"/>
      <c r="J30" s="378"/>
      <c r="K30" s="246" t="s">
        <v>0</v>
      </c>
    </row>
    <row r="31" spans="1:11">
      <c r="A31" s="348">
        <v>25.3</v>
      </c>
      <c r="B31" s="349" t="s">
        <v>147</v>
      </c>
      <c r="C31" s="377"/>
      <c r="D31" s="377"/>
      <c r="E31" s="377"/>
      <c r="F31" s="377"/>
      <c r="G31" s="377"/>
      <c r="H31" s="377"/>
      <c r="I31" s="377"/>
      <c r="J31" s="378"/>
      <c r="K31" s="246" t="s">
        <v>0</v>
      </c>
    </row>
    <row r="32" spans="1:11">
      <c r="A32" s="348">
        <v>25.3</v>
      </c>
      <c r="B32" s="349" t="s">
        <v>148</v>
      </c>
      <c r="C32" s="377"/>
      <c r="D32" s="377"/>
      <c r="E32" s="377"/>
      <c r="F32" s="377"/>
      <c r="G32" s="377"/>
      <c r="H32" s="377"/>
      <c r="I32" s="377"/>
      <c r="J32" s="378"/>
      <c r="K32" s="246" t="s">
        <v>0</v>
      </c>
    </row>
    <row r="33" spans="1:11">
      <c r="A33" s="348">
        <v>25.3</v>
      </c>
      <c r="B33" s="349" t="s">
        <v>149</v>
      </c>
      <c r="C33" s="377"/>
      <c r="D33" s="377"/>
      <c r="E33" s="377"/>
      <c r="F33" s="377"/>
      <c r="G33" s="377"/>
      <c r="H33" s="377"/>
      <c r="I33" s="377"/>
      <c r="J33" s="378"/>
      <c r="K33" s="246" t="s">
        <v>0</v>
      </c>
    </row>
    <row r="34" spans="1:11">
      <c r="A34" s="348">
        <v>25.3</v>
      </c>
      <c r="B34" s="349" t="s">
        <v>150</v>
      </c>
      <c r="C34" s="377"/>
      <c r="D34" s="377"/>
      <c r="E34" s="377"/>
      <c r="F34" s="377"/>
      <c r="G34" s="377"/>
      <c r="H34" s="377"/>
      <c r="I34" s="377"/>
      <c r="J34" s="378"/>
      <c r="K34" s="246" t="s">
        <v>0</v>
      </c>
    </row>
    <row r="35" spans="1:11">
      <c r="A35" s="348">
        <v>25.3</v>
      </c>
      <c r="B35" s="349" t="s">
        <v>151</v>
      </c>
      <c r="C35" s="377"/>
      <c r="D35" s="377"/>
      <c r="E35" s="377"/>
      <c r="F35" s="377"/>
      <c r="G35" s="377"/>
      <c r="H35" s="377"/>
      <c r="I35" s="377"/>
      <c r="J35" s="378"/>
      <c r="K35" s="246" t="s">
        <v>0</v>
      </c>
    </row>
    <row r="36" spans="1:11">
      <c r="A36" s="356" t="s">
        <v>156</v>
      </c>
      <c r="B36" s="349" t="s">
        <v>157</v>
      </c>
      <c r="C36" s="377"/>
      <c r="D36" s="377"/>
      <c r="E36" s="377"/>
      <c r="F36" s="377"/>
      <c r="G36" s="377"/>
      <c r="H36" s="377"/>
      <c r="I36" s="377"/>
      <c r="J36" s="378"/>
      <c r="K36" s="246" t="s">
        <v>0</v>
      </c>
    </row>
    <row r="37" spans="1:11">
      <c r="A37" s="348">
        <v>25.3</v>
      </c>
      <c r="B37" s="349" t="s">
        <v>204</v>
      </c>
      <c r="C37" s="377"/>
      <c r="D37" s="377"/>
      <c r="E37" s="377"/>
      <c r="F37" s="377"/>
      <c r="G37" s="377"/>
      <c r="H37" s="377"/>
      <c r="I37" s="377"/>
      <c r="J37" s="378"/>
      <c r="K37" s="246" t="s">
        <v>0</v>
      </c>
    </row>
    <row r="38" spans="1:11">
      <c r="A38" s="356" t="s">
        <v>152</v>
      </c>
      <c r="B38" s="349" t="s">
        <v>158</v>
      </c>
      <c r="C38" s="377"/>
      <c r="D38" s="377"/>
      <c r="E38" s="377"/>
      <c r="F38" s="377"/>
      <c r="G38" s="377"/>
      <c r="H38" s="377"/>
      <c r="I38" s="377"/>
      <c r="J38" s="378"/>
      <c r="K38" s="246" t="s">
        <v>0</v>
      </c>
    </row>
    <row r="39" spans="1:11">
      <c r="A39" s="499" t="s">
        <v>159</v>
      </c>
      <c r="B39" s="498" t="s">
        <v>160</v>
      </c>
      <c r="C39" s="382"/>
      <c r="D39" s="382"/>
      <c r="E39" s="382"/>
      <c r="F39" s="382"/>
      <c r="G39" s="382"/>
      <c r="H39" s="382"/>
      <c r="I39" s="382"/>
      <c r="J39" s="383"/>
      <c r="K39" s="246" t="s">
        <v>0</v>
      </c>
    </row>
    <row r="40" spans="1:11">
      <c r="A40" s="354" t="s">
        <v>166</v>
      </c>
      <c r="B40" s="346"/>
      <c r="C40" s="373"/>
      <c r="D40" s="373"/>
      <c r="E40" s="373"/>
      <c r="F40" s="373"/>
      <c r="G40" s="373"/>
      <c r="H40" s="373"/>
      <c r="I40" s="373"/>
      <c r="J40" s="374"/>
      <c r="K40" s="246" t="s">
        <v>0</v>
      </c>
    </row>
    <row r="41" spans="1:11">
      <c r="A41" s="356" t="s">
        <v>167</v>
      </c>
      <c r="B41" s="349" t="s">
        <v>205</v>
      </c>
      <c r="C41" s="377"/>
      <c r="D41" s="377"/>
      <c r="E41" s="377"/>
      <c r="F41" s="377"/>
      <c r="G41" s="377"/>
      <c r="H41" s="377"/>
      <c r="I41" s="377"/>
      <c r="J41" s="378"/>
      <c r="K41" s="246" t="s">
        <v>0</v>
      </c>
    </row>
    <row r="42" spans="1:11">
      <c r="A42" s="352" t="s">
        <v>167</v>
      </c>
      <c r="B42" s="351" t="s">
        <v>172</v>
      </c>
      <c r="C42" s="377"/>
      <c r="D42" s="377"/>
      <c r="E42" s="377"/>
      <c r="F42" s="377"/>
      <c r="G42" s="377"/>
      <c r="H42" s="377"/>
      <c r="I42" s="377"/>
      <c r="J42" s="378"/>
      <c r="K42" s="246" t="s">
        <v>0</v>
      </c>
    </row>
    <row r="43" spans="1:11">
      <c r="A43" s="352" t="s">
        <v>167</v>
      </c>
      <c r="B43" s="351" t="s">
        <v>173</v>
      </c>
      <c r="C43" s="377"/>
      <c r="D43" s="377"/>
      <c r="E43" s="377"/>
      <c r="F43" s="377"/>
      <c r="G43" s="377"/>
      <c r="H43" s="377"/>
      <c r="I43" s="377"/>
      <c r="J43" s="378"/>
      <c r="K43" s="246" t="s">
        <v>0</v>
      </c>
    </row>
    <row r="44" spans="1:11">
      <c r="A44" s="352" t="s">
        <v>167</v>
      </c>
      <c r="B44" s="351" t="s">
        <v>174</v>
      </c>
      <c r="C44" s="377"/>
      <c r="D44" s="377"/>
      <c r="E44" s="377"/>
      <c r="F44" s="377"/>
      <c r="G44" s="377"/>
      <c r="H44" s="377"/>
      <c r="I44" s="377"/>
      <c r="J44" s="378"/>
      <c r="K44" s="246" t="s">
        <v>0</v>
      </c>
    </row>
    <row r="45" spans="1:11">
      <c r="A45" s="352" t="s">
        <v>167</v>
      </c>
      <c r="B45" s="351" t="s">
        <v>175</v>
      </c>
      <c r="C45" s="377"/>
      <c r="D45" s="377"/>
      <c r="E45" s="377"/>
      <c r="F45" s="377"/>
      <c r="G45" s="377"/>
      <c r="H45" s="377"/>
      <c r="I45" s="377"/>
      <c r="J45" s="378"/>
      <c r="K45" s="246" t="s">
        <v>0</v>
      </c>
    </row>
    <row r="46" spans="1:11">
      <c r="A46" s="352" t="s">
        <v>167</v>
      </c>
      <c r="B46" s="351" t="s">
        <v>176</v>
      </c>
      <c r="C46" s="377"/>
      <c r="D46" s="377"/>
      <c r="E46" s="377"/>
      <c r="F46" s="377"/>
      <c r="G46" s="377"/>
      <c r="H46" s="377"/>
      <c r="I46" s="377"/>
      <c r="J46" s="378"/>
      <c r="K46" s="246" t="s">
        <v>0</v>
      </c>
    </row>
    <row r="47" spans="1:11">
      <c r="A47" s="350">
        <v>31</v>
      </c>
      <c r="B47" s="349" t="s">
        <v>177</v>
      </c>
      <c r="C47" s="377"/>
      <c r="D47" s="377"/>
      <c r="E47" s="379"/>
      <c r="F47" s="379"/>
      <c r="G47" s="377"/>
      <c r="H47" s="377"/>
      <c r="I47" s="377"/>
      <c r="J47" s="378"/>
      <c r="K47" s="246" t="s">
        <v>0</v>
      </c>
    </row>
    <row r="48" spans="1:11">
      <c r="A48" s="356" t="s">
        <v>207</v>
      </c>
      <c r="B48" s="349" t="s">
        <v>208</v>
      </c>
      <c r="C48" s="377"/>
      <c r="D48" s="377"/>
      <c r="E48" s="379"/>
      <c r="F48" s="379"/>
      <c r="G48" s="377"/>
      <c r="H48" s="377"/>
      <c r="I48" s="377"/>
      <c r="J48" s="378"/>
      <c r="K48" s="246" t="s">
        <v>0</v>
      </c>
    </row>
    <row r="49" spans="1:18">
      <c r="A49" s="354" t="s">
        <v>179</v>
      </c>
      <c r="B49" s="346"/>
      <c r="C49" s="373"/>
      <c r="D49" s="373"/>
      <c r="E49" s="373"/>
      <c r="F49" s="373"/>
      <c r="G49" s="373"/>
      <c r="H49" s="373"/>
      <c r="I49" s="373"/>
      <c r="J49" s="374"/>
      <c r="K49" s="246" t="s">
        <v>0</v>
      </c>
    </row>
    <row r="50" spans="1:18">
      <c r="A50" s="357" t="s">
        <v>180</v>
      </c>
      <c r="B50" s="353" t="s">
        <v>215</v>
      </c>
      <c r="C50" s="379"/>
      <c r="D50" s="379"/>
      <c r="E50" s="379"/>
      <c r="F50" s="379"/>
      <c r="G50" s="379"/>
      <c r="H50" s="379"/>
      <c r="I50" s="379"/>
      <c r="J50" s="381"/>
      <c r="K50" s="246" t="s">
        <v>0</v>
      </c>
    </row>
    <row r="51" spans="1:18" s="269" customFormat="1">
      <c r="A51" s="358" t="s">
        <v>180</v>
      </c>
      <c r="B51" s="359" t="s">
        <v>186</v>
      </c>
      <c r="C51" s="382"/>
      <c r="D51" s="382"/>
      <c r="E51" s="382"/>
      <c r="F51" s="382"/>
      <c r="G51" s="382"/>
      <c r="H51" s="382"/>
      <c r="I51" s="382"/>
      <c r="J51" s="383"/>
      <c r="K51" s="246" t="s">
        <v>0</v>
      </c>
    </row>
    <row r="52" spans="1:18">
      <c r="A52" s="371"/>
      <c r="B52" s="372" t="s">
        <v>187</v>
      </c>
      <c r="C52" s="384"/>
      <c r="D52" s="384"/>
      <c r="E52" s="384"/>
      <c r="F52" s="384"/>
      <c r="G52" s="384"/>
      <c r="H52" s="384"/>
      <c r="I52" s="384"/>
      <c r="J52" s="385"/>
      <c r="K52" s="250" t="s">
        <v>24</v>
      </c>
    </row>
    <row r="53" spans="1:18">
      <c r="A53" s="343"/>
      <c r="B53" s="343"/>
      <c r="C53" s="386"/>
      <c r="D53" s="386"/>
      <c r="E53" s="386"/>
      <c r="F53" s="386"/>
      <c r="G53" s="386"/>
      <c r="H53" s="386"/>
      <c r="I53" s="386"/>
      <c r="J53" s="386"/>
    </row>
    <row r="55" spans="1:18" ht="18.75">
      <c r="A55" s="2554" t="s">
        <v>275</v>
      </c>
      <c r="B55" s="2569"/>
      <c r="C55" s="2569"/>
      <c r="D55" s="2569"/>
      <c r="E55" s="2569"/>
      <c r="F55" s="2569"/>
      <c r="G55" s="2569"/>
      <c r="H55" s="2569"/>
      <c r="I55" s="2569"/>
      <c r="J55" s="2569"/>
      <c r="K55" s="270"/>
      <c r="L55" s="270"/>
      <c r="M55" s="270"/>
      <c r="N55" s="270"/>
      <c r="O55" s="270"/>
      <c r="P55" s="270"/>
      <c r="Q55" s="270"/>
      <c r="R55" s="270"/>
    </row>
    <row r="56" spans="1:18" ht="9.75" customHeight="1">
      <c r="A56" s="2555" t="s">
        <v>188</v>
      </c>
      <c r="B56" s="2570"/>
      <c r="C56" s="2570"/>
      <c r="D56" s="2570"/>
      <c r="E56" s="2570"/>
      <c r="F56" s="2570"/>
      <c r="G56" s="2570"/>
      <c r="H56" s="2570"/>
      <c r="I56" s="2570"/>
      <c r="J56" s="2570"/>
      <c r="K56" s="257"/>
      <c r="L56" s="257"/>
      <c r="M56" s="257"/>
      <c r="N56" s="257"/>
      <c r="O56" s="257"/>
      <c r="P56" s="257"/>
      <c r="Q56" s="257"/>
      <c r="R56" s="257"/>
    </row>
    <row r="57" spans="1:18" ht="11.25" customHeight="1">
      <c r="A57" s="252"/>
      <c r="B57" s="251"/>
      <c r="C57" s="251"/>
      <c r="D57" s="251"/>
      <c r="E57" s="251"/>
      <c r="F57" s="251"/>
      <c r="G57" s="251"/>
      <c r="H57" s="251"/>
      <c r="I57" s="251"/>
      <c r="J57" s="251"/>
      <c r="K57" s="270"/>
      <c r="L57" s="270"/>
      <c r="M57" s="270"/>
      <c r="N57" s="270"/>
      <c r="O57" s="270"/>
      <c r="P57" s="270"/>
      <c r="Q57" s="270"/>
      <c r="R57" s="270"/>
    </row>
    <row r="58" spans="1:18" ht="14.25" customHeight="1">
      <c r="A58" s="2556" t="s">
        <v>189</v>
      </c>
      <c r="B58" s="1865"/>
      <c r="C58" s="1865"/>
      <c r="D58" s="1865"/>
      <c r="E58" s="1865"/>
      <c r="F58" s="1865"/>
      <c r="G58" s="1865"/>
      <c r="H58" s="1865"/>
      <c r="I58" s="1865"/>
      <c r="J58" s="1865"/>
      <c r="K58" s="90"/>
      <c r="L58" s="90"/>
      <c r="M58" s="90"/>
      <c r="N58" s="90"/>
      <c r="O58" s="90"/>
      <c r="P58" s="90"/>
      <c r="Q58" s="90"/>
      <c r="R58" s="90"/>
    </row>
    <row r="59" spans="1:18" ht="16.5" customHeight="1">
      <c r="A59" s="254"/>
      <c r="B59" s="255"/>
      <c r="C59" s="255"/>
      <c r="D59" s="255"/>
      <c r="E59" s="255"/>
      <c r="F59" s="255"/>
      <c r="G59" s="255"/>
      <c r="H59" s="255"/>
      <c r="I59" s="255"/>
      <c r="J59" s="255"/>
      <c r="K59" s="271"/>
      <c r="L59" s="271"/>
      <c r="M59" s="271"/>
      <c r="N59" s="271"/>
      <c r="O59" s="271"/>
      <c r="P59" s="271"/>
      <c r="Q59" s="271"/>
      <c r="R59" s="271"/>
    </row>
    <row r="60" spans="1:18" ht="16.5" customHeight="1">
      <c r="A60" s="2548" t="s">
        <v>190</v>
      </c>
      <c r="B60" s="2568"/>
      <c r="C60" s="2568"/>
      <c r="D60" s="2568"/>
      <c r="E60" s="2568"/>
      <c r="F60" s="2568"/>
      <c r="G60" s="2568"/>
      <c r="H60" s="2568"/>
      <c r="I60" s="2568"/>
      <c r="J60" s="2568"/>
      <c r="K60" s="90"/>
      <c r="L60" s="90"/>
      <c r="M60" s="90"/>
      <c r="N60" s="90"/>
      <c r="O60" s="90"/>
      <c r="P60" s="90"/>
      <c r="Q60" s="90"/>
      <c r="R60" s="90"/>
    </row>
    <row r="61" spans="1:18" ht="26.25" customHeight="1"/>
  </sheetData>
  <mergeCells count="24">
    <mergeCell ref="C9:J9"/>
    <mergeCell ref="C10:J10"/>
    <mergeCell ref="A11:J11"/>
    <mergeCell ref="D12:D13"/>
    <mergeCell ref="E12:E13"/>
    <mergeCell ref="F12:F13"/>
    <mergeCell ref="G12:G13"/>
    <mergeCell ref="C12:C13"/>
    <mergeCell ref="H12:H13"/>
    <mergeCell ref="I12:I13"/>
    <mergeCell ref="A5:J5"/>
    <mergeCell ref="A6:J6"/>
    <mergeCell ref="A7:J7"/>
    <mergeCell ref="C8:J8"/>
    <mergeCell ref="A1:J1"/>
    <mergeCell ref="A2:J2"/>
    <mergeCell ref="A3:J3"/>
    <mergeCell ref="A4:J4"/>
    <mergeCell ref="A60:J60"/>
    <mergeCell ref="A12:B13"/>
    <mergeCell ref="A55:J55"/>
    <mergeCell ref="A56:J56"/>
    <mergeCell ref="A58:J58"/>
    <mergeCell ref="J12:J13"/>
  </mergeCells>
  <phoneticPr fontId="48"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63.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247" customWidth="1"/>
    <col min="2" max="2" width="38.33203125" style="247" customWidth="1"/>
    <col min="3" max="3" width="9.5546875" style="249" customWidth="1"/>
    <col min="4" max="8" width="9.88671875" style="249" customWidth="1"/>
    <col min="9" max="16384" width="8.88671875" style="247"/>
  </cols>
  <sheetData>
    <row r="1" spans="1:10" ht="15.75">
      <c r="A1" s="2543" t="s">
        <v>119</v>
      </c>
      <c r="B1" s="2543"/>
      <c r="C1" s="2543"/>
      <c r="D1" s="2543"/>
      <c r="E1" s="2543"/>
      <c r="F1" s="2543"/>
      <c r="G1" s="2543"/>
      <c r="H1" s="2543"/>
      <c r="I1" s="272" t="s">
        <v>0</v>
      </c>
      <c r="J1" s="245"/>
    </row>
    <row r="2" spans="1:10" ht="15.75">
      <c r="A2" s="2542"/>
      <c r="B2" s="2542"/>
      <c r="C2" s="2542"/>
      <c r="D2" s="2542"/>
      <c r="E2" s="2542"/>
      <c r="F2" s="2542"/>
      <c r="G2" s="2542"/>
      <c r="H2" s="2542"/>
      <c r="I2" s="245"/>
      <c r="J2" s="245"/>
    </row>
    <row r="3" spans="1:10" ht="15.75">
      <c r="A3" s="2544" t="s">
        <v>218</v>
      </c>
      <c r="B3" s="2544"/>
      <c r="C3" s="2544"/>
      <c r="D3" s="2544"/>
      <c r="E3" s="2544"/>
      <c r="F3" s="2544"/>
      <c r="G3" s="2544"/>
      <c r="H3" s="2544"/>
      <c r="I3" s="272" t="s">
        <v>0</v>
      </c>
      <c r="J3" s="248"/>
    </row>
    <row r="4" spans="1:10" ht="15.75">
      <c r="A4" s="2544" t="s">
        <v>258</v>
      </c>
      <c r="B4" s="2544"/>
      <c r="C4" s="2544"/>
      <c r="D4" s="2544"/>
      <c r="E4" s="2544"/>
      <c r="F4" s="2544"/>
      <c r="G4" s="2544"/>
      <c r="H4" s="2544"/>
      <c r="I4" s="272" t="s">
        <v>0</v>
      </c>
      <c r="J4" s="248"/>
    </row>
    <row r="5" spans="1:10" ht="15.75">
      <c r="A5" s="2542" t="s">
        <v>257</v>
      </c>
      <c r="B5" s="2542"/>
      <c r="C5" s="2542"/>
      <c r="D5" s="2542"/>
      <c r="E5" s="2542"/>
      <c r="F5" s="2542"/>
      <c r="G5" s="2542"/>
      <c r="H5" s="2542"/>
      <c r="I5" s="272" t="s">
        <v>0</v>
      </c>
      <c r="J5" s="248"/>
    </row>
    <row r="6" spans="1:10" ht="15.75">
      <c r="A6" s="2566"/>
      <c r="B6" s="2566"/>
      <c r="C6" s="2566"/>
      <c r="D6" s="2566"/>
      <c r="E6" s="2566"/>
      <c r="F6" s="2566"/>
      <c r="G6" s="2566"/>
      <c r="H6" s="2566"/>
    </row>
    <row r="7" spans="1:10">
      <c r="A7" s="2545"/>
      <c r="B7" s="2545"/>
      <c r="C7" s="2545"/>
      <c r="D7" s="2545"/>
      <c r="E7" s="2545"/>
      <c r="F7" s="2545"/>
      <c r="G7" s="2545"/>
      <c r="H7" s="2545"/>
    </row>
    <row r="8" spans="1:10">
      <c r="A8" s="344" t="s">
        <v>120</v>
      </c>
      <c r="B8" s="343"/>
      <c r="C8" s="2547"/>
      <c r="D8" s="2547"/>
      <c r="E8" s="2547"/>
      <c r="F8" s="2547"/>
      <c r="G8" s="2547"/>
      <c r="H8" s="2547"/>
      <c r="I8" s="272" t="s">
        <v>0</v>
      </c>
    </row>
    <row r="9" spans="1:10">
      <c r="A9" s="344" t="s">
        <v>121</v>
      </c>
      <c r="B9" s="345" t="s">
        <v>191</v>
      </c>
      <c r="C9" s="2547"/>
      <c r="D9" s="2547"/>
      <c r="E9" s="2547"/>
      <c r="F9" s="2547"/>
      <c r="G9" s="2547"/>
      <c r="H9" s="2547"/>
      <c r="I9" s="272" t="s">
        <v>0</v>
      </c>
    </row>
    <row r="10" spans="1:10">
      <c r="A10" s="344" t="s">
        <v>122</v>
      </c>
      <c r="B10" s="345" t="s">
        <v>216</v>
      </c>
      <c r="C10" s="2547"/>
      <c r="D10" s="2547"/>
      <c r="E10" s="2547"/>
      <c r="F10" s="2547"/>
      <c r="G10" s="2547"/>
      <c r="H10" s="2547"/>
      <c r="I10" s="272" t="s">
        <v>0</v>
      </c>
    </row>
    <row r="11" spans="1:10">
      <c r="A11" s="2567"/>
      <c r="B11" s="2567"/>
      <c r="C11" s="2567"/>
      <c r="D11" s="2567"/>
      <c r="E11" s="2567"/>
      <c r="F11" s="2567"/>
      <c r="G11" s="2567"/>
      <c r="H11" s="2567"/>
    </row>
    <row r="12" spans="1:10" ht="12.75" customHeight="1">
      <c r="A12" s="2550" t="s">
        <v>124</v>
      </c>
      <c r="B12" s="2551"/>
      <c r="C12" s="2561" t="s">
        <v>327</v>
      </c>
      <c r="D12" s="2559" t="s">
        <v>320</v>
      </c>
      <c r="E12" s="2559" t="s">
        <v>125</v>
      </c>
      <c r="F12" s="2559" t="s">
        <v>126</v>
      </c>
      <c r="G12" s="2559" t="s">
        <v>321</v>
      </c>
      <c r="H12" s="2557" t="s">
        <v>328</v>
      </c>
      <c r="I12" s="272" t="s">
        <v>0</v>
      </c>
    </row>
    <row r="13" spans="1:10" ht="12.75" customHeight="1">
      <c r="A13" s="2552"/>
      <c r="B13" s="2553"/>
      <c r="C13" s="2562"/>
      <c r="D13" s="2560"/>
      <c r="E13" s="2560"/>
      <c r="F13" s="2560"/>
      <c r="G13" s="2560"/>
      <c r="H13" s="2558"/>
      <c r="I13" s="272" t="s">
        <v>0</v>
      </c>
    </row>
    <row r="14" spans="1:10">
      <c r="A14" s="354" t="s">
        <v>127</v>
      </c>
      <c r="B14" s="346"/>
      <c r="C14" s="373"/>
      <c r="D14" s="373"/>
      <c r="E14" s="373"/>
      <c r="F14" s="373"/>
      <c r="G14" s="373"/>
      <c r="H14" s="374"/>
      <c r="I14" s="272" t="s">
        <v>0</v>
      </c>
    </row>
    <row r="15" spans="1:10">
      <c r="A15" s="355" t="s">
        <v>128</v>
      </c>
      <c r="B15" s="347" t="s">
        <v>129</v>
      </c>
      <c r="C15" s="375"/>
      <c r="D15" s="375"/>
      <c r="E15" s="375"/>
      <c r="F15" s="375"/>
      <c r="G15" s="375"/>
      <c r="H15" s="376"/>
      <c r="I15" s="272" t="s">
        <v>0</v>
      </c>
    </row>
    <row r="16" spans="1:10">
      <c r="A16" s="356" t="s">
        <v>130</v>
      </c>
      <c r="B16" s="349" t="s">
        <v>193</v>
      </c>
      <c r="C16" s="377"/>
      <c r="D16" s="377"/>
      <c r="E16" s="377"/>
      <c r="F16" s="377"/>
      <c r="G16" s="377"/>
      <c r="H16" s="378"/>
      <c r="I16" s="272" t="s">
        <v>0</v>
      </c>
    </row>
    <row r="17" spans="1:9">
      <c r="A17" s="356" t="s">
        <v>130</v>
      </c>
      <c r="B17" s="349" t="s">
        <v>134</v>
      </c>
      <c r="C17" s="377"/>
      <c r="D17" s="377"/>
      <c r="E17" s="377"/>
      <c r="F17" s="377"/>
      <c r="G17" s="377"/>
      <c r="H17" s="378"/>
      <c r="I17" s="272" t="s">
        <v>0</v>
      </c>
    </row>
    <row r="18" spans="1:9">
      <c r="A18" s="356" t="s">
        <v>136</v>
      </c>
      <c r="B18" s="349" t="s">
        <v>135</v>
      </c>
      <c r="C18" s="377"/>
      <c r="D18" s="377"/>
      <c r="E18" s="377"/>
      <c r="F18" s="377"/>
      <c r="G18" s="377"/>
      <c r="H18" s="378"/>
      <c r="I18" s="272" t="s">
        <v>0</v>
      </c>
    </row>
    <row r="19" spans="1:9">
      <c r="A19" s="356" t="s">
        <v>136</v>
      </c>
      <c r="B19" s="349" t="s">
        <v>194</v>
      </c>
      <c r="C19" s="377"/>
      <c r="D19" s="377"/>
      <c r="E19" s="377"/>
      <c r="F19" s="377"/>
      <c r="G19" s="377"/>
      <c r="H19" s="378"/>
      <c r="I19" s="272" t="s">
        <v>0</v>
      </c>
    </row>
    <row r="20" spans="1:9">
      <c r="A20" s="354" t="s">
        <v>137</v>
      </c>
      <c r="B20" s="346"/>
      <c r="C20" s="373"/>
      <c r="D20" s="373"/>
      <c r="E20" s="373"/>
      <c r="F20" s="373"/>
      <c r="G20" s="373"/>
      <c r="H20" s="374"/>
      <c r="I20" s="272" t="s">
        <v>0</v>
      </c>
    </row>
    <row r="21" spans="1:9">
      <c r="A21" s="356" t="s">
        <v>138</v>
      </c>
      <c r="B21" s="349" t="s">
        <v>139</v>
      </c>
      <c r="C21" s="377"/>
      <c r="D21" s="377"/>
      <c r="E21" s="377"/>
      <c r="F21" s="377"/>
      <c r="G21" s="377"/>
      <c r="H21" s="378"/>
      <c r="I21" s="272" t="s">
        <v>0</v>
      </c>
    </row>
    <row r="22" spans="1:9">
      <c r="A22" s="350">
        <v>22</v>
      </c>
      <c r="B22" s="349" t="s">
        <v>140</v>
      </c>
      <c r="C22" s="377"/>
      <c r="D22" s="377"/>
      <c r="E22" s="377"/>
      <c r="F22" s="377"/>
      <c r="G22" s="377"/>
      <c r="H22" s="378"/>
      <c r="I22" s="272" t="s">
        <v>0</v>
      </c>
    </row>
    <row r="23" spans="1:9">
      <c r="A23" s="356" t="s">
        <v>196</v>
      </c>
      <c r="B23" s="349" t="s">
        <v>197</v>
      </c>
      <c r="C23" s="377"/>
      <c r="D23" s="377"/>
      <c r="E23" s="377"/>
      <c r="F23" s="377"/>
      <c r="G23" s="377"/>
      <c r="H23" s="378"/>
      <c r="I23" s="272" t="s">
        <v>0</v>
      </c>
    </row>
    <row r="24" spans="1:9">
      <c r="A24" s="348">
        <v>23.2</v>
      </c>
      <c r="B24" s="349" t="s">
        <v>198</v>
      </c>
      <c r="C24" s="377"/>
      <c r="D24" s="377"/>
      <c r="E24" s="377"/>
      <c r="F24" s="377"/>
      <c r="G24" s="377"/>
      <c r="H24" s="378"/>
      <c r="I24" s="272" t="s">
        <v>0</v>
      </c>
    </row>
    <row r="25" spans="1:9">
      <c r="A25" s="356" t="s">
        <v>143</v>
      </c>
      <c r="B25" s="349" t="s">
        <v>144</v>
      </c>
      <c r="C25" s="377"/>
      <c r="D25" s="377"/>
      <c r="E25" s="377"/>
      <c r="F25" s="377"/>
      <c r="G25" s="377"/>
      <c r="H25" s="378"/>
      <c r="I25" s="272" t="s">
        <v>0</v>
      </c>
    </row>
    <row r="26" spans="1:9">
      <c r="A26" s="356" t="s">
        <v>143</v>
      </c>
      <c r="B26" s="349" t="s">
        <v>145</v>
      </c>
      <c r="C26" s="377"/>
      <c r="D26" s="377"/>
      <c r="E26" s="377"/>
      <c r="F26" s="377"/>
      <c r="G26" s="377"/>
      <c r="H26" s="378"/>
      <c r="I26" s="272" t="s">
        <v>0</v>
      </c>
    </row>
    <row r="27" spans="1:9">
      <c r="A27" s="356" t="s">
        <v>143</v>
      </c>
      <c r="B27" s="349" t="s">
        <v>146</v>
      </c>
      <c r="C27" s="377"/>
      <c r="D27" s="377"/>
      <c r="E27" s="377"/>
      <c r="F27" s="377"/>
      <c r="G27" s="377"/>
      <c r="H27" s="378"/>
      <c r="I27" s="272" t="s">
        <v>0</v>
      </c>
    </row>
    <row r="28" spans="1:9">
      <c r="A28" s="356" t="s">
        <v>143</v>
      </c>
      <c r="B28" s="349" t="s">
        <v>199</v>
      </c>
      <c r="C28" s="377"/>
      <c r="D28" s="377"/>
      <c r="E28" s="377"/>
      <c r="F28" s="377"/>
      <c r="G28" s="377"/>
      <c r="H28" s="378"/>
      <c r="I28" s="272" t="s">
        <v>0</v>
      </c>
    </row>
    <row r="29" spans="1:9">
      <c r="A29" s="356" t="s">
        <v>143</v>
      </c>
      <c r="B29" s="349" t="s">
        <v>200</v>
      </c>
      <c r="C29" s="377"/>
      <c r="D29" s="377"/>
      <c r="E29" s="377"/>
      <c r="F29" s="377"/>
      <c r="G29" s="377"/>
      <c r="H29" s="378"/>
      <c r="I29" s="272" t="s">
        <v>0</v>
      </c>
    </row>
    <row r="30" spans="1:9">
      <c r="A30" s="356" t="s">
        <v>201</v>
      </c>
      <c r="B30" s="349" t="s">
        <v>202</v>
      </c>
      <c r="C30" s="377"/>
      <c r="D30" s="377"/>
      <c r="E30" s="377"/>
      <c r="F30" s="377"/>
      <c r="G30" s="377"/>
      <c r="H30" s="378"/>
      <c r="I30" s="272" t="s">
        <v>0</v>
      </c>
    </row>
    <row r="31" spans="1:9">
      <c r="A31" s="348">
        <v>25.3</v>
      </c>
      <c r="B31" s="349" t="s">
        <v>147</v>
      </c>
      <c r="C31" s="377"/>
      <c r="D31" s="377"/>
      <c r="E31" s="377"/>
      <c r="F31" s="377"/>
      <c r="G31" s="377"/>
      <c r="H31" s="378"/>
      <c r="I31" s="272" t="s">
        <v>0</v>
      </c>
    </row>
    <row r="32" spans="1:9">
      <c r="A32" s="348">
        <v>25.3</v>
      </c>
      <c r="B32" s="349" t="s">
        <v>148</v>
      </c>
      <c r="C32" s="377"/>
      <c r="D32" s="377"/>
      <c r="E32" s="377"/>
      <c r="F32" s="377"/>
      <c r="G32" s="377"/>
      <c r="H32" s="378"/>
      <c r="I32" s="272" t="s">
        <v>0</v>
      </c>
    </row>
    <row r="33" spans="1:9">
      <c r="A33" s="348">
        <v>25.3</v>
      </c>
      <c r="B33" s="349" t="s">
        <v>149</v>
      </c>
      <c r="C33" s="377"/>
      <c r="D33" s="377"/>
      <c r="E33" s="377"/>
      <c r="F33" s="377"/>
      <c r="G33" s="377"/>
      <c r="H33" s="378"/>
      <c r="I33" s="272" t="s">
        <v>0</v>
      </c>
    </row>
    <row r="34" spans="1:9">
      <c r="A34" s="348">
        <v>25.3</v>
      </c>
      <c r="B34" s="349" t="s">
        <v>150</v>
      </c>
      <c r="C34" s="377"/>
      <c r="D34" s="377"/>
      <c r="E34" s="377"/>
      <c r="F34" s="377"/>
      <c r="G34" s="377"/>
      <c r="H34" s="378"/>
      <c r="I34" s="272" t="s">
        <v>0</v>
      </c>
    </row>
    <row r="35" spans="1:9">
      <c r="A35" s="348">
        <v>25.3</v>
      </c>
      <c r="B35" s="349" t="s">
        <v>151</v>
      </c>
      <c r="C35" s="377"/>
      <c r="D35" s="377"/>
      <c r="E35" s="377"/>
      <c r="F35" s="377"/>
      <c r="G35" s="377"/>
      <c r="H35" s="378"/>
      <c r="I35" s="272" t="s">
        <v>0</v>
      </c>
    </row>
    <row r="36" spans="1:9">
      <c r="A36" s="348">
        <v>25.3</v>
      </c>
      <c r="B36" s="349" t="s">
        <v>204</v>
      </c>
      <c r="C36" s="377"/>
      <c r="D36" s="377"/>
      <c r="E36" s="377"/>
      <c r="F36" s="377"/>
      <c r="G36" s="377"/>
      <c r="H36" s="378"/>
      <c r="I36" s="272" t="s">
        <v>0</v>
      </c>
    </row>
    <row r="37" spans="1:9">
      <c r="A37" s="356" t="s">
        <v>152</v>
      </c>
      <c r="B37" s="349" t="s">
        <v>158</v>
      </c>
      <c r="C37" s="377"/>
      <c r="D37" s="377"/>
      <c r="E37" s="377"/>
      <c r="F37" s="377"/>
      <c r="G37" s="377"/>
      <c r="H37" s="378"/>
      <c r="I37" s="272" t="s">
        <v>0</v>
      </c>
    </row>
    <row r="38" spans="1:9">
      <c r="A38" s="499" t="s">
        <v>159</v>
      </c>
      <c r="B38" s="498" t="s">
        <v>160</v>
      </c>
      <c r="C38" s="382"/>
      <c r="D38" s="382"/>
      <c r="E38" s="382"/>
      <c r="F38" s="382"/>
      <c r="G38" s="382"/>
      <c r="H38" s="383"/>
      <c r="I38" s="272" t="s">
        <v>0</v>
      </c>
    </row>
    <row r="39" spans="1:9">
      <c r="A39" s="354" t="s">
        <v>166</v>
      </c>
      <c r="B39" s="346"/>
      <c r="C39" s="373"/>
      <c r="D39" s="373"/>
      <c r="E39" s="373"/>
      <c r="F39" s="373"/>
      <c r="G39" s="373"/>
      <c r="H39" s="374"/>
      <c r="I39" s="272" t="s">
        <v>0</v>
      </c>
    </row>
    <row r="40" spans="1:9">
      <c r="A40" s="356" t="s">
        <v>167</v>
      </c>
      <c r="B40" s="349" t="s">
        <v>205</v>
      </c>
      <c r="C40" s="377"/>
      <c r="D40" s="377"/>
      <c r="E40" s="377"/>
      <c r="F40" s="377"/>
      <c r="G40" s="377"/>
      <c r="H40" s="378"/>
      <c r="I40" s="272" t="s">
        <v>0</v>
      </c>
    </row>
    <row r="41" spans="1:9">
      <c r="A41" s="352" t="s">
        <v>167</v>
      </c>
      <c r="B41" s="351" t="s">
        <v>172</v>
      </c>
      <c r="C41" s="377"/>
      <c r="D41" s="377"/>
      <c r="E41" s="377"/>
      <c r="F41" s="377"/>
      <c r="G41" s="377"/>
      <c r="H41" s="378"/>
      <c r="I41" s="272" t="s">
        <v>0</v>
      </c>
    </row>
    <row r="42" spans="1:9">
      <c r="A42" s="352" t="s">
        <v>167</v>
      </c>
      <c r="B42" s="351" t="s">
        <v>173</v>
      </c>
      <c r="C42" s="377"/>
      <c r="D42" s="377"/>
      <c r="E42" s="377"/>
      <c r="F42" s="377"/>
      <c r="G42" s="377"/>
      <c r="H42" s="378"/>
      <c r="I42" s="272" t="s">
        <v>0</v>
      </c>
    </row>
    <row r="43" spans="1:9">
      <c r="A43" s="352" t="s">
        <v>167</v>
      </c>
      <c r="B43" s="351" t="s">
        <v>217</v>
      </c>
      <c r="C43" s="377"/>
      <c r="D43" s="377"/>
      <c r="E43" s="377"/>
      <c r="F43" s="377"/>
      <c r="G43" s="377"/>
      <c r="H43" s="378"/>
      <c r="I43" s="272" t="s">
        <v>0</v>
      </c>
    </row>
    <row r="44" spans="1:9">
      <c r="A44" s="352" t="s">
        <v>167</v>
      </c>
      <c r="B44" s="351" t="s">
        <v>174</v>
      </c>
      <c r="C44" s="377"/>
      <c r="D44" s="377"/>
      <c r="E44" s="377"/>
      <c r="F44" s="377"/>
      <c r="G44" s="377"/>
      <c r="H44" s="378"/>
      <c r="I44" s="272" t="s">
        <v>0</v>
      </c>
    </row>
    <row r="45" spans="1:9">
      <c r="A45" s="352" t="s">
        <v>167</v>
      </c>
      <c r="B45" s="351" t="s">
        <v>175</v>
      </c>
      <c r="C45" s="377"/>
      <c r="D45" s="377"/>
      <c r="E45" s="377"/>
      <c r="F45" s="377"/>
      <c r="G45" s="377"/>
      <c r="H45" s="378"/>
      <c r="I45" s="272" t="s">
        <v>0</v>
      </c>
    </row>
    <row r="46" spans="1:9">
      <c r="A46" s="352" t="s">
        <v>167</v>
      </c>
      <c r="B46" s="351" t="s">
        <v>176</v>
      </c>
      <c r="C46" s="377"/>
      <c r="D46" s="377"/>
      <c r="E46" s="377"/>
      <c r="F46" s="377"/>
      <c r="G46" s="377"/>
      <c r="H46" s="378"/>
      <c r="I46" s="272" t="s">
        <v>0</v>
      </c>
    </row>
    <row r="47" spans="1:9">
      <c r="A47" s="356" t="s">
        <v>167</v>
      </c>
      <c r="B47" s="349" t="s">
        <v>177</v>
      </c>
      <c r="C47" s="377"/>
      <c r="D47" s="377"/>
      <c r="E47" s="379"/>
      <c r="F47" s="379"/>
      <c r="G47" s="377"/>
      <c r="H47" s="378"/>
      <c r="I47" s="272" t="s">
        <v>0</v>
      </c>
    </row>
    <row r="48" spans="1:9">
      <c r="A48" s="356" t="s">
        <v>207</v>
      </c>
      <c r="B48" s="349" t="s">
        <v>208</v>
      </c>
      <c r="C48" s="377"/>
      <c r="D48" s="377"/>
      <c r="E48" s="379"/>
      <c r="F48" s="379"/>
      <c r="G48" s="377"/>
      <c r="H48" s="378"/>
      <c r="I48" s="272" t="s">
        <v>0</v>
      </c>
    </row>
    <row r="49" spans="1:18">
      <c r="A49" s="354" t="s">
        <v>179</v>
      </c>
      <c r="B49" s="346"/>
      <c r="C49" s="373"/>
      <c r="D49" s="373"/>
      <c r="E49" s="373"/>
      <c r="F49" s="373"/>
      <c r="G49" s="373"/>
      <c r="H49" s="374"/>
      <c r="I49" s="272" t="s">
        <v>0</v>
      </c>
    </row>
    <row r="50" spans="1:18">
      <c r="A50" s="356" t="s">
        <v>180</v>
      </c>
      <c r="B50" s="349" t="s">
        <v>215</v>
      </c>
      <c r="C50" s="377"/>
      <c r="D50" s="377"/>
      <c r="E50" s="377"/>
      <c r="F50" s="377"/>
      <c r="G50" s="377"/>
      <c r="H50" s="378"/>
      <c r="I50" s="272" t="s">
        <v>0</v>
      </c>
    </row>
    <row r="51" spans="1:18">
      <c r="A51" s="352" t="s">
        <v>180</v>
      </c>
      <c r="B51" s="351" t="s">
        <v>186</v>
      </c>
      <c r="C51" s="377"/>
      <c r="D51" s="377"/>
      <c r="E51" s="377"/>
      <c r="F51" s="377"/>
      <c r="G51" s="377"/>
      <c r="H51" s="378"/>
      <c r="I51" s="272" t="s">
        <v>0</v>
      </c>
    </row>
    <row r="52" spans="1:18">
      <c r="A52" s="354"/>
      <c r="B52" s="346" t="s">
        <v>187</v>
      </c>
      <c r="C52" s="373"/>
      <c r="D52" s="373"/>
      <c r="E52" s="373"/>
      <c r="F52" s="373"/>
      <c r="G52" s="373"/>
      <c r="H52" s="374"/>
      <c r="I52" s="246" t="s">
        <v>24</v>
      </c>
    </row>
    <row r="55" spans="1:18" ht="15.75">
      <c r="A55" s="2554" t="s">
        <v>275</v>
      </c>
      <c r="B55" s="2571"/>
      <c r="C55" s="2571"/>
      <c r="D55" s="2571"/>
      <c r="E55" s="2571"/>
      <c r="F55" s="2571"/>
      <c r="G55" s="2571"/>
      <c r="H55" s="2571"/>
      <c r="I55" s="251"/>
      <c r="J55" s="251"/>
      <c r="K55" s="251"/>
      <c r="L55" s="251"/>
      <c r="M55" s="251"/>
      <c r="N55" s="251"/>
      <c r="O55" s="251"/>
      <c r="P55" s="251"/>
      <c r="Q55" s="251"/>
      <c r="R55" s="251"/>
    </row>
    <row r="56" spans="1:18" ht="15">
      <c r="A56" s="2555" t="s">
        <v>188</v>
      </c>
      <c r="B56" s="2571"/>
      <c r="C56" s="2571"/>
      <c r="D56" s="2571"/>
      <c r="E56" s="2571"/>
      <c r="F56" s="2571"/>
      <c r="G56" s="2571"/>
      <c r="H56" s="2571"/>
      <c r="I56" s="265"/>
      <c r="J56" s="265"/>
      <c r="K56" s="265"/>
      <c r="L56" s="265"/>
      <c r="M56" s="265"/>
      <c r="N56" s="265"/>
      <c r="O56" s="265"/>
      <c r="P56" s="265"/>
      <c r="Q56" s="265"/>
      <c r="R56" s="265"/>
    </row>
    <row r="57" spans="1:18" ht="13.5">
      <c r="A57" s="252"/>
      <c r="B57" s="251"/>
      <c r="C57" s="251"/>
      <c r="D57" s="251"/>
      <c r="E57" s="251"/>
      <c r="F57" s="251"/>
      <c r="G57" s="251"/>
      <c r="H57" s="251"/>
      <c r="I57" s="251"/>
      <c r="J57" s="251"/>
      <c r="K57" s="251"/>
      <c r="L57" s="251"/>
      <c r="M57" s="251"/>
      <c r="N57" s="251"/>
      <c r="O57" s="251"/>
      <c r="P57" s="251"/>
      <c r="Q57" s="251"/>
      <c r="R57" s="251"/>
    </row>
    <row r="58" spans="1:18" ht="30.75" customHeight="1">
      <c r="A58" s="2556" t="s">
        <v>189</v>
      </c>
      <c r="B58" s="2571"/>
      <c r="C58" s="2571"/>
      <c r="D58" s="2571"/>
      <c r="E58" s="2571"/>
      <c r="F58" s="2571"/>
      <c r="G58" s="2571"/>
      <c r="H58" s="2571"/>
      <c r="I58" s="253"/>
      <c r="J58" s="253"/>
      <c r="K58" s="253"/>
      <c r="L58" s="253"/>
      <c r="M58" s="253"/>
      <c r="N58" s="253"/>
      <c r="O58" s="253"/>
      <c r="P58" s="253"/>
      <c r="Q58" s="253"/>
      <c r="R58" s="253"/>
    </row>
    <row r="59" spans="1:18">
      <c r="A59" s="254"/>
      <c r="B59" s="255"/>
      <c r="C59" s="255"/>
      <c r="D59" s="255"/>
      <c r="E59" s="255"/>
      <c r="F59" s="255"/>
      <c r="G59" s="255"/>
      <c r="H59" s="255"/>
      <c r="I59" s="255"/>
      <c r="J59" s="255"/>
      <c r="K59" s="255"/>
      <c r="L59" s="255"/>
      <c r="M59" s="255"/>
      <c r="N59" s="255"/>
      <c r="O59" s="255"/>
      <c r="P59" s="255"/>
      <c r="Q59" s="255"/>
      <c r="R59" s="255"/>
    </row>
    <row r="60" spans="1:18" ht="29.25" customHeight="1">
      <c r="A60" s="2548" t="s">
        <v>190</v>
      </c>
      <c r="B60" s="2571"/>
      <c r="C60" s="2571"/>
      <c r="D60" s="2571"/>
      <c r="E60" s="2571"/>
      <c r="F60" s="2571"/>
      <c r="G60" s="2571"/>
      <c r="H60" s="2571"/>
      <c r="I60" s="253"/>
      <c r="J60" s="253"/>
      <c r="K60" s="253"/>
      <c r="L60" s="253"/>
      <c r="M60" s="253"/>
      <c r="N60" s="253"/>
      <c r="O60" s="253"/>
      <c r="P60" s="253"/>
      <c r="Q60" s="253"/>
      <c r="R60" s="253"/>
    </row>
  </sheetData>
  <mergeCells count="22">
    <mergeCell ref="A1:H1"/>
    <mergeCell ref="A2:H2"/>
    <mergeCell ref="A3:H3"/>
    <mergeCell ref="A4:H4"/>
    <mergeCell ref="C9:H9"/>
    <mergeCell ref="A5:H5"/>
    <mergeCell ref="A6:H6"/>
    <mergeCell ref="A7:H7"/>
    <mergeCell ref="C8:H8"/>
    <mergeCell ref="C10:H10"/>
    <mergeCell ref="A56:H56"/>
    <mergeCell ref="A58:H58"/>
    <mergeCell ref="A60:H60"/>
    <mergeCell ref="A12:B13"/>
    <mergeCell ref="A55:H55"/>
    <mergeCell ref="A11:H11"/>
    <mergeCell ref="C12:C13"/>
    <mergeCell ref="D12:D13"/>
    <mergeCell ref="E12:E13"/>
    <mergeCell ref="G12:G13"/>
    <mergeCell ref="H12:H13"/>
    <mergeCell ref="F12:F13"/>
  </mergeCells>
  <phoneticPr fontId="48"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64.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76" customWidth="1"/>
    <col min="2" max="2" width="65.6640625" style="275" customWidth="1"/>
    <col min="3" max="3" width="2.88671875" style="276" customWidth="1"/>
    <col min="4" max="4" width="11.44140625" style="276" customWidth="1"/>
    <col min="5" max="5" width="10.21875" style="276" customWidth="1"/>
    <col min="6" max="6" width="10.109375" style="276" customWidth="1"/>
    <col min="7" max="7" width="9.5546875" style="276" customWidth="1"/>
    <col min="8" max="8" width="9.33203125" style="276" customWidth="1"/>
    <col min="9" max="16384" width="7.109375" style="276"/>
  </cols>
  <sheetData>
    <row r="1" spans="1:11">
      <c r="A1" s="2577" t="s">
        <v>249</v>
      </c>
      <c r="B1" s="2577"/>
      <c r="C1" s="2577"/>
      <c r="D1" s="2577"/>
      <c r="E1" s="2577"/>
      <c r="F1" s="2577"/>
      <c r="G1" s="2577"/>
      <c r="H1" s="2577"/>
      <c r="I1" s="277" t="s">
        <v>0</v>
      </c>
    </row>
    <row r="2" spans="1:11" ht="13.5" customHeight="1">
      <c r="A2" s="2579"/>
      <c r="B2" s="2579"/>
      <c r="C2" s="2579"/>
      <c r="D2" s="2579"/>
      <c r="E2" s="2579"/>
      <c r="F2" s="2579"/>
      <c r="G2" s="2579"/>
      <c r="H2" s="2579"/>
      <c r="I2" s="277" t="s">
        <v>0</v>
      </c>
    </row>
    <row r="3" spans="1:11">
      <c r="A3" s="2576" t="s">
        <v>319</v>
      </c>
      <c r="B3" s="2576"/>
      <c r="C3" s="2576"/>
      <c r="D3" s="2576"/>
      <c r="E3" s="2576"/>
      <c r="F3" s="2576"/>
      <c r="G3" s="2576"/>
      <c r="H3" s="2576"/>
      <c r="I3" s="277" t="s">
        <v>0</v>
      </c>
    </row>
    <row r="4" spans="1:11" ht="18.75">
      <c r="A4" s="1906"/>
      <c r="B4" s="1906"/>
      <c r="C4" s="1906"/>
      <c r="D4" s="1906"/>
      <c r="E4" s="1906"/>
      <c r="F4" s="1906"/>
      <c r="G4" s="1906"/>
      <c r="H4" s="1906"/>
      <c r="I4" s="277" t="s">
        <v>0</v>
      </c>
    </row>
    <row r="5" spans="1:11" ht="16.5">
      <c r="A5" s="1908"/>
      <c r="B5" s="1908"/>
      <c r="C5" s="1908"/>
      <c r="D5" s="1908"/>
      <c r="E5" s="1908"/>
      <c r="F5" s="1908"/>
      <c r="G5" s="1908"/>
      <c r="H5" s="1908"/>
      <c r="I5" s="277" t="s">
        <v>0</v>
      </c>
    </row>
    <row r="6" spans="1:11" ht="16.5">
      <c r="A6" s="1908"/>
      <c r="B6" s="1908"/>
      <c r="C6" s="1908"/>
      <c r="D6" s="1908"/>
      <c r="E6" s="1908"/>
      <c r="F6" s="1908"/>
      <c r="G6" s="1908"/>
      <c r="H6" s="1908"/>
      <c r="I6" s="277" t="s">
        <v>0</v>
      </c>
    </row>
    <row r="7" spans="1:11">
      <c r="A7" s="2578"/>
      <c r="B7" s="2578"/>
      <c r="C7" s="2578"/>
      <c r="D7" s="2578"/>
      <c r="E7" s="2578"/>
      <c r="F7" s="2578"/>
      <c r="G7" s="2578"/>
      <c r="H7" s="2578"/>
      <c r="I7" s="277" t="s">
        <v>0</v>
      </c>
    </row>
    <row r="8" spans="1:11">
      <c r="A8" s="2578"/>
      <c r="B8" s="2578"/>
      <c r="C8" s="2578"/>
      <c r="D8" s="2578"/>
      <c r="E8" s="2578"/>
      <c r="F8" s="2578"/>
      <c r="G8" s="2578"/>
      <c r="H8" s="2578"/>
      <c r="I8" s="277" t="s">
        <v>0</v>
      </c>
    </row>
    <row r="9" spans="1:11">
      <c r="A9" s="2575"/>
      <c r="B9" s="2575"/>
      <c r="C9" s="2575"/>
      <c r="D9" s="2575"/>
      <c r="E9" s="2575"/>
      <c r="F9" s="2575"/>
      <c r="G9" s="2575"/>
      <c r="H9" s="2575"/>
      <c r="I9" s="277" t="s">
        <v>0</v>
      </c>
    </row>
    <row r="10" spans="1:11">
      <c r="A10" s="280"/>
      <c r="B10" s="281"/>
      <c r="C10" s="280"/>
      <c r="D10" s="280"/>
      <c r="E10" s="280"/>
      <c r="F10" s="280"/>
      <c r="G10" s="280"/>
      <c r="H10" s="280"/>
      <c r="I10" s="277" t="s">
        <v>0</v>
      </c>
    </row>
    <row r="11" spans="1:11">
      <c r="A11" s="280"/>
      <c r="B11" s="281"/>
      <c r="C11" s="280"/>
      <c r="D11" s="281"/>
      <c r="E11" s="280"/>
      <c r="F11" s="280"/>
      <c r="G11" s="280"/>
      <c r="H11" s="280"/>
      <c r="I11" s="277" t="s">
        <v>0</v>
      </c>
    </row>
    <row r="12" spans="1:11">
      <c r="A12" s="280"/>
      <c r="B12" s="281"/>
      <c r="C12" s="280"/>
      <c r="D12" s="281"/>
      <c r="E12" s="280"/>
      <c r="F12" s="280"/>
      <c r="G12" s="280"/>
      <c r="H12" s="280"/>
      <c r="I12" s="277" t="s">
        <v>0</v>
      </c>
    </row>
    <row r="13" spans="1:11">
      <c r="A13" s="280"/>
      <c r="B13" s="281"/>
      <c r="C13" s="280"/>
      <c r="D13" s="280"/>
      <c r="E13" s="280"/>
      <c r="F13" s="280"/>
      <c r="G13" s="280"/>
      <c r="H13" s="280"/>
      <c r="I13" s="277" t="s">
        <v>0</v>
      </c>
    </row>
    <row r="14" spans="1:11" ht="36" customHeight="1">
      <c r="A14" s="280"/>
      <c r="B14" s="280"/>
      <c r="C14" s="280"/>
      <c r="D14" s="280"/>
      <c r="E14" s="280"/>
      <c r="F14" s="280"/>
      <c r="G14" s="280"/>
      <c r="H14" s="280"/>
      <c r="I14" s="277" t="s">
        <v>0</v>
      </c>
      <c r="J14" s="278"/>
      <c r="K14" s="278"/>
    </row>
    <row r="15" spans="1:11" ht="9.9499999999999993" customHeight="1">
      <c r="A15" s="280"/>
      <c r="B15" s="280"/>
      <c r="C15" s="280"/>
      <c r="D15" s="280"/>
      <c r="E15" s="280"/>
      <c r="F15" s="280"/>
      <c r="G15" s="280"/>
      <c r="H15" s="280"/>
      <c r="I15" s="277" t="s">
        <v>0</v>
      </c>
    </row>
    <row r="16" spans="1:11" ht="36" customHeight="1">
      <c r="A16" s="280"/>
      <c r="B16" s="280"/>
      <c r="C16" s="280"/>
      <c r="D16" s="280"/>
      <c r="E16" s="280"/>
      <c r="F16" s="280"/>
      <c r="G16" s="280"/>
      <c r="H16" s="280"/>
      <c r="I16" s="277" t="s">
        <v>0</v>
      </c>
      <c r="J16" s="278"/>
      <c r="K16" s="278"/>
    </row>
    <row r="17" spans="1:9" ht="9.9499999999999993" customHeight="1">
      <c r="A17" s="280"/>
      <c r="B17" s="280"/>
      <c r="C17" s="280"/>
      <c r="D17" s="280"/>
      <c r="E17" s="280"/>
      <c r="F17" s="280"/>
      <c r="G17" s="280"/>
      <c r="H17" s="280"/>
      <c r="I17" s="277" t="s">
        <v>0</v>
      </c>
    </row>
    <row r="18" spans="1:9" ht="30.75" customHeight="1">
      <c r="A18" s="280"/>
      <c r="B18" s="280"/>
      <c r="C18" s="280"/>
      <c r="D18" s="280"/>
      <c r="E18" s="280"/>
      <c r="F18" s="280"/>
      <c r="G18" s="280"/>
      <c r="H18" s="280"/>
      <c r="I18" s="277" t="s">
        <v>0</v>
      </c>
    </row>
    <row r="19" spans="1:9">
      <c r="A19" s="280"/>
      <c r="B19" s="280"/>
      <c r="C19" s="280"/>
      <c r="D19" s="280"/>
      <c r="E19" s="280"/>
      <c r="F19" s="280"/>
      <c r="G19" s="280"/>
      <c r="H19" s="280"/>
      <c r="I19" s="277" t="s">
        <v>0</v>
      </c>
    </row>
    <row r="20" spans="1:9">
      <c r="A20" s="280"/>
      <c r="B20" s="280"/>
      <c r="C20" s="280"/>
      <c r="D20" s="280"/>
      <c r="E20" s="280"/>
      <c r="F20" s="280"/>
      <c r="G20" s="280"/>
      <c r="H20" s="280"/>
      <c r="I20" s="277" t="s">
        <v>0</v>
      </c>
    </row>
    <row r="21" spans="1:9" ht="9.9499999999999993" customHeight="1">
      <c r="A21" s="280"/>
      <c r="B21" s="280"/>
      <c r="C21" s="280"/>
      <c r="D21" s="280"/>
      <c r="E21" s="280"/>
      <c r="F21" s="280"/>
      <c r="G21" s="280"/>
      <c r="H21" s="280"/>
      <c r="I21" s="277" t="s">
        <v>0</v>
      </c>
    </row>
    <row r="22" spans="1:9">
      <c r="A22" s="280"/>
      <c r="B22" s="280"/>
      <c r="C22" s="280"/>
      <c r="D22" s="280"/>
      <c r="E22" s="280"/>
      <c r="F22" s="280"/>
      <c r="G22" s="280"/>
      <c r="H22" s="280"/>
      <c r="I22" s="277" t="s">
        <v>0</v>
      </c>
    </row>
    <row r="23" spans="1:9">
      <c r="A23" s="280"/>
      <c r="B23" s="280"/>
      <c r="C23" s="280"/>
      <c r="D23" s="280"/>
      <c r="E23" s="280"/>
      <c r="F23" s="280"/>
      <c r="G23" s="280"/>
      <c r="H23" s="280"/>
      <c r="I23" s="277" t="s">
        <v>0</v>
      </c>
    </row>
    <row r="24" spans="1:9" ht="36.75" customHeight="1">
      <c r="A24" s="280"/>
      <c r="B24" s="280"/>
      <c r="C24" s="280"/>
      <c r="D24" s="279"/>
      <c r="E24" s="280"/>
      <c r="F24" s="280"/>
      <c r="G24" s="280"/>
      <c r="H24" s="280"/>
      <c r="I24" s="277" t="s">
        <v>0</v>
      </c>
    </row>
    <row r="25" spans="1:9">
      <c r="A25" s="280"/>
      <c r="B25" s="280"/>
      <c r="C25" s="280"/>
      <c r="D25" s="485"/>
      <c r="E25" s="485"/>
      <c r="F25" s="485"/>
      <c r="G25" s="485"/>
      <c r="H25" s="280"/>
      <c r="I25" s="277" t="s">
        <v>0</v>
      </c>
    </row>
    <row r="26" spans="1:9" ht="10.5" customHeight="1">
      <c r="A26" s="280"/>
      <c r="B26" s="280"/>
      <c r="C26" s="280"/>
      <c r="D26" s="279"/>
      <c r="E26" s="280"/>
      <c r="F26" s="280"/>
      <c r="G26" s="280"/>
      <c r="H26" s="280"/>
      <c r="I26" s="277" t="s">
        <v>0</v>
      </c>
    </row>
    <row r="27" spans="1:9" ht="9.9499999999999993" customHeight="1">
      <c r="A27" s="280"/>
      <c r="B27" s="280"/>
      <c r="C27" s="280"/>
      <c r="D27" s="280"/>
      <c r="E27" s="280"/>
      <c r="F27" s="280"/>
      <c r="G27" s="280"/>
      <c r="H27" s="280"/>
      <c r="I27" s="277" t="s">
        <v>0</v>
      </c>
    </row>
    <row r="28" spans="1:9">
      <c r="A28" s="280"/>
      <c r="B28" s="280"/>
      <c r="C28" s="280"/>
      <c r="D28" s="280"/>
      <c r="E28" s="280"/>
      <c r="F28" s="280"/>
      <c r="G28" s="280"/>
      <c r="H28" s="280"/>
      <c r="I28" s="277" t="s">
        <v>0</v>
      </c>
    </row>
    <row r="29" spans="1:9">
      <c r="A29" s="280"/>
      <c r="B29" s="280"/>
      <c r="C29" s="280"/>
      <c r="D29" s="280"/>
      <c r="E29" s="280"/>
      <c r="F29" s="280"/>
      <c r="G29" s="280"/>
      <c r="H29" s="280"/>
      <c r="I29" s="277" t="s">
        <v>0</v>
      </c>
    </row>
    <row r="30" spans="1:9" ht="15.75" customHeight="1">
      <c r="A30" s="280"/>
      <c r="B30" s="280"/>
      <c r="C30" s="280"/>
      <c r="D30" s="485"/>
      <c r="E30" s="485"/>
      <c r="F30" s="280"/>
      <c r="G30" s="280"/>
      <c r="H30" s="280"/>
      <c r="I30" s="277" t="s">
        <v>0</v>
      </c>
    </row>
    <row r="31" spans="1:9" ht="9.9499999999999993" customHeight="1">
      <c r="A31" s="280"/>
      <c r="B31" s="280"/>
      <c r="C31" s="280"/>
      <c r="D31" s="280"/>
      <c r="E31" s="280"/>
      <c r="F31" s="280"/>
      <c r="G31" s="280"/>
      <c r="H31" s="280"/>
      <c r="I31" s="277" t="s">
        <v>0</v>
      </c>
    </row>
    <row r="32" spans="1:9">
      <c r="A32" s="280"/>
      <c r="B32" s="280"/>
      <c r="C32" s="280"/>
      <c r="D32" s="487"/>
      <c r="E32" s="280"/>
      <c r="F32" s="280"/>
      <c r="G32" s="280"/>
      <c r="H32" s="280"/>
      <c r="I32" s="277" t="s">
        <v>0</v>
      </c>
    </row>
    <row r="33" spans="1:9" ht="36" customHeight="1">
      <c r="A33" s="280"/>
      <c r="B33" s="278"/>
      <c r="C33" s="278"/>
      <c r="D33" s="486"/>
      <c r="E33" s="486"/>
      <c r="F33" s="280"/>
      <c r="G33" s="280"/>
      <c r="H33" s="280"/>
      <c r="I33" s="277" t="s">
        <v>24</v>
      </c>
    </row>
    <row r="34" spans="1:9">
      <c r="B34" s="282"/>
    </row>
    <row r="35" spans="1:9">
      <c r="B35" s="284"/>
    </row>
    <row r="36" spans="1:9">
      <c r="A36" s="2554" t="s">
        <v>275</v>
      </c>
      <c r="B36" s="2571"/>
      <c r="C36" s="2571"/>
      <c r="D36" s="2571"/>
      <c r="E36" s="2571"/>
      <c r="F36" s="2571"/>
      <c r="G36" s="2571"/>
      <c r="H36" s="2571"/>
    </row>
    <row r="37" spans="1:9">
      <c r="A37" s="260"/>
      <c r="B37" s="285" t="s">
        <v>250</v>
      </c>
      <c r="C37" s="286"/>
      <c r="D37" s="286"/>
      <c r="E37" s="286"/>
      <c r="F37" s="286"/>
      <c r="G37" s="286"/>
      <c r="H37" s="286"/>
    </row>
    <row r="38" spans="1:9">
      <c r="A38" s="287"/>
      <c r="B38" s="288"/>
      <c r="C38" s="288"/>
      <c r="D38" s="288"/>
      <c r="E38" s="288"/>
      <c r="F38" s="288"/>
      <c r="G38" s="288"/>
      <c r="H38" s="288"/>
    </row>
    <row r="39" spans="1:9">
      <c r="A39" s="2572"/>
      <c r="B39" s="2573"/>
      <c r="C39" s="2573"/>
      <c r="D39" s="2573"/>
      <c r="E39" s="2573"/>
      <c r="F39" s="2573"/>
      <c r="G39" s="2573"/>
      <c r="H39" s="2573"/>
    </row>
    <row r="40" spans="1:9">
      <c r="A40" s="289"/>
      <c r="B40" s="290"/>
      <c r="C40" s="290"/>
      <c r="D40" s="290"/>
      <c r="E40" s="290"/>
      <c r="F40" s="290"/>
      <c r="G40" s="290"/>
      <c r="H40" s="290"/>
    </row>
    <row r="41" spans="1:9">
      <c r="A41" s="2574"/>
      <c r="B41" s="2573"/>
      <c r="C41" s="2573"/>
      <c r="D41" s="2573"/>
      <c r="E41" s="2573"/>
      <c r="F41" s="2573"/>
      <c r="G41" s="2573"/>
      <c r="H41" s="2573"/>
    </row>
    <row r="42" spans="1:9">
      <c r="A42" s="283"/>
      <c r="B42" s="291"/>
      <c r="C42" s="283"/>
      <c r="D42" s="283"/>
      <c r="E42" s="283"/>
      <c r="F42" s="283"/>
      <c r="G42" s="283"/>
      <c r="H42" s="283"/>
    </row>
  </sheetData>
  <mergeCells count="12">
    <mergeCell ref="A1:H1"/>
    <mergeCell ref="A8:H8"/>
    <mergeCell ref="A7:H7"/>
    <mergeCell ref="A4:H4"/>
    <mergeCell ref="A5:H5"/>
    <mergeCell ref="A6:H6"/>
    <mergeCell ref="A2:H2"/>
    <mergeCell ref="A39:H39"/>
    <mergeCell ref="A41:H41"/>
    <mergeCell ref="A36:H36"/>
    <mergeCell ref="A9:H9"/>
    <mergeCell ref="A3:H3"/>
  </mergeCells>
  <phoneticPr fontId="48"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7.xml><?xml version="1.0" encoding="utf-8"?>
<worksheet xmlns="http://schemas.openxmlformats.org/spreadsheetml/2006/main" xmlns:r="http://schemas.openxmlformats.org/officeDocument/2006/relationships">
  <sheetPr codeName="Sheet13">
    <pageSetUpPr fitToPage="1"/>
  </sheetPr>
  <dimension ref="A1:AF30"/>
  <sheetViews>
    <sheetView showGridLines="0" showOutlineSymbols="0" view="pageBreakPreview" zoomScale="75" zoomScaleNormal="75" workbookViewId="0">
      <selection activeCell="B17" sqref="B17"/>
    </sheetView>
  </sheetViews>
  <sheetFormatPr defaultColWidth="9.6640625" defaultRowHeight="15.75"/>
  <cols>
    <col min="1" max="1" width="4.44140625" style="20" customWidth="1"/>
    <col min="2" max="2" width="45.6640625" style="20" customWidth="1"/>
    <col min="3" max="3" width="6.5546875" style="20" customWidth="1"/>
    <col min="4" max="4" width="5.6640625" style="20" customWidth="1"/>
    <col min="5" max="5" width="10.44140625" style="20" bestFit="1" customWidth="1"/>
    <col min="6" max="7" width="5.6640625" style="20" customWidth="1"/>
    <col min="8" max="8" width="11.77734375" style="20" customWidth="1"/>
    <col min="9" max="10" width="5.6640625" style="20" customWidth="1"/>
    <col min="11" max="11" width="10.44140625" style="20" bestFit="1" customWidth="1"/>
    <col min="12" max="13" width="5.6640625" style="20" customWidth="1"/>
    <col min="14" max="14" width="7.6640625" style="20" customWidth="1"/>
    <col min="15" max="15" width="1.21875" style="101" customWidth="1"/>
    <col min="16" max="16" width="27.5546875" style="20" customWidth="1"/>
    <col min="17" max="20" width="7.6640625" style="20" customWidth="1"/>
    <col min="21" max="21" width="3.6640625" style="20" customWidth="1"/>
    <col min="22" max="24" width="7.6640625" style="20" customWidth="1"/>
    <col min="25" max="25" width="3.6640625" style="20" customWidth="1"/>
    <col min="26" max="28" width="7.6640625" style="20" customWidth="1"/>
    <col min="29" max="29" width="3.6640625" style="20" customWidth="1"/>
    <col min="30" max="32" width="7.6640625" style="20" customWidth="1"/>
    <col min="33" max="16384" width="9.6640625" style="20"/>
  </cols>
  <sheetData>
    <row r="1" spans="1:32" ht="20.25">
      <c r="A1" s="1799" t="s">
        <v>31</v>
      </c>
      <c r="B1" s="1911"/>
      <c r="C1" s="1911"/>
      <c r="D1" s="1911"/>
      <c r="E1" s="1911"/>
      <c r="F1" s="1911"/>
      <c r="G1" s="1911"/>
      <c r="H1" s="1911"/>
      <c r="I1" s="1911"/>
      <c r="J1" s="1911"/>
      <c r="K1" s="1911"/>
      <c r="L1" s="1911"/>
      <c r="M1" s="1911"/>
      <c r="N1" s="1911"/>
      <c r="O1" s="100" t="s">
        <v>0</v>
      </c>
      <c r="P1" s="1"/>
      <c r="Q1" s="1"/>
      <c r="R1" s="1"/>
      <c r="S1" s="1"/>
      <c r="T1" s="1"/>
      <c r="U1" s="1"/>
    </row>
    <row r="2" spans="1:32" ht="13.9" customHeight="1">
      <c r="A2" s="19"/>
      <c r="B2" s="7"/>
      <c r="C2" s="7"/>
      <c r="D2" s="7"/>
      <c r="E2" s="7"/>
      <c r="F2" s="7"/>
      <c r="G2" s="7"/>
      <c r="H2" s="7"/>
      <c r="I2" s="7"/>
      <c r="J2" s="7"/>
      <c r="K2" s="7"/>
      <c r="L2" s="7"/>
      <c r="M2" s="7"/>
      <c r="N2" s="7"/>
      <c r="O2" s="100" t="s">
        <v>0</v>
      </c>
      <c r="P2" s="1"/>
      <c r="Q2" s="1"/>
      <c r="R2" s="1"/>
      <c r="S2" s="1"/>
      <c r="T2" s="1"/>
      <c r="U2" s="1"/>
    </row>
    <row r="3" spans="1:32" ht="18.75">
      <c r="A3" s="1912" t="s">
        <v>101</v>
      </c>
      <c r="B3" s="1913"/>
      <c r="C3" s="1913"/>
      <c r="D3" s="1913"/>
      <c r="E3" s="1913"/>
      <c r="F3" s="1913"/>
      <c r="G3" s="1913"/>
      <c r="H3" s="1913"/>
      <c r="I3" s="1913"/>
      <c r="J3" s="1913"/>
      <c r="K3" s="1913"/>
      <c r="L3" s="1913"/>
      <c r="M3" s="1913"/>
      <c r="N3" s="1913"/>
      <c r="O3" s="100" t="s">
        <v>0</v>
      </c>
      <c r="P3" s="1"/>
      <c r="Q3" s="1"/>
      <c r="R3" s="1"/>
      <c r="S3" s="1"/>
      <c r="T3" s="1"/>
      <c r="U3" s="1"/>
    </row>
    <row r="4" spans="1:32" ht="16.5">
      <c r="A4" s="1914" t="str">
        <f>+'B. Summ of Reqs - S&amp;E '!A5</f>
        <v>Office of Justice Programs</v>
      </c>
      <c r="B4" s="1915"/>
      <c r="C4" s="1915"/>
      <c r="D4" s="1915"/>
      <c r="E4" s="1915"/>
      <c r="F4" s="1915"/>
      <c r="G4" s="1915"/>
      <c r="H4" s="1915"/>
      <c r="I4" s="1915"/>
      <c r="J4" s="1915"/>
      <c r="K4" s="1915"/>
      <c r="L4" s="1915"/>
      <c r="M4" s="1915"/>
      <c r="N4" s="1915"/>
      <c r="O4" s="100" t="s">
        <v>0</v>
      </c>
      <c r="P4" s="1"/>
      <c r="Q4" s="1"/>
      <c r="R4" s="1"/>
      <c r="S4" s="1"/>
      <c r="T4" s="1"/>
      <c r="U4" s="1"/>
    </row>
    <row r="5" spans="1:32" ht="16.5">
      <c r="A5" s="1914" t="str">
        <f>+'B. Summ of Reqs - S&amp;E '!A6</f>
        <v>Salaries and Expenses</v>
      </c>
      <c r="B5" s="1913"/>
      <c r="C5" s="1913"/>
      <c r="D5" s="1913"/>
      <c r="E5" s="1913"/>
      <c r="F5" s="1913"/>
      <c r="G5" s="1913"/>
      <c r="H5" s="1913"/>
      <c r="I5" s="1913"/>
      <c r="J5" s="1913"/>
      <c r="K5" s="1913"/>
      <c r="L5" s="1913"/>
      <c r="M5" s="1913"/>
      <c r="N5" s="1913"/>
      <c r="O5" s="100" t="s">
        <v>0</v>
      </c>
      <c r="P5" s="1"/>
      <c r="Q5" s="1"/>
      <c r="R5" s="1"/>
      <c r="S5" s="1"/>
      <c r="T5" s="1"/>
      <c r="U5" s="1"/>
    </row>
    <row r="6" spans="1:32">
      <c r="A6" s="1916" t="s">
        <v>257</v>
      </c>
      <c r="B6" s="1915"/>
      <c r="C6" s="1915"/>
      <c r="D6" s="1915"/>
      <c r="E6" s="1915"/>
      <c r="F6" s="1915"/>
      <c r="G6" s="1915"/>
      <c r="H6" s="1915"/>
      <c r="I6" s="1915"/>
      <c r="J6" s="1915"/>
      <c r="K6" s="1915"/>
      <c r="L6" s="1915"/>
      <c r="M6" s="1915"/>
      <c r="N6" s="1915"/>
      <c r="O6" s="100" t="s">
        <v>0</v>
      </c>
      <c r="P6" s="1"/>
      <c r="Q6" s="1"/>
      <c r="R6" s="1"/>
      <c r="S6" s="1"/>
      <c r="T6" s="1"/>
      <c r="U6" s="1"/>
    </row>
    <row r="7" spans="1:32">
      <c r="A7" s="7"/>
      <c r="B7" s="7"/>
      <c r="C7" s="7"/>
      <c r="D7" s="7"/>
      <c r="E7" s="7"/>
      <c r="F7" s="340"/>
      <c r="G7" s="340"/>
      <c r="H7" s="340"/>
      <c r="I7" s="7"/>
      <c r="J7" s="7"/>
      <c r="K7" s="7"/>
      <c r="L7" s="7"/>
      <c r="M7" s="7"/>
      <c r="N7" s="7"/>
      <c r="O7" s="100" t="s">
        <v>0</v>
      </c>
      <c r="P7" s="1"/>
      <c r="Q7" s="1"/>
      <c r="R7" s="1"/>
      <c r="S7" s="1"/>
      <c r="T7" s="1"/>
      <c r="U7" s="1"/>
    </row>
    <row r="8" spans="1:32">
      <c r="A8" s="1768" t="s">
        <v>273</v>
      </c>
      <c r="B8" s="1917"/>
      <c r="C8" s="1920" t="s">
        <v>351</v>
      </c>
      <c r="D8" s="1921"/>
      <c r="E8" s="1922"/>
      <c r="F8" s="1920" t="s">
        <v>352</v>
      </c>
      <c r="G8" s="1921"/>
      <c r="H8" s="1922"/>
      <c r="I8" s="1920" t="s">
        <v>42</v>
      </c>
      <c r="J8" s="1921"/>
      <c r="K8" s="1922"/>
      <c r="L8" s="1920" t="s">
        <v>44</v>
      </c>
      <c r="M8" s="1921"/>
      <c r="N8" s="1922"/>
      <c r="O8" s="100" t="s">
        <v>0</v>
      </c>
      <c r="P8" s="1"/>
      <c r="Q8" s="1"/>
      <c r="R8" s="1"/>
      <c r="S8" s="1"/>
      <c r="T8" s="1"/>
      <c r="U8" s="1"/>
    </row>
    <row r="9" spans="1:32" ht="16.5" thickBot="1">
      <c r="A9" s="1918"/>
      <c r="B9" s="1919"/>
      <c r="C9" s="320" t="s">
        <v>277</v>
      </c>
      <c r="D9" s="321" t="s">
        <v>49</v>
      </c>
      <c r="E9" s="322" t="s">
        <v>279</v>
      </c>
      <c r="F9" s="320" t="s">
        <v>277</v>
      </c>
      <c r="G9" s="321" t="s">
        <v>49</v>
      </c>
      <c r="H9" s="321" t="s">
        <v>279</v>
      </c>
      <c r="I9" s="320" t="s">
        <v>277</v>
      </c>
      <c r="J9" s="321" t="s">
        <v>49</v>
      </c>
      <c r="K9" s="321" t="s">
        <v>279</v>
      </c>
      <c r="L9" s="320" t="s">
        <v>277</v>
      </c>
      <c r="M9" s="321" t="s">
        <v>49</v>
      </c>
      <c r="N9" s="322" t="s">
        <v>279</v>
      </c>
      <c r="O9" s="100" t="s">
        <v>0</v>
      </c>
      <c r="P9" s="1"/>
      <c r="Q9" s="1"/>
      <c r="R9" s="1"/>
      <c r="S9" s="1"/>
      <c r="T9" s="1"/>
      <c r="U9" s="1"/>
    </row>
    <row r="10" spans="1:32">
      <c r="A10" s="1731" t="s">
        <v>373</v>
      </c>
      <c r="B10" s="1733"/>
      <c r="C10" s="240"/>
      <c r="D10" s="188"/>
      <c r="E10" s="115">
        <v>306</v>
      </c>
      <c r="F10" s="240"/>
      <c r="G10" s="188"/>
      <c r="H10" s="188">
        <v>0</v>
      </c>
      <c r="I10" s="240"/>
      <c r="J10" s="188"/>
      <c r="K10" s="188">
        <v>0</v>
      </c>
      <c r="L10" s="240"/>
      <c r="M10" s="188"/>
      <c r="N10" s="115">
        <f>K10-E10</f>
        <v>-306</v>
      </c>
      <c r="O10" s="100" t="s">
        <v>0</v>
      </c>
      <c r="P10" s="1"/>
      <c r="Q10" s="1"/>
      <c r="R10" s="1"/>
      <c r="S10" s="1"/>
      <c r="T10" s="1"/>
      <c r="U10" s="1"/>
    </row>
    <row r="11" spans="1:32">
      <c r="A11" s="1711" t="s">
        <v>374</v>
      </c>
      <c r="B11" s="1738"/>
      <c r="C11" s="240"/>
      <c r="D11" s="188"/>
      <c r="E11" s="115">
        <v>8728</v>
      </c>
      <c r="F11" s="240"/>
      <c r="G11" s="188"/>
      <c r="H11" s="188">
        <v>11700</v>
      </c>
      <c r="I11" s="240"/>
      <c r="J11" s="188"/>
      <c r="K11" s="188">
        <v>12168</v>
      </c>
      <c r="L11" s="240"/>
      <c r="M11" s="188"/>
      <c r="N11" s="115">
        <f t="shared" ref="N11:N13" si="0">K11-E11</f>
        <v>3440</v>
      </c>
      <c r="O11" s="100" t="s">
        <v>0</v>
      </c>
      <c r="P11" s="1"/>
      <c r="Q11" s="1"/>
      <c r="R11" s="1"/>
      <c r="S11" s="1"/>
      <c r="T11" s="1"/>
      <c r="U11" s="1"/>
    </row>
    <row r="12" spans="1:32">
      <c r="A12" s="1711" t="s">
        <v>375</v>
      </c>
      <c r="B12" s="1738"/>
      <c r="C12" s="240"/>
      <c r="D12" s="188"/>
      <c r="E12" s="115">
        <v>550</v>
      </c>
      <c r="F12" s="240"/>
      <c r="G12" s="188"/>
      <c r="H12" s="188">
        <v>550</v>
      </c>
      <c r="I12" s="240"/>
      <c r="J12" s="188"/>
      <c r="K12" s="188">
        <v>1018</v>
      </c>
      <c r="L12" s="240"/>
      <c r="M12" s="188"/>
      <c r="N12" s="115">
        <f t="shared" si="0"/>
        <v>468</v>
      </c>
      <c r="O12" s="100" t="s">
        <v>0</v>
      </c>
      <c r="P12" s="1"/>
      <c r="Q12" s="1"/>
      <c r="R12" s="1"/>
      <c r="S12" s="1"/>
      <c r="T12" s="1"/>
      <c r="U12" s="1"/>
    </row>
    <row r="13" spans="1:32">
      <c r="A13" s="1924" t="s">
        <v>376</v>
      </c>
      <c r="B13" s="1925"/>
      <c r="C13" s="323"/>
      <c r="D13" s="324"/>
      <c r="E13" s="325">
        <v>700</v>
      </c>
      <c r="F13" s="323"/>
      <c r="G13" s="324"/>
      <c r="H13" s="324">
        <v>700</v>
      </c>
      <c r="I13" s="323"/>
      <c r="J13" s="324"/>
      <c r="K13" s="324">
        <v>1168</v>
      </c>
      <c r="L13" s="605"/>
      <c r="M13" s="606"/>
      <c r="N13" s="607">
        <f t="shared" si="0"/>
        <v>468</v>
      </c>
      <c r="O13" s="100" t="s">
        <v>0</v>
      </c>
      <c r="P13" s="9"/>
      <c r="Q13" s="9"/>
      <c r="R13" s="1"/>
      <c r="S13" s="1"/>
      <c r="T13" s="1"/>
      <c r="U13" s="1"/>
    </row>
    <row r="14" spans="1:32">
      <c r="A14" s="1923"/>
      <c r="B14" s="1763"/>
      <c r="C14" s="402"/>
      <c r="D14" s="403"/>
      <c r="E14" s="404"/>
      <c r="F14" s="402"/>
      <c r="G14" s="405"/>
      <c r="H14" s="405"/>
      <c r="I14" s="402"/>
      <c r="J14" s="405"/>
      <c r="K14" s="405"/>
      <c r="L14" s="402"/>
      <c r="M14" s="405"/>
      <c r="N14" s="404"/>
      <c r="O14" s="100" t="s">
        <v>0</v>
      </c>
      <c r="P14" s="1"/>
      <c r="Q14" s="1"/>
      <c r="R14" s="1"/>
      <c r="S14" s="1"/>
      <c r="T14" s="1"/>
      <c r="U14" s="1"/>
    </row>
    <row r="15" spans="1:32">
      <c r="A15" s="1926" t="s">
        <v>274</v>
      </c>
      <c r="B15" s="1927"/>
      <c r="C15" s="327">
        <f>SUM(C10:C14)</f>
        <v>0</v>
      </c>
      <c r="D15" s="328">
        <f t="shared" ref="D15:M15" si="1">SUM(D10:D14)</f>
        <v>0</v>
      </c>
      <c r="E15" s="330">
        <f t="shared" si="1"/>
        <v>10284</v>
      </c>
      <c r="F15" s="327">
        <f t="shared" si="1"/>
        <v>0</v>
      </c>
      <c r="G15" s="328">
        <f t="shared" si="1"/>
        <v>0</v>
      </c>
      <c r="H15" s="329">
        <f>SUM(H10:H14)</f>
        <v>12950</v>
      </c>
      <c r="I15" s="327">
        <f t="shared" si="1"/>
        <v>0</v>
      </c>
      <c r="J15" s="328">
        <f t="shared" si="1"/>
        <v>0</v>
      </c>
      <c r="K15" s="329">
        <f t="shared" si="1"/>
        <v>14354</v>
      </c>
      <c r="L15" s="327">
        <f>SUM(L10:L14)</f>
        <v>0</v>
      </c>
      <c r="M15" s="328">
        <f t="shared" si="1"/>
        <v>0</v>
      </c>
      <c r="N15" s="330">
        <f>SUM(N10:N14)</f>
        <v>4070</v>
      </c>
      <c r="O15" s="100" t="s">
        <v>24</v>
      </c>
      <c r="P15" s="1"/>
      <c r="Q15" s="1"/>
      <c r="R15" s="1"/>
      <c r="S15" s="1"/>
      <c r="T15" s="1"/>
      <c r="U15" s="1"/>
    </row>
    <row r="16" spans="1:32">
      <c r="A16" s="1"/>
      <c r="B16" s="1"/>
      <c r="C16" s="2"/>
      <c r="D16" s="2"/>
      <c r="E16" s="2"/>
      <c r="F16" s="2"/>
      <c r="G16" s="2"/>
      <c r="H16" s="2"/>
      <c r="I16" s="2"/>
      <c r="J16" s="2"/>
      <c r="K16" s="2"/>
      <c r="L16" s="2"/>
      <c r="M16" s="2"/>
      <c r="N16" s="2"/>
      <c r="P16" s="21"/>
      <c r="Q16" s="21"/>
      <c r="R16" s="21"/>
      <c r="S16" s="21"/>
      <c r="T16" s="21"/>
      <c r="U16" s="21"/>
      <c r="V16" s="21"/>
      <c r="W16" s="21"/>
      <c r="X16" s="21"/>
      <c r="Y16" s="21"/>
      <c r="Z16" s="21"/>
      <c r="AA16" s="21"/>
      <c r="AB16" s="21"/>
      <c r="AC16" s="21"/>
      <c r="AD16" s="21"/>
      <c r="AE16" s="21"/>
      <c r="AF16" s="21"/>
    </row>
    <row r="17" spans="1:32">
      <c r="A17" s="34"/>
      <c r="B17" s="34"/>
      <c r="C17" s="95"/>
      <c r="D17" s="95"/>
      <c r="E17" s="95"/>
      <c r="F17" s="95"/>
      <c r="G17" s="95"/>
      <c r="H17" s="95"/>
      <c r="I17" s="95"/>
      <c r="J17" s="95"/>
      <c r="K17" s="95"/>
      <c r="L17" s="95"/>
      <c r="M17" s="95"/>
      <c r="N17" s="95"/>
      <c r="P17" s="21"/>
      <c r="Q17" s="21"/>
      <c r="R17" s="21"/>
      <c r="S17" s="21"/>
      <c r="T17" s="21"/>
      <c r="U17" s="21"/>
      <c r="V17" s="21"/>
      <c r="W17" s="21"/>
      <c r="X17" s="21"/>
      <c r="Y17" s="21"/>
      <c r="Z17" s="21"/>
      <c r="AA17" s="21"/>
      <c r="AB17" s="21"/>
      <c r="AC17" s="21"/>
      <c r="AD17" s="21"/>
      <c r="AE17" s="21"/>
      <c r="AF17" s="21"/>
    </row>
    <row r="18" spans="1:32">
      <c r="A18" s="38"/>
      <c r="B18" s="38"/>
      <c r="C18" s="38"/>
      <c r="D18" s="38"/>
      <c r="E18" s="38"/>
      <c r="F18" s="38"/>
      <c r="G18" s="38"/>
      <c r="H18" s="38"/>
      <c r="I18" s="38"/>
      <c r="J18" s="38"/>
      <c r="K18" s="38"/>
      <c r="L18" s="38"/>
      <c r="M18" s="38"/>
      <c r="N18" s="38"/>
      <c r="P18" s="21"/>
      <c r="Q18" s="21"/>
      <c r="R18" s="21"/>
      <c r="S18" s="21"/>
      <c r="T18" s="21"/>
      <c r="U18" s="21"/>
      <c r="V18" s="21"/>
      <c r="W18" s="21"/>
      <c r="X18" s="21"/>
      <c r="Y18" s="21"/>
      <c r="Z18" s="21"/>
      <c r="AA18" s="21"/>
      <c r="AB18" s="21"/>
      <c r="AC18" s="21"/>
      <c r="AD18" s="21"/>
      <c r="AE18" s="21"/>
      <c r="AF18" s="21"/>
    </row>
    <row r="19" spans="1:32" ht="18">
      <c r="A19" s="74"/>
      <c r="B19" s="82"/>
      <c r="C19" s="82"/>
      <c r="D19" s="82"/>
      <c r="E19" s="82"/>
      <c r="F19" s="82"/>
      <c r="G19" s="82"/>
      <c r="H19" s="82"/>
      <c r="I19" s="82"/>
      <c r="J19" s="82"/>
      <c r="K19" s="82"/>
      <c r="L19" s="82"/>
      <c r="M19" s="82"/>
      <c r="N19" s="82"/>
      <c r="P19" s="22"/>
      <c r="Q19" s="23"/>
      <c r="R19" s="23"/>
      <c r="S19" s="23"/>
      <c r="T19" s="23"/>
      <c r="U19" s="23"/>
      <c r="V19" s="23"/>
      <c r="W19" s="23"/>
      <c r="X19" s="23"/>
      <c r="Y19" s="23"/>
      <c r="Z19" s="23"/>
      <c r="AA19" s="23"/>
      <c r="AB19" s="23"/>
      <c r="AC19" s="23"/>
      <c r="AD19" s="23"/>
      <c r="AE19" s="23"/>
      <c r="AF19" s="23"/>
    </row>
    <row r="20" spans="1:32" ht="18">
      <c r="A20" s="74"/>
      <c r="B20" s="82"/>
      <c r="C20" s="82"/>
      <c r="D20" s="82"/>
      <c r="E20" s="82"/>
      <c r="F20" s="82"/>
      <c r="G20" s="82"/>
      <c r="H20" s="82"/>
      <c r="I20" s="82"/>
      <c r="J20" s="82"/>
      <c r="K20" s="82"/>
      <c r="L20" s="82"/>
      <c r="M20" s="82"/>
      <c r="N20" s="82"/>
      <c r="P20" s="22"/>
      <c r="Q20" s="23"/>
      <c r="R20" s="23"/>
      <c r="S20" s="23"/>
      <c r="T20" s="23"/>
      <c r="U20" s="23"/>
      <c r="V20" s="23"/>
      <c r="W20" s="23"/>
      <c r="X20" s="23"/>
      <c r="Y20" s="23"/>
      <c r="Z20" s="23"/>
      <c r="AA20" s="23"/>
      <c r="AB20" s="23"/>
      <c r="AC20" s="23"/>
      <c r="AD20" s="23"/>
      <c r="AE20" s="23"/>
      <c r="AF20" s="23"/>
    </row>
    <row r="21" spans="1:32" ht="42.75" customHeight="1">
      <c r="A21" s="1929"/>
      <c r="B21" s="1929"/>
      <c r="C21" s="1929"/>
      <c r="D21" s="1929"/>
      <c r="E21" s="1929"/>
      <c r="F21" s="1929"/>
      <c r="G21" s="1929"/>
      <c r="H21" s="1929"/>
      <c r="I21" s="1929"/>
      <c r="J21" s="1929"/>
      <c r="K21" s="1929"/>
      <c r="L21" s="1929"/>
      <c r="M21" s="1929"/>
      <c r="N21" s="1930"/>
      <c r="P21" s="22"/>
      <c r="Q21" s="23"/>
      <c r="R21" s="23"/>
      <c r="S21" s="23"/>
      <c r="T21" s="23"/>
      <c r="U21" s="23"/>
      <c r="V21" s="23"/>
      <c r="W21" s="23"/>
      <c r="X21" s="23"/>
      <c r="Y21" s="23"/>
      <c r="Z21" s="23"/>
      <c r="AA21" s="23"/>
      <c r="AB21" s="23"/>
      <c r="AC21" s="23"/>
      <c r="AD21" s="23"/>
      <c r="AE21" s="23"/>
      <c r="AF21" s="23"/>
    </row>
    <row r="22" spans="1:32">
      <c r="A22" s="73"/>
      <c r="B22" s="73"/>
      <c r="C22" s="73"/>
      <c r="D22" s="73"/>
      <c r="E22" s="73"/>
      <c r="F22" s="73"/>
      <c r="G22" s="73"/>
      <c r="H22" s="73"/>
      <c r="I22" s="73"/>
      <c r="J22" s="73"/>
      <c r="K22" s="73"/>
      <c r="L22" s="73"/>
      <c r="M22" s="73"/>
      <c r="N22" s="73"/>
      <c r="P22" s="21"/>
      <c r="Q22" s="21"/>
      <c r="R22" s="21"/>
      <c r="S22" s="21"/>
      <c r="T22" s="21"/>
      <c r="U22" s="21"/>
      <c r="V22" s="21"/>
      <c r="W22" s="21"/>
      <c r="X22" s="21"/>
      <c r="Y22" s="21"/>
      <c r="Z22" s="21"/>
      <c r="AA22" s="21"/>
      <c r="AB22" s="21"/>
      <c r="AC22" s="21"/>
      <c r="AD22" s="21"/>
      <c r="AE22" s="21"/>
      <c r="AF22" s="21"/>
    </row>
    <row r="23" spans="1:32" ht="96.75" customHeight="1">
      <c r="A23" s="1933"/>
      <c r="B23" s="1934"/>
      <c r="C23" s="1934"/>
      <c r="D23" s="1934"/>
      <c r="E23" s="1934"/>
      <c r="F23" s="1934"/>
      <c r="G23" s="1934"/>
      <c r="H23" s="1934"/>
      <c r="I23" s="1934"/>
      <c r="J23" s="1934"/>
      <c r="K23" s="1934"/>
      <c r="L23" s="1934"/>
      <c r="M23" s="1934"/>
      <c r="N23" s="1934"/>
      <c r="P23" s="21"/>
      <c r="Q23" s="21"/>
      <c r="R23" s="21"/>
      <c r="S23" s="21"/>
      <c r="T23" s="21"/>
      <c r="U23" s="21"/>
      <c r="V23" s="21"/>
      <c r="W23" s="21"/>
      <c r="X23" s="21"/>
      <c r="Y23" s="21"/>
      <c r="Z23" s="21"/>
      <c r="AA23" s="21"/>
      <c r="AB23" s="21"/>
      <c r="AC23" s="21"/>
      <c r="AD23" s="21"/>
      <c r="AE23" s="21"/>
      <c r="AF23" s="21"/>
    </row>
    <row r="24" spans="1:32" ht="18.75" customHeight="1">
      <c r="A24" s="318"/>
      <c r="B24" s="318"/>
      <c r="C24" s="318"/>
      <c r="D24" s="318"/>
      <c r="E24" s="318"/>
      <c r="F24" s="318"/>
      <c r="G24" s="318"/>
      <c r="H24" s="318"/>
      <c r="I24" s="318"/>
      <c r="J24" s="318"/>
      <c r="K24" s="318"/>
      <c r="L24" s="318"/>
      <c r="M24" s="318"/>
      <c r="N24" s="318"/>
      <c r="P24" s="21"/>
      <c r="Q24" s="21"/>
      <c r="R24" s="21"/>
      <c r="S24" s="21"/>
      <c r="T24" s="21"/>
      <c r="U24" s="21"/>
      <c r="V24" s="21"/>
      <c r="W24" s="21"/>
      <c r="X24" s="21"/>
      <c r="Y24" s="21"/>
      <c r="Z24" s="21"/>
      <c r="AA24" s="21"/>
      <c r="AB24" s="21"/>
      <c r="AC24" s="21"/>
      <c r="AD24" s="21"/>
      <c r="AE24" s="21"/>
      <c r="AF24" s="21"/>
    </row>
    <row r="25" spans="1:32" ht="15.75" customHeight="1">
      <c r="A25" s="1931"/>
      <c r="B25" s="1932"/>
      <c r="C25" s="1932"/>
      <c r="D25" s="1932"/>
      <c r="E25" s="1932"/>
      <c r="F25" s="1932"/>
      <c r="G25" s="1932"/>
      <c r="H25" s="1932"/>
      <c r="I25" s="1932"/>
      <c r="J25" s="1932"/>
      <c r="K25" s="1932"/>
      <c r="L25" s="1932"/>
      <c r="M25" s="1932"/>
      <c r="N25" s="1932"/>
      <c r="P25" s="21"/>
      <c r="Q25" s="21"/>
      <c r="R25" s="21"/>
      <c r="S25" s="21"/>
      <c r="T25" s="21"/>
      <c r="U25" s="21"/>
      <c r="V25" s="21"/>
      <c r="W25" s="21"/>
      <c r="X25" s="21"/>
      <c r="Y25" s="21"/>
      <c r="Z25" s="21"/>
      <c r="AA25" s="21"/>
      <c r="AB25" s="21"/>
      <c r="AC25" s="21"/>
      <c r="AD25" s="21"/>
      <c r="AE25" s="21"/>
      <c r="AF25" s="21"/>
    </row>
    <row r="26" spans="1:32" ht="24" customHeight="1">
      <c r="A26" s="1932"/>
      <c r="B26" s="1932"/>
      <c r="C26" s="1932"/>
      <c r="D26" s="1932"/>
      <c r="E26" s="1932"/>
      <c r="F26" s="1932"/>
      <c r="G26" s="1932"/>
      <c r="H26" s="1932"/>
      <c r="I26" s="1932"/>
      <c r="J26" s="1932"/>
      <c r="K26" s="1932"/>
      <c r="L26" s="1932"/>
      <c r="M26" s="1932"/>
      <c r="N26" s="1932"/>
      <c r="P26" s="21"/>
      <c r="Q26" s="21"/>
      <c r="R26" s="21"/>
      <c r="S26" s="21"/>
      <c r="T26" s="21"/>
      <c r="U26" s="21"/>
      <c r="V26" s="21"/>
      <c r="W26" s="21"/>
      <c r="X26" s="21"/>
      <c r="Y26" s="21"/>
      <c r="Z26" s="21"/>
      <c r="AA26" s="21"/>
      <c r="AB26" s="21"/>
      <c r="AC26" s="21"/>
      <c r="AD26" s="21"/>
      <c r="AE26" s="21"/>
      <c r="AF26" s="21"/>
    </row>
    <row r="27" spans="1:32" ht="15.75" customHeight="1">
      <c r="A27" s="73"/>
      <c r="B27" s="73"/>
      <c r="C27" s="73"/>
      <c r="D27" s="73"/>
      <c r="E27" s="73"/>
      <c r="F27" s="73"/>
      <c r="G27" s="73"/>
      <c r="H27" s="73"/>
      <c r="I27" s="73"/>
      <c r="J27" s="73"/>
      <c r="K27" s="73"/>
      <c r="L27" s="73"/>
      <c r="M27" s="73"/>
      <c r="N27" s="73"/>
      <c r="P27" s="21"/>
      <c r="Q27" s="21"/>
      <c r="R27" s="21"/>
      <c r="S27" s="21"/>
      <c r="T27" s="21"/>
      <c r="U27" s="21"/>
      <c r="V27" s="21"/>
      <c r="W27" s="21"/>
      <c r="X27" s="21"/>
      <c r="Y27" s="21"/>
      <c r="Z27" s="21"/>
      <c r="AA27" s="21"/>
      <c r="AB27" s="21"/>
      <c r="AC27" s="21"/>
      <c r="AD27" s="21"/>
      <c r="AE27" s="21"/>
      <c r="AF27" s="21"/>
    </row>
    <row r="28" spans="1:32" ht="18" customHeight="1">
      <c r="A28" s="1929"/>
      <c r="B28" s="1929"/>
      <c r="C28" s="1929"/>
      <c r="D28" s="1929"/>
      <c r="E28" s="1929"/>
      <c r="F28" s="1929"/>
      <c r="G28" s="1929"/>
      <c r="H28" s="1929"/>
      <c r="I28" s="1929"/>
      <c r="J28" s="1929"/>
      <c r="K28" s="1929"/>
      <c r="L28" s="1929"/>
      <c r="M28" s="1929"/>
      <c r="N28" s="1930"/>
      <c r="P28" s="21"/>
      <c r="Q28" s="21"/>
      <c r="R28" s="21"/>
      <c r="S28" s="21"/>
      <c r="T28" s="21"/>
      <c r="U28" s="21"/>
      <c r="V28" s="21"/>
      <c r="W28" s="21"/>
      <c r="X28" s="21"/>
      <c r="Y28" s="21"/>
      <c r="Z28" s="21"/>
      <c r="AA28" s="21"/>
      <c r="AB28" s="21"/>
      <c r="AC28" s="21"/>
      <c r="AD28" s="21"/>
      <c r="AE28" s="21"/>
      <c r="AF28" s="21"/>
    </row>
    <row r="29" spans="1:32">
      <c r="A29" s="1"/>
      <c r="B29" s="1"/>
      <c r="C29" s="1"/>
      <c r="D29" s="1"/>
      <c r="E29" s="1"/>
      <c r="F29" s="1"/>
      <c r="G29" s="1"/>
      <c r="H29" s="1"/>
      <c r="I29" s="1"/>
      <c r="J29" s="1"/>
      <c r="K29" s="1"/>
      <c r="L29" s="1"/>
      <c r="M29" s="1"/>
      <c r="N29" s="1"/>
      <c r="P29" s="21"/>
      <c r="Q29" s="21"/>
      <c r="R29" s="21"/>
      <c r="S29" s="21"/>
      <c r="T29" s="21"/>
      <c r="U29" s="21"/>
      <c r="V29" s="21"/>
      <c r="W29" s="21"/>
      <c r="X29" s="21"/>
      <c r="Y29" s="21"/>
      <c r="Z29" s="21"/>
      <c r="AA29" s="21"/>
      <c r="AB29" s="21"/>
      <c r="AC29" s="21"/>
      <c r="AD29" s="21"/>
      <c r="AE29" s="21"/>
      <c r="AF29" s="21"/>
    </row>
    <row r="30" spans="1:32" ht="18">
      <c r="A30" s="1928"/>
      <c r="B30" s="1929"/>
      <c r="C30" s="1929"/>
      <c r="D30" s="1929"/>
      <c r="E30" s="1929"/>
      <c r="F30" s="1929"/>
      <c r="G30" s="1929"/>
      <c r="H30" s="1929"/>
      <c r="I30" s="1929"/>
      <c r="J30" s="1929"/>
      <c r="K30" s="1929"/>
      <c r="L30" s="1929"/>
      <c r="M30" s="1929"/>
      <c r="N30" s="1930"/>
      <c r="P30" s="21"/>
      <c r="Q30" s="21"/>
      <c r="R30" s="21"/>
      <c r="S30" s="21"/>
      <c r="T30" s="21"/>
      <c r="U30" s="21"/>
      <c r="V30" s="21"/>
      <c r="W30" s="21"/>
      <c r="X30" s="21"/>
      <c r="Y30" s="21"/>
      <c r="Z30" s="21"/>
      <c r="AA30" s="21"/>
      <c r="AB30" s="21"/>
      <c r="AC30" s="21"/>
      <c r="AD30" s="21"/>
      <c r="AE30" s="21"/>
      <c r="AF30" s="21"/>
    </row>
  </sheetData>
  <mergeCells count="21">
    <mergeCell ref="A15:B15"/>
    <mergeCell ref="A10:B10"/>
    <mergeCell ref="A11:B11"/>
    <mergeCell ref="A30:N30"/>
    <mergeCell ref="A28:N28"/>
    <mergeCell ref="A25:N26"/>
    <mergeCell ref="A21:N21"/>
    <mergeCell ref="A23:N23"/>
    <mergeCell ref="A8:B9"/>
    <mergeCell ref="L8:N8"/>
    <mergeCell ref="I8:K8"/>
    <mergeCell ref="A14:B14"/>
    <mergeCell ref="A12:B12"/>
    <mergeCell ref="F8:H8"/>
    <mergeCell ref="C8:E8"/>
    <mergeCell ref="A13:B13"/>
    <mergeCell ref="A1:N1"/>
    <mergeCell ref="A3:N3"/>
    <mergeCell ref="A4:N4"/>
    <mergeCell ref="A5:N5"/>
    <mergeCell ref="A6:N6"/>
  </mergeCells>
  <phoneticPr fontId="0" type="noConversion"/>
  <printOptions horizontalCentered="1"/>
  <pageMargins left="0.5" right="0.4" top="0.5" bottom="0.25" header="0" footer="0"/>
  <pageSetup scale="79" firstPageNumber="8" fitToHeight="0" orientation="landscape" useFirstPageNumber="1" r:id="rId1"/>
  <headerFooter alignWithMargins="0">
    <oddFooter>&amp;C&amp;"Times New Roman,Regular"Exhibit H – Summary of Reimbursable Resources&amp;R&amp;"Times New Roman,Regular"Salaries and Expenses</oddFooter>
  </headerFooter>
  <ignoredErrors>
    <ignoredError sqref="H15" formula="1"/>
  </ignoredErrors>
</worksheet>
</file>

<file path=xl/worksheets/sheet8.xml><?xml version="1.0" encoding="utf-8"?>
<worksheet xmlns="http://schemas.openxmlformats.org/spreadsheetml/2006/main" xmlns:r="http://schemas.openxmlformats.org/officeDocument/2006/relationships">
  <sheetPr codeName="Sheet14">
    <pageSetUpPr fitToPage="1"/>
  </sheetPr>
  <dimension ref="A1:L46"/>
  <sheetViews>
    <sheetView view="pageBreakPreview" zoomScale="75" zoomScaleNormal="75" workbookViewId="0">
      <selection activeCell="B35" sqref="B35"/>
    </sheetView>
  </sheetViews>
  <sheetFormatPr defaultRowHeight="15"/>
  <cols>
    <col min="1" max="1" width="30.44140625" style="11" customWidth="1"/>
    <col min="2" max="2" width="10.77734375" style="11" customWidth="1"/>
    <col min="3" max="3" width="12.6640625" style="11" customWidth="1"/>
    <col min="4" max="4" width="10.88671875" style="11" customWidth="1"/>
    <col min="5" max="5" width="12.5546875" style="11" customWidth="1"/>
    <col min="6" max="6" width="9.77734375" style="11" customWidth="1"/>
    <col min="7" max="7" width="12" style="11" customWidth="1"/>
    <col min="8" max="9" width="9.77734375" style="11" customWidth="1"/>
    <col min="10" max="10" width="10.33203125" style="11" customWidth="1"/>
    <col min="11" max="11" width="13" style="11" customWidth="1"/>
    <col min="12" max="12" width="1.109375" style="106" customWidth="1"/>
    <col min="13" max="16384" width="8.88671875" style="11"/>
  </cols>
  <sheetData>
    <row r="1" spans="1:12" ht="20.25">
      <c r="A1" s="1799" t="s">
        <v>30</v>
      </c>
      <c r="B1" s="1936"/>
      <c r="C1" s="1936"/>
      <c r="D1" s="1936"/>
      <c r="E1" s="1936"/>
      <c r="F1" s="1936"/>
      <c r="G1" s="1936"/>
      <c r="H1" s="1936"/>
      <c r="I1" s="1936"/>
      <c r="J1" s="1936"/>
      <c r="K1" s="1936"/>
      <c r="L1" s="106" t="s">
        <v>0</v>
      </c>
    </row>
    <row r="2" spans="1:12" ht="20.25">
      <c r="A2" s="1830"/>
      <c r="B2" s="1830"/>
      <c r="C2" s="1830"/>
      <c r="D2" s="1830"/>
      <c r="E2" s="1830"/>
      <c r="F2" s="1830"/>
      <c r="G2" s="1830"/>
      <c r="H2" s="1830"/>
      <c r="I2" s="1830"/>
      <c r="J2" s="1830"/>
      <c r="K2" s="1938"/>
      <c r="L2" s="106" t="s">
        <v>0</v>
      </c>
    </row>
    <row r="3" spans="1:12" ht="12.6" customHeight="1">
      <c r="A3" s="1830"/>
      <c r="B3" s="1830"/>
      <c r="C3" s="1830"/>
      <c r="D3" s="1830"/>
      <c r="E3" s="1830"/>
      <c r="F3" s="1830"/>
      <c r="G3" s="1830"/>
      <c r="H3" s="1830"/>
      <c r="I3" s="1830"/>
      <c r="J3" s="1830"/>
      <c r="K3" s="1938"/>
      <c r="L3" s="106" t="s">
        <v>0</v>
      </c>
    </row>
    <row r="4" spans="1:12" ht="18.75">
      <c r="A4" s="1912" t="s">
        <v>51</v>
      </c>
      <c r="B4" s="1915"/>
      <c r="C4" s="1915"/>
      <c r="D4" s="1915"/>
      <c r="E4" s="1915"/>
      <c r="F4" s="1915"/>
      <c r="G4" s="1915"/>
      <c r="H4" s="1915"/>
      <c r="I4" s="1915"/>
      <c r="J4" s="1915"/>
      <c r="K4" s="1915"/>
      <c r="L4" s="106" t="s">
        <v>0</v>
      </c>
    </row>
    <row r="5" spans="1:12" ht="16.5">
      <c r="A5" s="1914" t="str">
        <f>+'B. Summ of Reqs - S&amp;E '!A5</f>
        <v>Office of Justice Programs</v>
      </c>
      <c r="B5" s="1915"/>
      <c r="C5" s="1915"/>
      <c r="D5" s="1915"/>
      <c r="E5" s="1915"/>
      <c r="F5" s="1915"/>
      <c r="G5" s="1915"/>
      <c r="H5" s="1915"/>
      <c r="I5" s="1915"/>
      <c r="J5" s="1915"/>
      <c r="K5" s="1915"/>
      <c r="L5" s="106" t="s">
        <v>0</v>
      </c>
    </row>
    <row r="6" spans="1:12" ht="16.5">
      <c r="A6" s="1937" t="str">
        <f>+'B. Summ of Reqs - S&amp;E '!A6</f>
        <v>Salaries and Expenses</v>
      </c>
      <c r="B6" s="1915"/>
      <c r="C6" s="1915"/>
      <c r="D6" s="1915"/>
      <c r="E6" s="1915"/>
      <c r="F6" s="1915"/>
      <c r="G6" s="1915"/>
      <c r="H6" s="1915"/>
      <c r="I6" s="1915"/>
      <c r="J6" s="1915"/>
      <c r="K6" s="1915"/>
      <c r="L6" s="106" t="s">
        <v>0</v>
      </c>
    </row>
    <row r="7" spans="1:12" ht="15.75">
      <c r="A7" s="1941"/>
      <c r="B7" s="1941"/>
      <c r="C7" s="1941"/>
      <c r="D7" s="1941"/>
      <c r="E7" s="1941"/>
      <c r="F7" s="1941"/>
      <c r="G7" s="1941"/>
      <c r="H7" s="1941"/>
      <c r="I7" s="1941"/>
      <c r="J7" s="1941"/>
      <c r="K7" s="1941"/>
      <c r="L7" s="106" t="s">
        <v>0</v>
      </c>
    </row>
    <row r="8" spans="1:12">
      <c r="A8" s="1942"/>
      <c r="B8" s="1942"/>
      <c r="C8" s="1942"/>
      <c r="D8" s="1942"/>
      <c r="E8" s="1942"/>
      <c r="F8" s="1942"/>
      <c r="G8" s="1942"/>
      <c r="H8" s="1942"/>
      <c r="I8" s="1942"/>
      <c r="J8" s="1942"/>
      <c r="K8" s="1942"/>
      <c r="L8" s="106" t="s">
        <v>0</v>
      </c>
    </row>
    <row r="9" spans="1:12" ht="40.5" customHeight="1">
      <c r="A9" s="1957" t="s">
        <v>52</v>
      </c>
      <c r="B9" s="1952" t="s">
        <v>43</v>
      </c>
      <c r="C9" s="1953"/>
      <c r="D9" s="1952" t="s">
        <v>358</v>
      </c>
      <c r="E9" s="1953"/>
      <c r="F9" s="1949" t="s">
        <v>42</v>
      </c>
      <c r="G9" s="1950"/>
      <c r="H9" s="1950"/>
      <c r="I9" s="1950"/>
      <c r="J9" s="1950"/>
      <c r="K9" s="1951"/>
      <c r="L9" s="106" t="s">
        <v>0</v>
      </c>
    </row>
    <row r="10" spans="1:12">
      <c r="A10" s="1958"/>
      <c r="B10" s="1943" t="s">
        <v>27</v>
      </c>
      <c r="C10" s="1945" t="s">
        <v>28</v>
      </c>
      <c r="D10" s="1943" t="s">
        <v>27</v>
      </c>
      <c r="E10" s="1945" t="s">
        <v>28</v>
      </c>
      <c r="F10" s="1947" t="s">
        <v>14</v>
      </c>
      <c r="G10" s="1939" t="s">
        <v>238</v>
      </c>
      <c r="H10" s="1939" t="s">
        <v>25</v>
      </c>
      <c r="I10" s="1939" t="s">
        <v>26</v>
      </c>
      <c r="J10" s="1955" t="s">
        <v>27</v>
      </c>
      <c r="K10" s="1947" t="s">
        <v>28</v>
      </c>
      <c r="L10" s="106" t="s">
        <v>0</v>
      </c>
    </row>
    <row r="11" spans="1:12" ht="27" customHeight="1">
      <c r="A11" s="1959"/>
      <c r="B11" s="1944"/>
      <c r="C11" s="1946"/>
      <c r="D11" s="1944"/>
      <c r="E11" s="1946"/>
      <c r="F11" s="1948"/>
      <c r="G11" s="1940"/>
      <c r="H11" s="1940"/>
      <c r="I11" s="1940"/>
      <c r="J11" s="1956"/>
      <c r="K11" s="1954"/>
      <c r="L11" s="106" t="s">
        <v>0</v>
      </c>
    </row>
    <row r="12" spans="1:12">
      <c r="A12" s="196" t="s">
        <v>377</v>
      </c>
      <c r="B12" s="130">
        <v>62</v>
      </c>
      <c r="C12" s="130"/>
      <c r="D12" s="130">
        <v>62</v>
      </c>
      <c r="E12" s="130"/>
      <c r="F12" s="130"/>
      <c r="G12" s="130"/>
      <c r="H12" s="130"/>
      <c r="I12" s="130">
        <f>SUM(F12:H12)</f>
        <v>0</v>
      </c>
      <c r="J12" s="130">
        <f>D12+I12</f>
        <v>62</v>
      </c>
      <c r="K12" s="131"/>
      <c r="L12" s="106" t="s">
        <v>0</v>
      </c>
    </row>
    <row r="13" spans="1:12">
      <c r="A13" s="197" t="s">
        <v>281</v>
      </c>
      <c r="B13" s="130">
        <v>24</v>
      </c>
      <c r="C13" s="130"/>
      <c r="D13" s="130">
        <v>24</v>
      </c>
      <c r="E13" s="130"/>
      <c r="F13" s="130"/>
      <c r="G13" s="130">
        <v>2</v>
      </c>
      <c r="H13" s="130"/>
      <c r="I13" s="130">
        <f t="shared" ref="I13:I27" si="0">SUM(F13:H13)</f>
        <v>2</v>
      </c>
      <c r="J13" s="130">
        <f t="shared" ref="J13:J27" si="1">D13+I13</f>
        <v>26</v>
      </c>
      <c r="K13" s="131"/>
      <c r="L13" s="106" t="s">
        <v>0</v>
      </c>
    </row>
    <row r="14" spans="1:12">
      <c r="A14" s="197" t="s">
        <v>282</v>
      </c>
      <c r="B14" s="130">
        <v>233</v>
      </c>
      <c r="C14" s="130"/>
      <c r="D14" s="130">
        <v>233</v>
      </c>
      <c r="E14" s="130"/>
      <c r="F14" s="130"/>
      <c r="G14" s="130">
        <v>8</v>
      </c>
      <c r="H14" s="130"/>
      <c r="I14" s="130">
        <f t="shared" si="0"/>
        <v>8</v>
      </c>
      <c r="J14" s="130">
        <f t="shared" si="1"/>
        <v>241</v>
      </c>
      <c r="K14" s="131"/>
      <c r="L14" s="106" t="s">
        <v>0</v>
      </c>
    </row>
    <row r="15" spans="1:12">
      <c r="A15" s="197" t="s">
        <v>283</v>
      </c>
      <c r="B15" s="130">
        <v>123</v>
      </c>
      <c r="C15" s="130"/>
      <c r="D15" s="130">
        <v>123</v>
      </c>
      <c r="E15" s="130"/>
      <c r="F15" s="130"/>
      <c r="G15" s="130">
        <v>8</v>
      </c>
      <c r="H15" s="130"/>
      <c r="I15" s="130">
        <f t="shared" si="0"/>
        <v>8</v>
      </c>
      <c r="J15" s="130">
        <f t="shared" si="1"/>
        <v>131</v>
      </c>
      <c r="K15" s="131"/>
      <c r="L15" s="106" t="s">
        <v>0</v>
      </c>
    </row>
    <row r="16" spans="1:12">
      <c r="A16" s="197" t="s">
        <v>378</v>
      </c>
      <c r="B16" s="130">
        <v>3</v>
      </c>
      <c r="C16" s="130"/>
      <c r="D16" s="130">
        <v>3</v>
      </c>
      <c r="E16" s="130"/>
      <c r="F16" s="130"/>
      <c r="G16" s="130"/>
      <c r="H16" s="130"/>
      <c r="I16" s="130">
        <f t="shared" si="0"/>
        <v>0</v>
      </c>
      <c r="J16" s="130">
        <f t="shared" si="1"/>
        <v>3</v>
      </c>
      <c r="K16" s="131"/>
      <c r="L16" s="106" t="s">
        <v>0</v>
      </c>
    </row>
    <row r="17" spans="1:12">
      <c r="A17" s="197" t="s">
        <v>108</v>
      </c>
      <c r="B17" s="130">
        <v>34</v>
      </c>
      <c r="C17" s="130"/>
      <c r="D17" s="130">
        <v>34</v>
      </c>
      <c r="E17" s="130"/>
      <c r="F17" s="130"/>
      <c r="G17" s="130">
        <v>1</v>
      </c>
      <c r="H17" s="130"/>
      <c r="I17" s="130">
        <f t="shared" si="0"/>
        <v>1</v>
      </c>
      <c r="J17" s="130">
        <f t="shared" si="1"/>
        <v>35</v>
      </c>
      <c r="K17" s="131"/>
      <c r="L17" s="106" t="s">
        <v>0</v>
      </c>
    </row>
    <row r="18" spans="1:12">
      <c r="A18" s="198" t="s">
        <v>109</v>
      </c>
      <c r="B18" s="130">
        <v>7</v>
      </c>
      <c r="C18" s="130"/>
      <c r="D18" s="130">
        <v>7</v>
      </c>
      <c r="E18" s="130"/>
      <c r="F18" s="130"/>
      <c r="G18" s="130"/>
      <c r="H18" s="130"/>
      <c r="I18" s="130">
        <f t="shared" si="0"/>
        <v>0</v>
      </c>
      <c r="J18" s="130">
        <f t="shared" si="1"/>
        <v>7</v>
      </c>
      <c r="K18" s="131"/>
      <c r="L18" s="106" t="s">
        <v>0</v>
      </c>
    </row>
    <row r="19" spans="1:12">
      <c r="A19" s="197" t="s">
        <v>110</v>
      </c>
      <c r="B19" s="130">
        <v>30</v>
      </c>
      <c r="C19" s="130"/>
      <c r="D19" s="130">
        <v>30</v>
      </c>
      <c r="E19" s="130"/>
      <c r="F19" s="130"/>
      <c r="G19" s="130"/>
      <c r="H19" s="130"/>
      <c r="I19" s="130">
        <f t="shared" si="0"/>
        <v>0</v>
      </c>
      <c r="J19" s="130">
        <f t="shared" si="1"/>
        <v>30</v>
      </c>
      <c r="K19" s="131"/>
      <c r="L19" s="106" t="s">
        <v>0</v>
      </c>
    </row>
    <row r="20" spans="1:12">
      <c r="A20" s="197" t="s">
        <v>111</v>
      </c>
      <c r="B20" s="130">
        <v>98</v>
      </c>
      <c r="C20" s="130"/>
      <c r="D20" s="130">
        <v>98</v>
      </c>
      <c r="E20" s="130"/>
      <c r="F20" s="130"/>
      <c r="G20" s="130">
        <v>4</v>
      </c>
      <c r="H20" s="130"/>
      <c r="I20" s="130">
        <f t="shared" si="0"/>
        <v>4</v>
      </c>
      <c r="J20" s="130">
        <f t="shared" si="1"/>
        <v>102</v>
      </c>
      <c r="K20" s="131"/>
      <c r="L20" s="106" t="s">
        <v>0</v>
      </c>
    </row>
    <row r="21" spans="1:12">
      <c r="A21" s="197" t="s">
        <v>379</v>
      </c>
      <c r="B21" s="130">
        <v>5</v>
      </c>
      <c r="C21" s="130"/>
      <c r="D21" s="130">
        <v>5</v>
      </c>
      <c r="E21" s="130"/>
      <c r="F21" s="130"/>
      <c r="G21" s="130"/>
      <c r="H21" s="130"/>
      <c r="I21" s="130">
        <f t="shared" si="0"/>
        <v>0</v>
      </c>
      <c r="J21" s="130">
        <f t="shared" si="1"/>
        <v>5</v>
      </c>
      <c r="K21" s="131"/>
      <c r="L21" s="106" t="s">
        <v>0</v>
      </c>
    </row>
    <row r="22" spans="1:12">
      <c r="A22" s="197" t="s">
        <v>112</v>
      </c>
      <c r="B22" s="130">
        <v>1</v>
      </c>
      <c r="C22" s="130"/>
      <c r="D22" s="130">
        <v>1</v>
      </c>
      <c r="E22" s="130"/>
      <c r="F22" s="130"/>
      <c r="G22" s="130"/>
      <c r="H22" s="130"/>
      <c r="I22" s="130">
        <f t="shared" si="0"/>
        <v>0</v>
      </c>
      <c r="J22" s="130">
        <f t="shared" si="1"/>
        <v>1</v>
      </c>
      <c r="K22" s="131"/>
      <c r="L22" s="106" t="s">
        <v>0</v>
      </c>
    </row>
    <row r="23" spans="1:12">
      <c r="A23" s="199" t="s">
        <v>380</v>
      </c>
      <c r="B23" s="130">
        <v>38</v>
      </c>
      <c r="C23" s="130"/>
      <c r="D23" s="130">
        <v>38</v>
      </c>
      <c r="E23" s="130"/>
      <c r="F23" s="130"/>
      <c r="G23" s="130"/>
      <c r="H23" s="130"/>
      <c r="I23" s="130">
        <f t="shared" si="0"/>
        <v>0</v>
      </c>
      <c r="J23" s="130">
        <f t="shared" si="1"/>
        <v>38</v>
      </c>
      <c r="K23" s="131"/>
      <c r="L23" s="106" t="s">
        <v>0</v>
      </c>
    </row>
    <row r="24" spans="1:12">
      <c r="A24" s="199" t="s">
        <v>113</v>
      </c>
      <c r="B24" s="130">
        <v>1</v>
      </c>
      <c r="C24" s="130"/>
      <c r="D24" s="130">
        <v>1</v>
      </c>
      <c r="E24" s="130"/>
      <c r="F24" s="130"/>
      <c r="G24" s="130"/>
      <c r="H24" s="130"/>
      <c r="I24" s="130">
        <f t="shared" si="0"/>
        <v>0</v>
      </c>
      <c r="J24" s="130">
        <f t="shared" si="1"/>
        <v>1</v>
      </c>
      <c r="K24" s="131"/>
      <c r="L24" s="106" t="s">
        <v>0</v>
      </c>
    </row>
    <row r="25" spans="1:12">
      <c r="A25" s="197" t="s">
        <v>114</v>
      </c>
      <c r="B25" s="130">
        <v>3</v>
      </c>
      <c r="C25" s="130"/>
      <c r="D25" s="130">
        <v>3</v>
      </c>
      <c r="E25" s="130"/>
      <c r="F25" s="130"/>
      <c r="G25" s="130"/>
      <c r="H25" s="130"/>
      <c r="I25" s="130">
        <f t="shared" si="0"/>
        <v>0</v>
      </c>
      <c r="J25" s="130">
        <f t="shared" si="1"/>
        <v>3</v>
      </c>
      <c r="K25" s="131"/>
      <c r="L25" s="106" t="s">
        <v>0</v>
      </c>
    </row>
    <row r="26" spans="1:12">
      <c r="A26" s="197" t="s">
        <v>233</v>
      </c>
      <c r="B26" s="130">
        <v>39</v>
      </c>
      <c r="C26" s="130"/>
      <c r="D26" s="130">
        <v>39</v>
      </c>
      <c r="E26" s="130"/>
      <c r="F26" s="130"/>
      <c r="G26" s="130">
        <v>5</v>
      </c>
      <c r="H26" s="130"/>
      <c r="I26" s="130">
        <f t="shared" si="0"/>
        <v>5</v>
      </c>
      <c r="J26" s="130">
        <f t="shared" si="1"/>
        <v>44</v>
      </c>
      <c r="K26" s="131"/>
      <c r="L26" s="106" t="s">
        <v>0</v>
      </c>
    </row>
    <row r="27" spans="1:12">
      <c r="A27" s="197" t="s">
        <v>115</v>
      </c>
      <c r="B27" s="130">
        <v>1</v>
      </c>
      <c r="C27" s="130"/>
      <c r="D27" s="130">
        <v>1</v>
      </c>
      <c r="E27" s="130"/>
      <c r="F27" s="130"/>
      <c r="G27" s="130"/>
      <c r="H27" s="130"/>
      <c r="I27" s="130">
        <f t="shared" si="0"/>
        <v>0</v>
      </c>
      <c r="J27" s="130">
        <f t="shared" si="1"/>
        <v>1</v>
      </c>
      <c r="K27" s="131"/>
      <c r="L27" s="106" t="s">
        <v>0</v>
      </c>
    </row>
    <row r="28" spans="1:12" ht="15.75" thickBot="1">
      <c r="A28" s="200" t="s">
        <v>46</v>
      </c>
      <c r="B28" s="178">
        <f t="shared" ref="B28:K28" si="2">SUM(B12:B27)</f>
        <v>702</v>
      </c>
      <c r="C28" s="178">
        <f t="shared" si="2"/>
        <v>0</v>
      </c>
      <c r="D28" s="178">
        <f t="shared" si="2"/>
        <v>702</v>
      </c>
      <c r="E28" s="178">
        <f t="shared" si="2"/>
        <v>0</v>
      </c>
      <c r="F28" s="178">
        <f t="shared" si="2"/>
        <v>0</v>
      </c>
      <c r="G28" s="178">
        <f t="shared" si="2"/>
        <v>28</v>
      </c>
      <c r="H28" s="178">
        <f t="shared" si="2"/>
        <v>0</v>
      </c>
      <c r="I28" s="178">
        <f t="shared" si="2"/>
        <v>28</v>
      </c>
      <c r="J28" s="178">
        <f t="shared" si="2"/>
        <v>730</v>
      </c>
      <c r="K28" s="185">
        <f t="shared" si="2"/>
        <v>0</v>
      </c>
      <c r="L28" s="106" t="s">
        <v>0</v>
      </c>
    </row>
    <row r="29" spans="1:12">
      <c r="A29" s="303" t="s">
        <v>266</v>
      </c>
      <c r="B29" s="292"/>
      <c r="C29" s="295"/>
      <c r="D29" s="295"/>
      <c r="E29" s="295"/>
      <c r="F29" s="295"/>
      <c r="G29" s="295"/>
      <c r="H29" s="292"/>
      <c r="I29" s="299">
        <f>G29+H29</f>
        <v>0</v>
      </c>
      <c r="J29" s="299">
        <f>D29+F29+I29</f>
        <v>0</v>
      </c>
      <c r="K29" s="132"/>
      <c r="L29" s="106" t="s">
        <v>0</v>
      </c>
    </row>
    <row r="30" spans="1:12">
      <c r="A30" s="304" t="s">
        <v>284</v>
      </c>
      <c r="B30" s="293"/>
      <c r="C30" s="296"/>
      <c r="D30" s="296"/>
      <c r="E30" s="296"/>
      <c r="F30" s="296"/>
      <c r="G30" s="296"/>
      <c r="H30" s="293"/>
      <c r="I30" s="300"/>
      <c r="J30" s="300"/>
      <c r="K30" s="132"/>
      <c r="L30" s="106" t="s">
        <v>0</v>
      </c>
    </row>
    <row r="31" spans="1:12">
      <c r="A31" s="305" t="s">
        <v>285</v>
      </c>
      <c r="B31" s="294"/>
      <c r="C31" s="297"/>
      <c r="D31" s="297"/>
      <c r="E31" s="297"/>
      <c r="F31" s="297"/>
      <c r="G31" s="297"/>
      <c r="H31" s="294"/>
      <c r="I31" s="301">
        <f>G31+H31</f>
        <v>0</v>
      </c>
      <c r="J31" s="301">
        <f>D31+F31+I31</f>
        <v>0</v>
      </c>
      <c r="K31" s="132"/>
      <c r="L31" s="106" t="s">
        <v>0</v>
      </c>
    </row>
    <row r="32" spans="1:12" s="12" customFormat="1">
      <c r="A32" s="306" t="s">
        <v>46</v>
      </c>
      <c r="B32" s="302">
        <f>SUM(B29:B31)</f>
        <v>0</v>
      </c>
      <c r="C32" s="298">
        <f t="shared" ref="C32:J32" si="3">SUM(C29:C31)</f>
        <v>0</v>
      </c>
      <c r="D32" s="298">
        <f t="shared" si="3"/>
        <v>0</v>
      </c>
      <c r="E32" s="298">
        <f t="shared" si="3"/>
        <v>0</v>
      </c>
      <c r="F32" s="298">
        <f t="shared" si="3"/>
        <v>0</v>
      </c>
      <c r="G32" s="298">
        <f t="shared" si="3"/>
        <v>0</v>
      </c>
      <c r="H32" s="302">
        <f t="shared" si="3"/>
        <v>0</v>
      </c>
      <c r="I32" s="302">
        <f>SUM(I29:I31)</f>
        <v>0</v>
      </c>
      <c r="J32" s="302">
        <f t="shared" si="3"/>
        <v>0</v>
      </c>
      <c r="K32" s="133">
        <f>SUM(K29:K31)</f>
        <v>0</v>
      </c>
      <c r="L32" s="106" t="s">
        <v>24</v>
      </c>
    </row>
    <row r="33" spans="1:12" s="12" customFormat="1">
      <c r="A33" s="1935"/>
      <c r="B33" s="1935"/>
      <c r="C33" s="1935"/>
      <c r="D33" s="1935"/>
      <c r="E33" s="1935"/>
      <c r="F33" s="1935"/>
      <c r="G33" s="1935"/>
      <c r="H33" s="1935"/>
      <c r="I33" s="1935"/>
      <c r="J33" s="1935"/>
      <c r="K33" s="1935"/>
      <c r="L33" s="106"/>
    </row>
    <row r="34" spans="1:12" s="12" customFormat="1">
      <c r="L34" s="107"/>
    </row>
    <row r="35" spans="1:12" s="12" customFormat="1">
      <c r="A35" s="36"/>
      <c r="B35" s="134"/>
      <c r="C35" s="134"/>
      <c r="D35" s="134"/>
      <c r="E35" s="134"/>
      <c r="F35" s="134"/>
      <c r="G35" s="134"/>
      <c r="H35" s="134"/>
      <c r="I35" s="134"/>
      <c r="J35" s="134"/>
      <c r="K35" s="134"/>
      <c r="L35" s="107"/>
    </row>
    <row r="36" spans="1:12" s="12" customFormat="1" ht="12" customHeight="1">
      <c r="A36" s="179"/>
      <c r="B36" s="134"/>
      <c r="C36" s="134"/>
      <c r="D36" s="134"/>
      <c r="E36" s="134"/>
      <c r="F36" s="134"/>
      <c r="G36" s="134"/>
      <c r="H36" s="134"/>
      <c r="I36" s="134"/>
      <c r="J36" s="134"/>
      <c r="K36" s="134"/>
      <c r="L36" s="107"/>
    </row>
    <row r="37" spans="1:12" s="12" customFormat="1" ht="12" customHeight="1">
      <c r="A37" s="179"/>
      <c r="B37" s="134"/>
      <c r="C37" s="134"/>
      <c r="D37" s="134"/>
      <c r="E37" s="134"/>
      <c r="F37" s="134"/>
      <c r="G37" s="134"/>
      <c r="H37" s="134"/>
      <c r="I37" s="134"/>
      <c r="J37" s="134"/>
      <c r="K37" s="134"/>
      <c r="L37" s="107"/>
    </row>
    <row r="38" spans="1:12" s="12" customFormat="1" ht="12" customHeight="1">
      <c r="A38" s="43"/>
      <c r="B38" s="44"/>
      <c r="C38" s="44"/>
      <c r="D38" s="44"/>
      <c r="E38" s="44"/>
      <c r="F38" s="44"/>
      <c r="G38" s="44"/>
      <c r="H38" s="44"/>
      <c r="I38" s="44"/>
      <c r="J38" s="44"/>
      <c r="K38" s="44"/>
      <c r="L38" s="107"/>
    </row>
    <row r="39" spans="1:12" s="12" customFormat="1" ht="15.75">
      <c r="A39" s="83"/>
      <c r="B39" s="84"/>
      <c r="C39" s="84"/>
      <c r="D39" s="84"/>
      <c r="E39" s="84"/>
      <c r="F39" s="84"/>
      <c r="G39" s="84"/>
      <c r="H39" s="84"/>
      <c r="I39" s="84"/>
      <c r="J39" s="84"/>
      <c r="K39" s="84"/>
      <c r="L39" s="107"/>
    </row>
    <row r="40" spans="1:12" ht="71.25" customHeight="1">
      <c r="A40" s="1740"/>
      <c r="B40" s="1740"/>
      <c r="C40" s="1740"/>
      <c r="D40" s="1740"/>
      <c r="E40" s="1740"/>
      <c r="F40" s="1740"/>
      <c r="G40" s="1740"/>
      <c r="H40" s="1740"/>
      <c r="I40" s="1740"/>
      <c r="J40" s="1740"/>
      <c r="K40" s="1740"/>
    </row>
    <row r="41" spans="1:12" ht="39.75" customHeight="1">
      <c r="A41" s="1740"/>
      <c r="B41" s="1740"/>
      <c r="C41" s="1740"/>
      <c r="D41" s="1740"/>
      <c r="E41" s="1740"/>
      <c r="F41" s="1740"/>
      <c r="G41" s="1740"/>
      <c r="H41" s="1740"/>
      <c r="I41" s="1740"/>
      <c r="J41" s="1740"/>
      <c r="K41" s="1740"/>
    </row>
    <row r="42" spans="1:12" ht="58.5" customHeight="1">
      <c r="A42" s="1740"/>
      <c r="B42" s="1740"/>
      <c r="C42" s="1740"/>
      <c r="D42" s="1740"/>
      <c r="E42" s="1740"/>
      <c r="F42" s="1740"/>
      <c r="G42" s="1740"/>
      <c r="H42" s="1740"/>
      <c r="I42" s="1740"/>
      <c r="J42" s="1740"/>
      <c r="K42" s="1740"/>
    </row>
    <row r="43" spans="1:12" ht="69" customHeight="1">
      <c r="A43" s="1740"/>
      <c r="B43" s="1740"/>
      <c r="C43" s="1740"/>
      <c r="D43" s="1740"/>
      <c r="E43" s="1740"/>
      <c r="F43" s="1740"/>
      <c r="G43" s="1740"/>
      <c r="H43" s="1740"/>
      <c r="I43" s="1740"/>
      <c r="J43" s="1740"/>
      <c r="K43" s="1740"/>
    </row>
    <row r="44" spans="1:12">
      <c r="A44" s="75"/>
      <c r="B44" s="66"/>
      <c r="C44" s="66"/>
      <c r="D44" s="66"/>
      <c r="E44" s="66"/>
      <c r="F44" s="66"/>
      <c r="G44" s="66"/>
      <c r="H44" s="66"/>
      <c r="I44" s="66"/>
      <c r="J44" s="66"/>
      <c r="K44" s="66"/>
    </row>
    <row r="46" spans="1:12">
      <c r="A46" s="560"/>
      <c r="K46" s="91"/>
    </row>
  </sheetData>
  <mergeCells count="27">
    <mergeCell ref="H10:H11"/>
    <mergeCell ref="A7:K7"/>
    <mergeCell ref="A8:K8"/>
    <mergeCell ref="G10:G11"/>
    <mergeCell ref="B10:B11"/>
    <mergeCell ref="C10:C11"/>
    <mergeCell ref="D10:D11"/>
    <mergeCell ref="F10:F11"/>
    <mergeCell ref="F9:K9"/>
    <mergeCell ref="D9:E9"/>
    <mergeCell ref="B9:C9"/>
    <mergeCell ref="K10:K11"/>
    <mergeCell ref="J10:J11"/>
    <mergeCell ref="I10:I11"/>
    <mergeCell ref="E10:E11"/>
    <mergeCell ref="A9:A11"/>
    <mergeCell ref="A1:K1"/>
    <mergeCell ref="A4:K4"/>
    <mergeCell ref="A5:K5"/>
    <mergeCell ref="A6:K6"/>
    <mergeCell ref="A2:K2"/>
    <mergeCell ref="A3:K3"/>
    <mergeCell ref="A43:K43"/>
    <mergeCell ref="A40:K40"/>
    <mergeCell ref="A41:K41"/>
    <mergeCell ref="A42:K42"/>
    <mergeCell ref="A33:K33"/>
  </mergeCells>
  <phoneticPr fontId="0" type="noConversion"/>
  <printOptions horizontalCentered="1"/>
  <pageMargins left="0.5" right="0.4" top="0.5" bottom="0.25" header="0" footer="0"/>
  <pageSetup scale="76" firstPageNumber="8" fitToHeight="0" orientation="landscape" useFirstPageNumber="1" r:id="rId1"/>
  <headerFooter alignWithMargins="0">
    <oddFooter>&amp;C&amp;"Times New Roman,Regular"Exhibit I – Detail of Permanent Positions by Category&amp;R&amp;"Times New Roman,Regular"Salaries and Expenses</oddFooter>
  </headerFooter>
</worksheet>
</file>

<file path=xl/worksheets/sheet9.xml><?xml version="1.0" encoding="utf-8"?>
<worksheet xmlns="http://schemas.openxmlformats.org/spreadsheetml/2006/main" xmlns:r="http://schemas.openxmlformats.org/officeDocument/2006/relationships">
  <sheetPr codeName="Sheet15"/>
  <dimension ref="A1:Z53"/>
  <sheetViews>
    <sheetView view="pageBreakPreview" zoomScale="55" zoomScaleNormal="75" zoomScaleSheetLayoutView="55" workbookViewId="0">
      <selection activeCell="E39" sqref="E39"/>
    </sheetView>
  </sheetViews>
  <sheetFormatPr defaultRowHeight="15"/>
  <cols>
    <col min="1" max="1" width="57.44140625" customWidth="1"/>
    <col min="2" max="2" width="6.21875" style="1518" customWidth="1"/>
    <col min="3" max="3" width="14.44140625" style="56" customWidth="1"/>
    <col min="4" max="4" width="6.21875" style="1518" customWidth="1"/>
    <col min="5" max="5" width="19.6640625" style="56" customWidth="1"/>
    <col min="6" max="6" width="6.21875" customWidth="1"/>
    <col min="7" max="7" width="13" style="56" customWidth="1"/>
    <col min="8" max="8" width="6.21875" customWidth="1"/>
    <col min="9" max="9" width="13" style="56" customWidth="1"/>
    <col min="10" max="10" width="10.5546875" bestFit="1" customWidth="1"/>
    <col min="11" max="11" width="12.77734375" style="56" customWidth="1"/>
    <col min="12" max="12" width="4.88671875" style="105" customWidth="1"/>
  </cols>
  <sheetData>
    <row r="1" spans="1:12" ht="20.25">
      <c r="A1" s="202" t="s">
        <v>29</v>
      </c>
      <c r="B1" s="341"/>
      <c r="C1" s="1520"/>
      <c r="D1" s="341"/>
      <c r="E1" s="1520"/>
      <c r="F1" s="341"/>
      <c r="G1" s="563"/>
      <c r="H1" s="341"/>
      <c r="I1" s="563"/>
      <c r="J1" s="341"/>
      <c r="K1" s="564"/>
      <c r="L1" s="102" t="s">
        <v>0</v>
      </c>
    </row>
    <row r="2" spans="1:12" ht="13.15" customHeight="1">
      <c r="A2" s="1981"/>
      <c r="B2" s="1981"/>
      <c r="C2" s="1981"/>
      <c r="D2" s="1981"/>
      <c r="E2" s="1981"/>
      <c r="F2" s="1981"/>
      <c r="G2" s="1981"/>
      <c r="H2" s="1981"/>
      <c r="I2" s="1981"/>
      <c r="J2" s="1981"/>
      <c r="K2" s="1980"/>
      <c r="L2" s="102" t="s">
        <v>0</v>
      </c>
    </row>
    <row r="3" spans="1:12" ht="18.75">
      <c r="A3" s="1912" t="s">
        <v>4</v>
      </c>
      <c r="B3" s="1912"/>
      <c r="C3" s="1912"/>
      <c r="D3" s="1912"/>
      <c r="E3" s="1912"/>
      <c r="F3" s="1912"/>
      <c r="G3" s="1912"/>
      <c r="H3" s="1912"/>
      <c r="I3" s="1912"/>
      <c r="J3" s="1912"/>
      <c r="K3" s="1912"/>
      <c r="L3" s="102" t="s">
        <v>0</v>
      </c>
    </row>
    <row r="4" spans="1:12" ht="16.5">
      <c r="A4" s="1914" t="str">
        <f>+'B. Summ of Reqs - S&amp;E '!A5</f>
        <v>Office of Justice Programs</v>
      </c>
      <c r="B4" s="1914"/>
      <c r="C4" s="1914"/>
      <c r="D4" s="1914"/>
      <c r="E4" s="1914"/>
      <c r="F4" s="1914"/>
      <c r="G4" s="1914"/>
      <c r="H4" s="1914"/>
      <c r="I4" s="1914"/>
      <c r="J4" s="1914"/>
      <c r="K4" s="1914"/>
      <c r="L4" s="102" t="s">
        <v>0</v>
      </c>
    </row>
    <row r="5" spans="1:12" ht="16.5">
      <c r="A5" s="1914" t="str">
        <f>+'B. Summ of Reqs - S&amp;E '!A6</f>
        <v>Salaries and Expenses</v>
      </c>
      <c r="B5" s="1914"/>
      <c r="C5" s="1914"/>
      <c r="D5" s="1914"/>
      <c r="E5" s="1914"/>
      <c r="F5" s="1914"/>
      <c r="G5" s="1914"/>
      <c r="H5" s="1914"/>
      <c r="I5" s="1914"/>
      <c r="J5" s="1914"/>
      <c r="K5" s="1914"/>
      <c r="L5" s="102" t="s">
        <v>0</v>
      </c>
    </row>
    <row r="6" spans="1:12">
      <c r="A6" s="1916" t="s">
        <v>257</v>
      </c>
      <c r="B6" s="1916"/>
      <c r="C6" s="1916"/>
      <c r="D6" s="1916"/>
      <c r="E6" s="1916"/>
      <c r="F6" s="1916"/>
      <c r="G6" s="1916"/>
      <c r="H6" s="1916"/>
      <c r="I6" s="1916"/>
      <c r="J6" s="1916"/>
      <c r="K6" s="1916"/>
      <c r="L6" s="102" t="s">
        <v>0</v>
      </c>
    </row>
    <row r="7" spans="1:12">
      <c r="A7" s="1979"/>
      <c r="B7" s="1980"/>
      <c r="C7" s="1980"/>
      <c r="D7" s="1980"/>
      <c r="E7" s="1980"/>
      <c r="F7" s="1980"/>
      <c r="G7" s="1980"/>
      <c r="H7" s="1980"/>
      <c r="I7" s="1980"/>
      <c r="J7" s="1979"/>
      <c r="K7" s="1979"/>
      <c r="L7" s="102" t="s">
        <v>0</v>
      </c>
    </row>
    <row r="8" spans="1:12" ht="15.75" customHeight="1">
      <c r="A8" s="1969" t="s">
        <v>256</v>
      </c>
      <c r="B8" s="1960" t="s">
        <v>258</v>
      </c>
      <c r="C8" s="1961"/>
      <c r="D8" s="1961"/>
      <c r="E8" s="1961"/>
      <c r="F8" s="1961"/>
      <c r="G8" s="1961"/>
      <c r="H8" s="1961"/>
      <c r="I8" s="1962"/>
      <c r="J8" s="1973" t="s">
        <v>105</v>
      </c>
      <c r="K8" s="1974"/>
      <c r="L8" s="102" t="s">
        <v>0</v>
      </c>
    </row>
    <row r="9" spans="1:12" s="610" customFormat="1" ht="36" customHeight="1">
      <c r="A9" s="1970"/>
      <c r="B9" s="1963" t="s">
        <v>469</v>
      </c>
      <c r="C9" s="1964"/>
      <c r="D9" s="1963" t="s">
        <v>469</v>
      </c>
      <c r="E9" s="1964"/>
      <c r="F9" s="1963" t="s">
        <v>5</v>
      </c>
      <c r="G9" s="1964"/>
      <c r="H9" s="1963" t="s">
        <v>5</v>
      </c>
      <c r="I9" s="1964"/>
      <c r="J9" s="1975"/>
      <c r="K9" s="1976"/>
      <c r="L9" s="102" t="s">
        <v>0</v>
      </c>
    </row>
    <row r="10" spans="1:12" ht="72" customHeight="1">
      <c r="A10" s="1971"/>
      <c r="B10" s="1963" t="s">
        <v>801</v>
      </c>
      <c r="C10" s="1964"/>
      <c r="D10" s="1963" t="s">
        <v>807</v>
      </c>
      <c r="E10" s="1964"/>
      <c r="F10" s="1963" t="s">
        <v>370</v>
      </c>
      <c r="G10" s="1964"/>
      <c r="H10" s="1963" t="s">
        <v>371</v>
      </c>
      <c r="I10" s="1963"/>
      <c r="J10" s="1977"/>
      <c r="K10" s="1978"/>
      <c r="L10" s="102" t="s">
        <v>0</v>
      </c>
    </row>
    <row r="11" spans="1:12" ht="36" customHeight="1" thickBot="1">
      <c r="A11" s="1972"/>
      <c r="B11" s="621" t="s">
        <v>277</v>
      </c>
      <c r="C11" s="622" t="s">
        <v>255</v>
      </c>
      <c r="D11" s="621" t="s">
        <v>277</v>
      </c>
      <c r="E11" s="622" t="s">
        <v>255</v>
      </c>
      <c r="F11" s="621" t="s">
        <v>277</v>
      </c>
      <c r="G11" s="622" t="s">
        <v>255</v>
      </c>
      <c r="H11" s="204" t="s">
        <v>277</v>
      </c>
      <c r="I11" s="622" t="s">
        <v>255</v>
      </c>
      <c r="J11" s="201" t="s">
        <v>277</v>
      </c>
      <c r="K11" s="586" t="s">
        <v>255</v>
      </c>
      <c r="L11" s="102" t="s">
        <v>0</v>
      </c>
    </row>
    <row r="12" spans="1:12" ht="20.25">
      <c r="A12" s="597" t="s">
        <v>73</v>
      </c>
      <c r="B12" s="135"/>
      <c r="C12" s="570"/>
      <c r="D12" s="135"/>
      <c r="E12" s="570"/>
      <c r="F12" s="135"/>
      <c r="G12" s="570"/>
      <c r="H12" s="136"/>
      <c r="I12" s="579"/>
      <c r="J12" s="137"/>
      <c r="K12" s="587"/>
      <c r="L12" s="102" t="s">
        <v>0</v>
      </c>
    </row>
    <row r="13" spans="1:12" ht="20.25">
      <c r="A13" s="597" t="s">
        <v>74</v>
      </c>
      <c r="B13" s="135"/>
      <c r="C13" s="570"/>
      <c r="D13" s="135"/>
      <c r="E13" s="570"/>
      <c r="F13" s="135"/>
      <c r="G13" s="570"/>
      <c r="H13" s="136"/>
      <c r="I13" s="579"/>
      <c r="J13" s="137"/>
      <c r="K13" s="587"/>
      <c r="L13" s="102" t="s">
        <v>0</v>
      </c>
    </row>
    <row r="14" spans="1:12" ht="20.25">
      <c r="A14" s="597" t="s">
        <v>75</v>
      </c>
      <c r="B14" s="135"/>
      <c r="C14" s="570"/>
      <c r="D14" s="135"/>
      <c r="E14" s="570"/>
      <c r="F14" s="135"/>
      <c r="G14" s="570"/>
      <c r="H14" s="136"/>
      <c r="I14" s="579"/>
      <c r="J14" s="137"/>
      <c r="K14" s="587"/>
      <c r="L14" s="102" t="s">
        <v>0</v>
      </c>
    </row>
    <row r="15" spans="1:12" ht="20.25">
      <c r="A15" s="597" t="s">
        <v>76</v>
      </c>
      <c r="B15" s="135">
        <f>3+3</f>
        <v>6</v>
      </c>
      <c r="C15" s="570">
        <f>B15*91.543</f>
        <v>549.25800000000004</v>
      </c>
      <c r="D15" s="135"/>
      <c r="E15" s="570"/>
      <c r="F15" s="135"/>
      <c r="G15" s="570"/>
      <c r="H15" s="136"/>
      <c r="I15" s="579"/>
      <c r="J15" s="137">
        <f>SUM(H15,F15,D15,B15)</f>
        <v>6</v>
      </c>
      <c r="K15" s="587">
        <f>SUM(I15,G15,E15,C15)</f>
        <v>549.25800000000004</v>
      </c>
      <c r="L15" s="102" t="s">
        <v>0</v>
      </c>
    </row>
    <row r="16" spans="1:12" ht="20.25">
      <c r="A16" s="597" t="s">
        <v>77</v>
      </c>
      <c r="B16" s="135"/>
      <c r="C16" s="570"/>
      <c r="D16" s="135"/>
      <c r="E16" s="570"/>
      <c r="F16" s="135"/>
      <c r="G16" s="570"/>
      <c r="H16" s="136"/>
      <c r="I16" s="579"/>
      <c r="J16" s="137"/>
      <c r="K16" s="587"/>
      <c r="L16" s="102" t="s">
        <v>0</v>
      </c>
    </row>
    <row r="17" spans="1:12" ht="20.25">
      <c r="A17" s="597" t="s">
        <v>78</v>
      </c>
      <c r="B17" s="135">
        <v>10</v>
      </c>
      <c r="C17" s="570">
        <f>B17*64.228</f>
        <v>642.28</v>
      </c>
      <c r="D17" s="135"/>
      <c r="E17" s="570"/>
      <c r="F17" s="135"/>
      <c r="G17" s="570"/>
      <c r="H17" s="136"/>
      <c r="I17" s="579"/>
      <c r="J17" s="137">
        <f>SUM(H17,F17,D17,B17)</f>
        <v>10</v>
      </c>
      <c r="K17" s="587">
        <f>SUM(I17,G17,E17,C17)</f>
        <v>642.28</v>
      </c>
      <c r="L17" s="102" t="s">
        <v>0</v>
      </c>
    </row>
    <row r="18" spans="1:12" ht="20.25">
      <c r="A18" s="597" t="s">
        <v>79</v>
      </c>
      <c r="B18" s="135"/>
      <c r="C18" s="570"/>
      <c r="D18" s="135"/>
      <c r="E18" s="570"/>
      <c r="F18" s="135"/>
      <c r="G18" s="570"/>
      <c r="H18" s="136"/>
      <c r="I18" s="579"/>
      <c r="J18" s="137"/>
      <c r="K18" s="587"/>
      <c r="L18" s="102" t="s">
        <v>0</v>
      </c>
    </row>
    <row r="19" spans="1:12" ht="20.25">
      <c r="A19" s="597" t="s">
        <v>80</v>
      </c>
      <c r="B19" s="135">
        <f>10+1</f>
        <v>11</v>
      </c>
      <c r="C19" s="570">
        <f>B19*53.086</f>
        <v>583.94600000000003</v>
      </c>
      <c r="D19" s="135"/>
      <c r="E19" s="570"/>
      <c r="F19" s="135"/>
      <c r="G19" s="570"/>
      <c r="H19" s="136"/>
      <c r="I19" s="579"/>
      <c r="J19" s="137">
        <f>SUM(H19,F19,D19,B19)</f>
        <v>11</v>
      </c>
      <c r="K19" s="587">
        <f>SUM(I19,G19,E19,C19)</f>
        <v>583.94600000000003</v>
      </c>
      <c r="L19" s="102" t="s">
        <v>0</v>
      </c>
    </row>
    <row r="20" spans="1:12" ht="20.25">
      <c r="A20" s="597" t="s">
        <v>81</v>
      </c>
      <c r="B20" s="135"/>
      <c r="C20" s="570"/>
      <c r="D20" s="135"/>
      <c r="E20" s="570"/>
      <c r="F20" s="135"/>
      <c r="G20" s="570"/>
      <c r="H20" s="136"/>
      <c r="I20" s="579"/>
      <c r="J20" s="137"/>
      <c r="K20" s="587"/>
      <c r="L20" s="102" t="s">
        <v>0</v>
      </c>
    </row>
    <row r="21" spans="1:12" ht="20.25">
      <c r="A21" s="597" t="s">
        <v>82</v>
      </c>
      <c r="B21" s="135">
        <v>1</v>
      </c>
      <c r="C21" s="570">
        <f>B21*44.844</f>
        <v>44.844000000000001</v>
      </c>
      <c r="D21" s="135"/>
      <c r="E21" s="570"/>
      <c r="F21" s="135"/>
      <c r="G21" s="570"/>
      <c r="H21" s="136"/>
      <c r="I21" s="579"/>
      <c r="J21" s="137">
        <f>SUM(H21,F21,D21,B21)</f>
        <v>1</v>
      </c>
      <c r="K21" s="587">
        <f>SUM(I21,G21,E21,C21)</f>
        <v>44.844000000000001</v>
      </c>
      <c r="L21" s="102" t="s">
        <v>0</v>
      </c>
    </row>
    <row r="22" spans="1:12" ht="20.25">
      <c r="A22" s="598" t="s">
        <v>83</v>
      </c>
      <c r="B22" s="138"/>
      <c r="C22" s="571"/>
      <c r="D22" s="138"/>
      <c r="E22" s="571"/>
      <c r="F22" s="138"/>
      <c r="G22" s="571"/>
      <c r="H22" s="136"/>
      <c r="I22" s="579"/>
      <c r="J22" s="137"/>
      <c r="K22" s="587"/>
      <c r="L22" s="102" t="s">
        <v>0</v>
      </c>
    </row>
    <row r="23" spans="1:12" ht="20.25">
      <c r="A23" s="599"/>
      <c r="B23" s="139"/>
      <c r="C23" s="572"/>
      <c r="D23" s="139"/>
      <c r="E23" s="572"/>
      <c r="F23" s="139"/>
      <c r="G23" s="572"/>
      <c r="H23" s="140"/>
      <c r="I23" s="580"/>
      <c r="J23" s="139"/>
      <c r="K23" s="588"/>
      <c r="L23" s="102" t="s">
        <v>0</v>
      </c>
    </row>
    <row r="24" spans="1:12" ht="20.25">
      <c r="A24" s="597" t="s">
        <v>6</v>
      </c>
      <c r="B24" s="135">
        <f>SUM(B12:B22)</f>
        <v>28</v>
      </c>
      <c r="C24" s="570">
        <f>SUM(C12:C23)</f>
        <v>1820.328</v>
      </c>
      <c r="D24" s="135"/>
      <c r="E24" s="570">
        <f>SUM(E12:E23)</f>
        <v>0</v>
      </c>
      <c r="F24" s="135"/>
      <c r="G24" s="570"/>
      <c r="H24" s="135"/>
      <c r="I24" s="570"/>
      <c r="J24" s="135">
        <f t="shared" ref="J24:J26" si="0">SUM(H24,F24,D24,B24)</f>
        <v>28</v>
      </c>
      <c r="K24" s="587">
        <f t="shared" ref="K24:K26" si="1">SUM(I24,G24,E24,C24)</f>
        <v>1820.328</v>
      </c>
      <c r="L24" s="102" t="s">
        <v>0</v>
      </c>
    </row>
    <row r="25" spans="1:12" ht="20.25">
      <c r="A25" s="600" t="s">
        <v>7</v>
      </c>
      <c r="B25" s="135">
        <f>+B24/-2</f>
        <v>-14</v>
      </c>
      <c r="C25" s="570">
        <f t="shared" ref="C25" si="2">+C24/-2</f>
        <v>-910.16399999999999</v>
      </c>
      <c r="D25" s="135"/>
      <c r="E25" s="570"/>
      <c r="F25" s="135"/>
      <c r="G25" s="570"/>
      <c r="H25" s="135"/>
      <c r="I25" s="570"/>
      <c r="J25" s="135">
        <f t="shared" si="0"/>
        <v>-14</v>
      </c>
      <c r="K25" s="587">
        <f t="shared" si="1"/>
        <v>-910.16399999999999</v>
      </c>
      <c r="L25" s="102" t="s">
        <v>0</v>
      </c>
    </row>
    <row r="26" spans="1:12" ht="20.25">
      <c r="A26" s="598" t="s">
        <v>8</v>
      </c>
      <c r="B26" s="141"/>
      <c r="C26" s="571"/>
      <c r="D26" s="141"/>
      <c r="E26" s="571"/>
      <c r="F26" s="141"/>
      <c r="G26" s="571"/>
      <c r="H26" s="141"/>
      <c r="I26" s="571"/>
      <c r="J26" s="141">
        <f t="shared" si="0"/>
        <v>0</v>
      </c>
      <c r="K26" s="589">
        <f t="shared" si="1"/>
        <v>0</v>
      </c>
      <c r="L26" s="102" t="s">
        <v>0</v>
      </c>
    </row>
    <row r="27" spans="1:12" ht="20.25">
      <c r="A27" s="601"/>
      <c r="B27" s="142"/>
      <c r="C27" s="572"/>
      <c r="D27" s="142"/>
      <c r="E27" s="572"/>
      <c r="F27" s="142"/>
      <c r="G27" s="572"/>
      <c r="H27" s="142"/>
      <c r="I27" s="572"/>
      <c r="J27" s="142"/>
      <c r="K27" s="590"/>
      <c r="L27" s="102" t="s">
        <v>0</v>
      </c>
    </row>
    <row r="28" spans="1:12" ht="20.25">
      <c r="A28" s="602"/>
      <c r="B28" s="142"/>
      <c r="C28" s="573"/>
      <c r="D28" s="142"/>
      <c r="E28" s="573"/>
      <c r="F28" s="142"/>
      <c r="G28" s="573"/>
      <c r="H28" s="142"/>
      <c r="I28" s="573"/>
      <c r="J28" s="142"/>
      <c r="K28" s="591"/>
      <c r="L28" s="102" t="s">
        <v>0</v>
      </c>
    </row>
    <row r="29" spans="1:12" ht="20.25">
      <c r="A29" s="603" t="s">
        <v>9</v>
      </c>
      <c r="B29" s="143">
        <f>SUM(B24:B26)</f>
        <v>14</v>
      </c>
      <c r="C29" s="574">
        <f>SUM(C24:C26)</f>
        <v>910.16399999999999</v>
      </c>
      <c r="D29" s="143">
        <v>22</v>
      </c>
      <c r="E29" s="574">
        <v>9500</v>
      </c>
      <c r="F29" s="143">
        <f>SUM(F24:F26)</f>
        <v>0</v>
      </c>
      <c r="G29" s="574">
        <f t="shared" ref="G29:I29" si="3">SUM(G24:G26)</f>
        <v>0</v>
      </c>
      <c r="H29" s="143">
        <f t="shared" si="3"/>
        <v>0</v>
      </c>
      <c r="I29" s="574">
        <f t="shared" si="3"/>
        <v>0</v>
      </c>
      <c r="J29" s="143">
        <f>SUM(H29,F29,D29,B29)</f>
        <v>36</v>
      </c>
      <c r="K29" s="592">
        <f>SUM(I29,G29,E29,C29)</f>
        <v>10410.164000000001</v>
      </c>
      <c r="L29" s="102" t="s">
        <v>0</v>
      </c>
    </row>
    <row r="30" spans="1:12" ht="20.25">
      <c r="A30" s="599"/>
      <c r="B30" s="138"/>
      <c r="C30" s="575"/>
      <c r="D30" s="138"/>
      <c r="E30" s="575"/>
      <c r="F30" s="138"/>
      <c r="G30" s="575"/>
      <c r="H30" s="144"/>
      <c r="I30" s="581"/>
      <c r="J30" s="138"/>
      <c r="K30" s="593"/>
      <c r="L30" s="102" t="s">
        <v>0</v>
      </c>
    </row>
    <row r="31" spans="1:12" ht="20.25">
      <c r="A31" s="597" t="s">
        <v>84</v>
      </c>
      <c r="B31" s="135"/>
      <c r="C31" s="1624">
        <f>(1*6.279)+(11*7.587)+(10*9.091)+(6*12.778)</f>
        <v>257.31399999999996</v>
      </c>
      <c r="D31" s="135"/>
      <c r="E31" s="1624"/>
      <c r="F31" s="135"/>
      <c r="G31" s="573"/>
      <c r="H31" s="136"/>
      <c r="I31" s="579"/>
      <c r="J31" s="135">
        <f t="shared" ref="J31:K33" si="4">SUM(H31,F31,D31,B31)</f>
        <v>0</v>
      </c>
      <c r="K31" s="594">
        <f t="shared" si="4"/>
        <v>257.31399999999996</v>
      </c>
      <c r="L31" s="102" t="s">
        <v>0</v>
      </c>
    </row>
    <row r="32" spans="1:12" ht="20.25">
      <c r="A32" s="597" t="s">
        <v>89</v>
      </c>
      <c r="B32" s="135"/>
      <c r="C32" s="576">
        <f>(28*1.938)</f>
        <v>54.263999999999996</v>
      </c>
      <c r="D32" s="135"/>
      <c r="E32" s="576"/>
      <c r="F32" s="135"/>
      <c r="G32" s="576"/>
      <c r="H32" s="136"/>
      <c r="I32" s="579"/>
      <c r="J32" s="135">
        <f t="shared" si="4"/>
        <v>0</v>
      </c>
      <c r="K32" s="594">
        <f t="shared" si="4"/>
        <v>54.263999999999996</v>
      </c>
      <c r="L32" s="102" t="s">
        <v>0</v>
      </c>
    </row>
    <row r="33" spans="1:26" ht="20.25">
      <c r="A33" s="597" t="s">
        <v>85</v>
      </c>
      <c r="B33" s="135"/>
      <c r="C33" s="570">
        <f>(28*0.011)</f>
        <v>0.308</v>
      </c>
      <c r="D33" s="135"/>
      <c r="E33" s="570"/>
      <c r="F33" s="135"/>
      <c r="G33" s="570"/>
      <c r="H33" s="136"/>
      <c r="I33" s="579"/>
      <c r="J33" s="135">
        <f t="shared" si="4"/>
        <v>0</v>
      </c>
      <c r="K33" s="594">
        <f t="shared" si="4"/>
        <v>0.308</v>
      </c>
      <c r="L33" s="102" t="s">
        <v>0</v>
      </c>
    </row>
    <row r="34" spans="1:26" ht="20.25">
      <c r="A34" s="597" t="s">
        <v>90</v>
      </c>
      <c r="B34" s="135"/>
      <c r="C34" s="570"/>
      <c r="D34" s="135"/>
      <c r="E34" s="570"/>
      <c r="F34" s="135"/>
      <c r="G34" s="570"/>
      <c r="H34" s="136"/>
      <c r="I34" s="579"/>
      <c r="J34" s="135"/>
      <c r="K34" s="594"/>
      <c r="L34" s="102" t="s">
        <v>0</v>
      </c>
    </row>
    <row r="35" spans="1:26" ht="20.25">
      <c r="A35" s="597" t="s">
        <v>91</v>
      </c>
      <c r="B35" s="135"/>
      <c r="C35" s="570">
        <f>(1*1.701)+(27*1.863)</f>
        <v>52.002000000000002</v>
      </c>
      <c r="D35" s="135"/>
      <c r="E35" s="570"/>
      <c r="F35" s="135"/>
      <c r="G35" s="570"/>
      <c r="H35" s="136"/>
      <c r="I35" s="579"/>
      <c r="J35" s="135">
        <f>SUM(H35,F35,D35,B35)</f>
        <v>0</v>
      </c>
      <c r="K35" s="594">
        <f>SUM(I35,G35,E35,C35)</f>
        <v>52.002000000000002</v>
      </c>
      <c r="L35" s="102" t="s">
        <v>0</v>
      </c>
    </row>
    <row r="36" spans="1:26" ht="20.25">
      <c r="A36" s="597" t="s">
        <v>86</v>
      </c>
      <c r="B36" s="135"/>
      <c r="C36" s="570">
        <f>(28*4.643)</f>
        <v>130.00399999999999</v>
      </c>
      <c r="D36" s="135"/>
      <c r="E36" s="570"/>
      <c r="F36" s="135"/>
      <c r="G36" s="570"/>
      <c r="H36" s="136"/>
      <c r="I36" s="579"/>
      <c r="J36" s="135">
        <f>SUM(H36,F36,D36,B36)</f>
        <v>0</v>
      </c>
      <c r="K36" s="594">
        <f>SUM(I36,G36,E36,C36)</f>
        <v>130.00399999999999</v>
      </c>
      <c r="L36" s="102" t="s">
        <v>0</v>
      </c>
    </row>
    <row r="37" spans="1:26" ht="20.25">
      <c r="A37" s="597" t="s">
        <v>92</v>
      </c>
      <c r="B37" s="135"/>
      <c r="C37" s="570"/>
      <c r="D37" s="135"/>
      <c r="E37" s="570"/>
      <c r="F37" s="135"/>
      <c r="G37" s="570"/>
      <c r="H37" s="136"/>
      <c r="I37" s="579"/>
      <c r="J37" s="135"/>
      <c r="K37" s="594"/>
      <c r="L37" s="102" t="s">
        <v>0</v>
      </c>
    </row>
    <row r="38" spans="1:26" ht="20.25">
      <c r="A38" s="597" t="s">
        <v>93</v>
      </c>
      <c r="B38" s="135"/>
      <c r="C38" s="570">
        <f>(28*3.779)</f>
        <v>105.812</v>
      </c>
      <c r="D38" s="135"/>
      <c r="E38" s="570">
        <f>6700+13013+1750+6400+180</f>
        <v>28043</v>
      </c>
      <c r="F38" s="135"/>
      <c r="G38" s="570">
        <v>-118</v>
      </c>
      <c r="H38" s="136"/>
      <c r="I38" s="579">
        <v>-62</v>
      </c>
      <c r="J38" s="135">
        <f>SUM(H38,F38,D38,B38)</f>
        <v>0</v>
      </c>
      <c r="K38" s="594">
        <f>SUM(I38,G38,E38,C38)</f>
        <v>27968.812000000002</v>
      </c>
      <c r="L38" s="102" t="s">
        <v>0</v>
      </c>
    </row>
    <row r="39" spans="1:26" ht="20.25">
      <c r="A39" s="597" t="s">
        <v>88</v>
      </c>
      <c r="B39" s="135"/>
      <c r="C39" s="570">
        <f>(28*0.597)</f>
        <v>16.716000000000001</v>
      </c>
      <c r="D39" s="135"/>
      <c r="E39" s="570"/>
      <c r="F39" s="135"/>
      <c r="G39" s="570"/>
      <c r="H39" s="136"/>
      <c r="I39" s="579"/>
      <c r="J39" s="135">
        <f>SUM(H39,F39,D39,B39)</f>
        <v>0</v>
      </c>
      <c r="K39" s="594">
        <f>SUM(I39,G39,E39,C39)</f>
        <v>16.716000000000001</v>
      </c>
      <c r="L39" s="102" t="s">
        <v>0</v>
      </c>
    </row>
    <row r="40" spans="1:26" ht="20.25">
      <c r="A40" s="597" t="s">
        <v>94</v>
      </c>
      <c r="B40" s="135"/>
      <c r="C40" s="570"/>
      <c r="D40" s="135"/>
      <c r="E40" s="570"/>
      <c r="F40" s="135"/>
      <c r="G40" s="570"/>
      <c r="H40" s="136"/>
      <c r="I40" s="579"/>
      <c r="J40" s="135"/>
      <c r="K40" s="594"/>
      <c r="L40" s="102" t="s">
        <v>0</v>
      </c>
    </row>
    <row r="41" spans="1:26" ht="20.25">
      <c r="A41" s="597" t="s">
        <v>96</v>
      </c>
      <c r="B41" s="135"/>
      <c r="C41" s="570"/>
      <c r="D41" s="135"/>
      <c r="E41" s="570"/>
      <c r="F41" s="135"/>
      <c r="G41" s="570"/>
      <c r="H41" s="136"/>
      <c r="I41" s="579"/>
      <c r="J41" s="135"/>
      <c r="K41" s="594"/>
      <c r="L41" s="102" t="s">
        <v>0</v>
      </c>
    </row>
    <row r="42" spans="1:26" ht="20.25">
      <c r="A42" s="597" t="s">
        <v>95</v>
      </c>
      <c r="B42" s="135"/>
      <c r="C42" s="570">
        <f>28*0.593</f>
        <v>16.603999999999999</v>
      </c>
      <c r="D42" s="135"/>
      <c r="E42" s="570"/>
      <c r="F42" s="135"/>
      <c r="G42" s="570"/>
      <c r="H42" s="136"/>
      <c r="I42" s="579"/>
      <c r="J42" s="135">
        <f>SUM(H42,F42,D42,B42)</f>
        <v>0</v>
      </c>
      <c r="K42" s="594">
        <f>SUM(I42,G42,E42,C42)</f>
        <v>16.603999999999999</v>
      </c>
      <c r="L42" s="102" t="s">
        <v>0</v>
      </c>
    </row>
    <row r="43" spans="1:26" ht="20.25">
      <c r="A43" s="598" t="s">
        <v>87</v>
      </c>
      <c r="B43" s="138"/>
      <c r="C43" s="573">
        <f>(1*24.107)+(27*24.867)</f>
        <v>695.51599999999996</v>
      </c>
      <c r="D43" s="138"/>
      <c r="E43" s="573"/>
      <c r="F43" s="138"/>
      <c r="G43" s="573"/>
      <c r="H43" s="142"/>
      <c r="I43" s="582"/>
      <c r="J43" s="135">
        <f>SUM(H43,F43,D43,B43)</f>
        <v>0</v>
      </c>
      <c r="K43" s="594">
        <f>SUM(I43,G43,E43,C43)</f>
        <v>695.51599999999996</v>
      </c>
      <c r="L43" s="102" t="s">
        <v>0</v>
      </c>
    </row>
    <row r="44" spans="1:26" ht="21" thickBot="1">
      <c r="A44" s="604" t="s">
        <v>272</v>
      </c>
      <c r="B44" s="170">
        <f t="shared" ref="B44" si="5">SUM(B29:B43)</f>
        <v>14</v>
      </c>
      <c r="C44" s="577">
        <f>SUM(C29:C43)</f>
        <v>2238.7039999999997</v>
      </c>
      <c r="D44" s="170">
        <f t="shared" ref="D44" si="6">SUM(D29:D43)</f>
        <v>22</v>
      </c>
      <c r="E44" s="577">
        <f>SUM(E29:E43)</f>
        <v>37543</v>
      </c>
      <c r="F44" s="170">
        <f t="shared" ref="F44:I44" si="7">SUM(F29:F43)</f>
        <v>0</v>
      </c>
      <c r="G44" s="577">
        <f t="shared" si="7"/>
        <v>-118</v>
      </c>
      <c r="H44" s="171">
        <f t="shared" si="7"/>
        <v>0</v>
      </c>
      <c r="I44" s="583">
        <f t="shared" si="7"/>
        <v>-62</v>
      </c>
      <c r="J44" s="172">
        <f>SUM(J29:J43)</f>
        <v>36</v>
      </c>
      <c r="K44" s="595">
        <f>SUM(K27:K43)</f>
        <v>39601.704000000005</v>
      </c>
      <c r="L44" s="102" t="s">
        <v>24</v>
      </c>
    </row>
    <row r="45" spans="1:26">
      <c r="A45" s="1965"/>
      <c r="B45" s="1965"/>
      <c r="C45" s="1965"/>
      <c r="D45" s="1965"/>
      <c r="E45" s="1965"/>
      <c r="F45" s="1966"/>
      <c r="G45" s="1966"/>
      <c r="H45" s="1966"/>
      <c r="I45" s="1966"/>
      <c r="J45" s="1966"/>
      <c r="K45" s="1967"/>
      <c r="L45" s="103"/>
      <c r="M45" s="17"/>
      <c r="N45" s="17"/>
      <c r="O45" s="17"/>
      <c r="P45" s="17"/>
      <c r="Q45" s="17"/>
      <c r="R45" s="17"/>
      <c r="S45" s="17"/>
      <c r="T45" s="17"/>
      <c r="U45" s="17"/>
      <c r="V45" s="17"/>
      <c r="W45" s="17"/>
      <c r="X45" s="17"/>
      <c r="Y45" s="17"/>
      <c r="Z45" s="17"/>
    </row>
    <row r="46" spans="1:26" s="610" customFormat="1">
      <c r="A46" s="18"/>
      <c r="B46" s="18"/>
      <c r="C46" s="578"/>
      <c r="D46" s="18"/>
      <c r="E46" s="578"/>
      <c r="F46" s="18"/>
      <c r="G46" s="578"/>
      <c r="H46" s="18"/>
      <c r="I46" s="578"/>
      <c r="J46" s="18"/>
      <c r="K46" s="578"/>
      <c r="L46" s="104"/>
      <c r="M46" s="614"/>
      <c r="N46" s="614"/>
      <c r="O46" s="614"/>
      <c r="P46" s="614"/>
      <c r="Q46" s="614"/>
      <c r="R46" s="614"/>
      <c r="S46" s="614"/>
      <c r="T46" s="614"/>
      <c r="U46" s="614"/>
      <c r="V46" s="614"/>
      <c r="W46" s="614"/>
      <c r="X46" s="614"/>
      <c r="Y46" s="614"/>
      <c r="Z46" s="614"/>
    </row>
    <row r="48" spans="1:26" s="610" customFormat="1" ht="18.75">
      <c r="A48" s="1968"/>
      <c r="B48" s="1968"/>
      <c r="C48" s="1968"/>
      <c r="D48" s="1968"/>
      <c r="E48" s="1968"/>
      <c r="F48" s="1968"/>
      <c r="G48" s="1968"/>
      <c r="H48" s="1968"/>
      <c r="I48" s="1968"/>
      <c r="J48" s="584"/>
      <c r="K48" s="584"/>
      <c r="L48" s="105"/>
    </row>
    <row r="49" spans="1:26" s="610" customFormat="1" ht="18.75">
      <c r="A49" s="613"/>
      <c r="B49" s="1519"/>
      <c r="C49" s="1519"/>
      <c r="D49" s="1519"/>
      <c r="E49" s="1519"/>
      <c r="F49" s="613"/>
      <c r="G49" s="613"/>
      <c r="H49" s="613"/>
      <c r="I49" s="613"/>
      <c r="J49" s="584"/>
      <c r="K49" s="584"/>
      <c r="L49" s="105"/>
    </row>
    <row r="50" spans="1:26" s="610" customFormat="1" ht="141.75" customHeight="1">
      <c r="A50" s="1740"/>
      <c r="B50" s="1740"/>
      <c r="C50" s="1740"/>
      <c r="D50" s="1740"/>
      <c r="E50" s="1740"/>
      <c r="F50" s="1740"/>
      <c r="G50" s="1740"/>
      <c r="H50" s="1740"/>
      <c r="I50" s="1740"/>
      <c r="J50" s="611"/>
      <c r="K50" s="585"/>
      <c r="L50" s="105"/>
      <c r="M50"/>
      <c r="N50"/>
      <c r="O50"/>
      <c r="P50"/>
      <c r="Q50"/>
      <c r="R50"/>
      <c r="S50"/>
      <c r="T50"/>
      <c r="U50"/>
      <c r="V50"/>
      <c r="W50"/>
      <c r="X50"/>
      <c r="Y50"/>
      <c r="Z50"/>
    </row>
    <row r="53" spans="1:26">
      <c r="K53" s="596"/>
    </row>
  </sheetData>
  <mergeCells count="20">
    <mergeCell ref="A7:K7"/>
    <mergeCell ref="A2:K2"/>
    <mergeCell ref="A4:K4"/>
    <mergeCell ref="A3:K3"/>
    <mergeCell ref="A5:K5"/>
    <mergeCell ref="A6:K6"/>
    <mergeCell ref="B8:I8"/>
    <mergeCell ref="B10:C10"/>
    <mergeCell ref="A45:K45"/>
    <mergeCell ref="A48:I48"/>
    <mergeCell ref="A50:I50"/>
    <mergeCell ref="A8:A11"/>
    <mergeCell ref="F10:G10"/>
    <mergeCell ref="H10:I10"/>
    <mergeCell ref="J8:K10"/>
    <mergeCell ref="F9:G9"/>
    <mergeCell ref="H9:I9"/>
    <mergeCell ref="D9:E9"/>
    <mergeCell ref="D10:E10"/>
    <mergeCell ref="B9:C9"/>
  </mergeCells>
  <phoneticPr fontId="0" type="noConversion"/>
  <printOptions horizontalCentered="1"/>
  <pageMargins left="0.5" right="0.4" top="0.5" bottom="0.25" header="0" footer="0"/>
  <pageSetup scale="59" firstPageNumber="8" fitToHeight="0" orientation="landscape" useFirstPageNumber="1" r:id="rId1"/>
  <headerFooter alignWithMargins="0">
    <oddFooter>&amp;C&amp;"Times New Roman,Regular"Exhibit J – Financial Analysis of Program Changes&amp;R&amp;"Times New Roman,Regular"Salaries and Expenses</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64</vt:i4>
      </vt:variant>
      <vt:variant>
        <vt:lpstr>Named Ranges</vt:lpstr>
      </vt:variant>
      <vt:variant>
        <vt:i4>87</vt:i4>
      </vt:variant>
    </vt:vector>
  </HeadingPairs>
  <TitlesOfParts>
    <vt:vector size="151" baseType="lpstr">
      <vt:lpstr>B. Summ of Reqs - S&amp;E </vt:lpstr>
      <vt:lpstr>C. Increases Offsets - S&amp;E </vt:lpstr>
      <vt:lpstr>D. Strat Goals &amp; Objs - S&amp;E</vt:lpstr>
      <vt:lpstr>E. ATB Justification - S&amp;E</vt:lpstr>
      <vt:lpstr>F. 2010 Crosswalk - S&amp;E</vt:lpstr>
      <vt:lpstr>G. 2011 Crosswalk - S&amp;E</vt:lpstr>
      <vt:lpstr>H. Reimb Resources - S&amp;E</vt:lpstr>
      <vt:lpstr>I. Perm Positions - S&amp;E</vt:lpstr>
      <vt:lpstr>J. Financial Analysis - S&amp;E</vt:lpstr>
      <vt:lpstr>K. Summ by Grade - S&amp;E</vt:lpstr>
      <vt:lpstr>L. Summ by Obj Class - S&amp;E</vt:lpstr>
      <vt:lpstr>M. Studies - S&amp;E</vt:lpstr>
      <vt:lpstr>N. Summary of Program Changes</vt:lpstr>
      <vt:lpstr>P. ATB by Decision Unit</vt:lpstr>
      <vt:lpstr>B. Summ of Requirements  - JA</vt:lpstr>
      <vt:lpstr>C. Increases Offsets - JA</vt:lpstr>
      <vt:lpstr>D. Strat Goals &amp; Objs - JA</vt:lpstr>
      <vt:lpstr>F. 2010 Crosswalk - JA</vt:lpstr>
      <vt:lpstr>G. 2011 Crosswalk - JA</vt:lpstr>
      <vt:lpstr>H. Reimbursable Resources - JA</vt:lpstr>
      <vt:lpstr>J. Financial Analysis - JA</vt:lpstr>
      <vt:lpstr>L. Summ by Object Class - JA</vt:lpstr>
      <vt:lpstr>B. Summ of Reqs - SLLEA </vt:lpstr>
      <vt:lpstr>C. Increases Offsets - SLLEA</vt:lpstr>
      <vt:lpstr>D. Strat Goals &amp; Objs - SLLEA</vt:lpstr>
      <vt:lpstr>F. 2010 Crosswalk - SLLEA</vt:lpstr>
      <vt:lpstr>G. 2011 Crosswalk - SLLEA</vt:lpstr>
      <vt:lpstr>H. Reimb Resources - SLLEA</vt:lpstr>
      <vt:lpstr>J. Finan Analysis - SLLEA</vt:lpstr>
      <vt:lpstr>L. Summ by Object Class - SLLEA</vt:lpstr>
      <vt:lpstr>B. Summ of Reqs - W&amp;S</vt:lpstr>
      <vt:lpstr>C. Increases Offsets - W&amp;S</vt:lpstr>
      <vt:lpstr>D. Strat Goals &amp; Objs - W&amp;S</vt:lpstr>
      <vt:lpstr>F. 2010 Crosswalk - W&amp;S</vt:lpstr>
      <vt:lpstr>G. 2011 Crosswalk - W&amp;S</vt:lpstr>
      <vt:lpstr>J. Financial Analysis - W&amp;S</vt:lpstr>
      <vt:lpstr>L. Summ by Object Class - W&amp;S</vt:lpstr>
      <vt:lpstr>B. Summ of Reqs - JJ</vt:lpstr>
      <vt:lpstr>C. Increases Offsets - JJ</vt:lpstr>
      <vt:lpstr>D. Strat Goals &amp; Objs - JJ</vt:lpstr>
      <vt:lpstr>F. 2010 Crosswalk - JJ</vt:lpstr>
      <vt:lpstr>G. 2011 Crosswalk - JJ</vt:lpstr>
      <vt:lpstr>H. Reimb Resources - JJ</vt:lpstr>
      <vt:lpstr>J. Financial Analysis - JJ</vt:lpstr>
      <vt:lpstr>L. Summ by Object Class - JJ</vt:lpstr>
      <vt:lpstr>B. Summ of Reqs - PSOB</vt:lpstr>
      <vt:lpstr>C. Increases Offsets - PSOB</vt:lpstr>
      <vt:lpstr>D. Strat Goals &amp; Objs - PSOB</vt:lpstr>
      <vt:lpstr>F. 2010 Crosswalk - PSOB</vt:lpstr>
      <vt:lpstr>G. 2011 Crosswalk - PSOB</vt:lpstr>
      <vt:lpstr>J. Financial Analysis - PSOB</vt:lpstr>
      <vt:lpstr>L. Summ by Object Class - PSOB</vt:lpstr>
      <vt:lpstr>B. Summ of Reqs - CVF</vt:lpstr>
      <vt:lpstr>C. Increases Offsets - CVF</vt:lpstr>
      <vt:lpstr>D. Strat Goals &amp; Objs - CVF</vt:lpstr>
      <vt:lpstr>F. 2010 Crosswalk - CVF</vt:lpstr>
      <vt:lpstr>G. 2011 Crosswalk - CVF</vt:lpstr>
      <vt:lpstr>J. Financial Analysis - CVF</vt:lpstr>
      <vt:lpstr>L. Summ by Object Class - CVF</vt:lpstr>
      <vt:lpstr>(N-2) Domestic Agent</vt:lpstr>
      <vt:lpstr>(N-3) Domestic Attorney</vt:lpstr>
      <vt:lpstr>(N-4) Domestic Prof Sup</vt:lpstr>
      <vt:lpstr>(N-5) Domestic Clerical</vt:lpstr>
      <vt:lpstr>(P) IT</vt:lpstr>
      <vt:lpstr>'B. Summ of Reqs - CVF'!DL</vt:lpstr>
      <vt:lpstr>'B. Summ of Reqs - JJ'!DL</vt:lpstr>
      <vt:lpstr>'B. Summ of Reqs - PSOB'!DL</vt:lpstr>
      <vt:lpstr>'B. Summ of Reqs - S&amp;E '!DL</vt:lpstr>
      <vt:lpstr>'B. Summ of Reqs - SLLEA '!DL</vt:lpstr>
      <vt:lpstr>'B. Summ of Reqs - W&amp;S'!DL</vt:lpstr>
      <vt:lpstr>'B. Summ of Requirements  - JA'!DL</vt:lpstr>
      <vt:lpstr>'(N-2) Domestic Agent'!Print_Area</vt:lpstr>
      <vt:lpstr>'(N-3) Domestic Attorney'!Print_Area</vt:lpstr>
      <vt:lpstr>'(N-4) Domestic Prof Sup'!Print_Area</vt:lpstr>
      <vt:lpstr>'(N-5) Domestic Clerical'!Print_Area</vt:lpstr>
      <vt:lpstr>'(P) IT'!Print_Area</vt:lpstr>
      <vt:lpstr>'B. Summ of Reqs - CVF'!Print_Area</vt:lpstr>
      <vt:lpstr>'B. Summ of Reqs - JJ'!Print_Area</vt:lpstr>
      <vt:lpstr>'B. Summ of Reqs - PSOB'!Print_Area</vt:lpstr>
      <vt:lpstr>'B. Summ of Reqs - S&amp;E '!Print_Area</vt:lpstr>
      <vt:lpstr>'B. Summ of Reqs - SLLEA '!Print_Area</vt:lpstr>
      <vt:lpstr>'B. Summ of Reqs - W&amp;S'!Print_Area</vt:lpstr>
      <vt:lpstr>'B. Summ of Requirements  - JA'!Print_Area</vt:lpstr>
      <vt:lpstr>'C. Increases Offsets - CVF'!Print_Area</vt:lpstr>
      <vt:lpstr>'C. Increases Offsets - JA'!Print_Area</vt:lpstr>
      <vt:lpstr>'C. Increases Offsets - JJ'!Print_Area</vt:lpstr>
      <vt:lpstr>'C. Increases Offsets - PSOB'!Print_Area</vt:lpstr>
      <vt:lpstr>'C. Increases Offsets - S&amp;E '!Print_Area</vt:lpstr>
      <vt:lpstr>'C. Increases Offsets - SLLEA'!Print_Area</vt:lpstr>
      <vt:lpstr>'C. Increases Offsets - W&amp;S'!Print_Area</vt:lpstr>
      <vt:lpstr>'D. Strat Goals &amp; Objs - CVF'!Print_Area</vt:lpstr>
      <vt:lpstr>'D. Strat Goals &amp; Objs - JA'!Print_Area</vt:lpstr>
      <vt:lpstr>'D. Strat Goals &amp; Objs - JJ'!Print_Area</vt:lpstr>
      <vt:lpstr>'D. Strat Goals &amp; Objs - PSOB'!Print_Area</vt:lpstr>
      <vt:lpstr>'D. Strat Goals &amp; Objs - S&amp;E'!Print_Area</vt:lpstr>
      <vt:lpstr>'D. Strat Goals &amp; Objs - SLLEA'!Print_Area</vt:lpstr>
      <vt:lpstr>'D. Strat Goals &amp; Objs - W&amp;S'!Print_Area</vt:lpstr>
      <vt:lpstr>'E. ATB Justification - S&amp;E'!Print_Area</vt:lpstr>
      <vt:lpstr>'F. 2010 Crosswalk - CVF'!Print_Area</vt:lpstr>
      <vt:lpstr>'F. 2010 Crosswalk - JA'!Print_Area</vt:lpstr>
      <vt:lpstr>'F. 2010 Crosswalk - JJ'!Print_Area</vt:lpstr>
      <vt:lpstr>'F. 2010 Crosswalk - PSOB'!Print_Area</vt:lpstr>
      <vt:lpstr>'F. 2010 Crosswalk - S&amp;E'!Print_Area</vt:lpstr>
      <vt:lpstr>'F. 2010 Crosswalk - SLLEA'!Print_Area</vt:lpstr>
      <vt:lpstr>'F. 2010 Crosswalk - W&amp;S'!Print_Area</vt:lpstr>
      <vt:lpstr>'G. 2011 Crosswalk - CVF'!Print_Area</vt:lpstr>
      <vt:lpstr>'G. 2011 Crosswalk - JA'!Print_Area</vt:lpstr>
      <vt:lpstr>'G. 2011 Crosswalk - JJ'!Print_Area</vt:lpstr>
      <vt:lpstr>'G. 2011 Crosswalk - PSOB'!Print_Area</vt:lpstr>
      <vt:lpstr>'G. 2011 Crosswalk - S&amp;E'!Print_Area</vt:lpstr>
      <vt:lpstr>'G. 2011 Crosswalk - SLLEA'!Print_Area</vt:lpstr>
      <vt:lpstr>'G. 2011 Crosswalk - W&amp;S'!Print_Area</vt:lpstr>
      <vt:lpstr>'H. Reimb Resources - JJ'!Print_Area</vt:lpstr>
      <vt:lpstr>'H. Reimb Resources - S&amp;E'!Print_Area</vt:lpstr>
      <vt:lpstr>'H. Reimb Resources - SLLEA'!Print_Area</vt:lpstr>
      <vt:lpstr>'H. Reimbursable Resources - JA'!Print_Area</vt:lpstr>
      <vt:lpstr>'I. Perm Positions - S&amp;E'!Print_Area</vt:lpstr>
      <vt:lpstr>'J. Finan Analysis - SLLEA'!Print_Area</vt:lpstr>
      <vt:lpstr>'J. Financial Analysis - CVF'!Print_Area</vt:lpstr>
      <vt:lpstr>'J. Financial Analysis - JA'!Print_Area</vt:lpstr>
      <vt:lpstr>'J. Financial Analysis - JJ'!Print_Area</vt:lpstr>
      <vt:lpstr>'J. Financial Analysis - PSOB'!Print_Area</vt:lpstr>
      <vt:lpstr>'J. Financial Analysis - S&amp;E'!Print_Area</vt:lpstr>
      <vt:lpstr>'J. Financial Analysis - W&amp;S'!Print_Area</vt:lpstr>
      <vt:lpstr>'K. Summ by Grade - S&amp;E'!Print_Area</vt:lpstr>
      <vt:lpstr>'L. Summ by Obj Class - S&amp;E'!Print_Area</vt:lpstr>
      <vt:lpstr>'L. Summ by Object Class - CVF'!Print_Area</vt:lpstr>
      <vt:lpstr>'L. Summ by Object Class - JA'!Print_Area</vt:lpstr>
      <vt:lpstr>'L. Summ by Object Class - JJ'!Print_Area</vt:lpstr>
      <vt:lpstr>'L. Summ by Object Class - PSOB'!Print_Area</vt:lpstr>
      <vt:lpstr>'L. Summ by Object Class - SLLEA'!Print_Area</vt:lpstr>
      <vt:lpstr>'L. Summ by Object Class - W&amp;S'!Print_Area</vt:lpstr>
      <vt:lpstr>'M. Studies - S&amp;E'!Print_Area</vt:lpstr>
      <vt:lpstr>'N. Summary of Program Changes'!Print_Area</vt:lpstr>
      <vt:lpstr>'P. ATB by Decision Unit'!Print_Area</vt:lpstr>
      <vt:lpstr>'(N-2) Domestic Agent'!Print_Titles</vt:lpstr>
      <vt:lpstr>'(N-3) Domestic Attorney'!Print_Titles</vt:lpstr>
      <vt:lpstr>'(N-4) Domestic Prof Sup'!Print_Titles</vt:lpstr>
      <vt:lpstr>'(N-5) Domestic Clerical'!Print_Titles</vt:lpstr>
      <vt:lpstr>'F. 2010 Crosswalk - SLLEA'!Print_Titles</vt:lpstr>
      <vt:lpstr>'G. 2011 Crosswalk - SLLEA'!Print_Titles</vt:lpstr>
      <vt:lpstr>'J. Finan Analysis - SLLEA'!Print_Titles</vt:lpstr>
      <vt:lpstr>'M. Studies - S&amp;E'!Print_Titles</vt:lpstr>
      <vt:lpstr>'N. Summary of Program Changes'!Print_Titles</vt:lpstr>
      <vt:lpstr>'H. Reimb Resources - JJ'!REIMPRO</vt:lpstr>
      <vt:lpstr>'H. Reimb Resources - S&amp;E'!REIMPRO</vt:lpstr>
      <vt:lpstr>'H. Reimb Resources - SLLEA'!REIMPRO</vt:lpstr>
      <vt:lpstr>'H. Reimbursable Resources - JA'!REIMPRO</vt:lpstr>
      <vt:lpstr>'H. Reimb Resources - JJ'!REIMSOR</vt:lpstr>
      <vt:lpstr>'H. Reimb Resources - S&amp;E'!REIMSOR</vt:lpstr>
      <vt:lpstr>'H. Reimbursable Resources - JA'!REIMSOR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rlindsay</cp:lastModifiedBy>
  <cp:lastPrinted>2011-02-09T21:43:15Z</cp:lastPrinted>
  <dcterms:created xsi:type="dcterms:W3CDTF">2003-08-28T20:51:00Z</dcterms:created>
  <dcterms:modified xsi:type="dcterms:W3CDTF">2011-02-10T00:36:43Z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