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15" yWindow="-15" windowWidth="25260" windowHeight="6150" tabRatio="763" firstSheet="5" activeTab="5"/>
  </bookViews>
  <sheets>
    <sheet name="DOJ Pre-pass Appeal" sheetId="61" state="hidden" r:id="rId1"/>
    <sheet name="GROUP" sheetId="34" state="hidden" r:id="rId2"/>
    <sheet name="side-by-side" sheetId="56" state="hidden" r:id="rId3"/>
    <sheet name="Offsets" sheetId="57" state="hidden" r:id="rId4"/>
    <sheet name="Sheet3" sheetId="59" state="hidden" r:id="rId5"/>
    <sheet name="President's Budget" sheetId="75" r:id="rId6"/>
  </sheets>
  <externalReferences>
    <externalReference r:id="rId7"/>
  </externalReferences>
  <definedNames>
    <definedName name="_xlnm.Print_Area" localSheetId="0">'DOJ Pre-pass Appeal'!$A$1:$W$116</definedName>
    <definedName name="_xlnm.Print_Area" localSheetId="1">GROUP!$A$1:$M$62</definedName>
    <definedName name="_xlnm.Print_Area" localSheetId="5">'President''s Budget'!$A$1:$W$117</definedName>
    <definedName name="_xlnm.Print_Area" localSheetId="2">'side-by-side'!$A$1:$Z$117</definedName>
    <definedName name="_xlnm.Print_Titles" localSheetId="0">'DOJ Pre-pass Appeal'!$1:$8</definedName>
    <definedName name="_xlnm.Print_Titles" localSheetId="5">'President''s Budget'!$1:$8</definedName>
    <definedName name="_xlnm.Print_Titles" localSheetId="2">'side-by-side'!$1:$8</definedName>
  </definedNames>
  <calcPr calcId="125725"/>
</workbook>
</file>

<file path=xl/calcChain.xml><?xml version="1.0" encoding="utf-8"?>
<calcChain xmlns="http://schemas.openxmlformats.org/spreadsheetml/2006/main">
  <c r="G63" i="75"/>
  <c r="F63"/>
  <c r="E63"/>
  <c r="K63"/>
  <c r="J63"/>
  <c r="I63"/>
  <c r="H63"/>
  <c r="W63"/>
  <c r="V63"/>
  <c r="U63"/>
  <c r="T63"/>
  <c r="S63"/>
  <c r="R63"/>
  <c r="Q63"/>
  <c r="P63"/>
  <c r="O63"/>
  <c r="N63"/>
  <c r="M63"/>
  <c r="L63"/>
  <c r="M60"/>
  <c r="J52"/>
  <c r="H93"/>
  <c r="G93"/>
  <c r="J35" l="1"/>
  <c r="Q115" l="1"/>
  <c r="G115"/>
  <c r="H99" l="1"/>
  <c r="K48"/>
  <c r="Q55"/>
  <c r="P55"/>
  <c r="O55"/>
  <c r="K55"/>
  <c r="J55"/>
  <c r="I55"/>
  <c r="Q52"/>
  <c r="K52"/>
  <c r="Q48"/>
  <c r="P48"/>
  <c r="O48"/>
  <c r="J48"/>
  <c r="I48"/>
  <c r="Q35"/>
  <c r="K35"/>
  <c r="P12" l="1"/>
  <c r="H56" l="1"/>
  <c r="Q58" l="1"/>
  <c r="K58"/>
  <c r="T67"/>
  <c r="J86" l="1"/>
  <c r="I86"/>
  <c r="J81"/>
  <c r="I81"/>
  <c r="J69"/>
  <c r="I69"/>
  <c r="H35"/>
  <c r="H86" l="1"/>
  <c r="H81"/>
  <c r="H69"/>
  <c r="H80"/>
  <c r="H71"/>
  <c r="Q12"/>
  <c r="J12"/>
  <c r="I12"/>
  <c r="H12"/>
  <c r="J58" l="1"/>
  <c r="P58"/>
  <c r="O58"/>
  <c r="I58"/>
  <c r="H58"/>
  <c r="H52"/>
  <c r="H50" l="1"/>
  <c r="H48"/>
  <c r="H55" l="1"/>
  <c r="T69" l="1"/>
  <c r="G109"/>
  <c r="N108" l="1"/>
  <c r="W108" s="1"/>
  <c r="M108"/>
  <c r="V108" s="1"/>
  <c r="L108"/>
  <c r="U108" s="1"/>
  <c r="N107"/>
  <c r="W107" s="1"/>
  <c r="M107"/>
  <c r="V107" s="1"/>
  <c r="L107"/>
  <c r="U107" s="1"/>
  <c r="K37" l="1"/>
  <c r="K18"/>
  <c r="P41" l="1"/>
  <c r="J41"/>
  <c r="K15" l="1"/>
  <c r="G99" l="1"/>
  <c r="K28" l="1"/>
  <c r="Q28"/>
  <c r="P28"/>
  <c r="K115" l="1"/>
  <c r="K59"/>
  <c r="H59"/>
  <c r="I9"/>
  <c r="J9"/>
  <c r="F9"/>
  <c r="E9"/>
  <c r="Q106" l="1"/>
  <c r="K106"/>
  <c r="F81" l="1"/>
  <c r="E81"/>
  <c r="F69"/>
  <c r="E69"/>
  <c r="F35"/>
  <c r="I35"/>
  <c r="E35"/>
  <c r="T93"/>
  <c r="T48" l="1"/>
  <c r="T52" l="1"/>
  <c r="K41" l="1"/>
  <c r="K11"/>
  <c r="J25"/>
  <c r="N49" l="1"/>
  <c r="M49"/>
  <c r="L49"/>
  <c r="N53"/>
  <c r="M53"/>
  <c r="L53"/>
  <c r="N60"/>
  <c r="L60"/>
  <c r="N42"/>
  <c r="M42"/>
  <c r="L42"/>
  <c r="H105"/>
  <c r="G101"/>
  <c r="E24"/>
  <c r="J20"/>
  <c r="I20"/>
  <c r="F20"/>
  <c r="E20"/>
  <c r="J19"/>
  <c r="I19"/>
  <c r="F19"/>
  <c r="E19"/>
  <c r="F86"/>
  <c r="E86"/>
  <c r="I25" l="1"/>
  <c r="F25"/>
  <c r="E25"/>
  <c r="G13" l="1"/>
  <c r="G35"/>
  <c r="G86"/>
  <c r="G84"/>
  <c r="G81"/>
  <c r="G80"/>
  <c r="G77"/>
  <c r="G74"/>
  <c r="G71"/>
  <c r="G69"/>
  <c r="G59"/>
  <c r="G58"/>
  <c r="G55"/>
  <c r="G52"/>
  <c r="G54"/>
  <c r="G50"/>
  <c r="G46"/>
  <c r="G44"/>
  <c r="G41"/>
  <c r="G39"/>
  <c r="G37"/>
  <c r="G12"/>
  <c r="G33"/>
  <c r="G30"/>
  <c r="G29"/>
  <c r="G28"/>
  <c r="G27"/>
  <c r="G26"/>
  <c r="G25"/>
  <c r="G24"/>
  <c r="G23"/>
  <c r="G22"/>
  <c r="G20"/>
  <c r="G19"/>
  <c r="G17"/>
  <c r="G16"/>
  <c r="G15"/>
  <c r="K69"/>
  <c r="T78"/>
  <c r="Q41" l="1"/>
  <c r="G34" l="1"/>
  <c r="G38"/>
  <c r="T55" l="1"/>
  <c r="Q54"/>
  <c r="Q46"/>
  <c r="T13"/>
  <c r="T11"/>
  <c r="Q11"/>
  <c r="Q9"/>
  <c r="T116" l="1"/>
  <c r="S116"/>
  <c r="R116"/>
  <c r="P116"/>
  <c r="O116"/>
  <c r="K116"/>
  <c r="J116"/>
  <c r="I116"/>
  <c r="H116"/>
  <c r="Q116"/>
  <c r="N115"/>
  <c r="M115"/>
  <c r="M116" s="1"/>
  <c r="L115"/>
  <c r="U115" s="1"/>
  <c r="U116" s="1"/>
  <c r="N114"/>
  <c r="N113"/>
  <c r="T110"/>
  <c r="S110"/>
  <c r="R110"/>
  <c r="Q110"/>
  <c r="P110"/>
  <c r="O110"/>
  <c r="L110"/>
  <c r="K110"/>
  <c r="J110"/>
  <c r="I110"/>
  <c r="F110"/>
  <c r="N109"/>
  <c r="M109"/>
  <c r="V109" s="1"/>
  <c r="L109"/>
  <c r="U109" s="1"/>
  <c r="N106"/>
  <c r="M106"/>
  <c r="V106" s="1"/>
  <c r="M105"/>
  <c r="V105" s="1"/>
  <c r="L105"/>
  <c r="U105" s="1"/>
  <c r="G105"/>
  <c r="N105" s="1"/>
  <c r="M104"/>
  <c r="V104" s="1"/>
  <c r="L104"/>
  <c r="U104" s="1"/>
  <c r="H104"/>
  <c r="H110" s="1"/>
  <c r="G104"/>
  <c r="N103"/>
  <c r="W103" s="1"/>
  <c r="M103"/>
  <c r="V103" s="1"/>
  <c r="L103"/>
  <c r="U103" s="1"/>
  <c r="N102"/>
  <c r="W102" s="1"/>
  <c r="M102"/>
  <c r="V102" s="1"/>
  <c r="L102"/>
  <c r="U102" s="1"/>
  <c r="N101"/>
  <c r="M101"/>
  <c r="V101" s="1"/>
  <c r="L101"/>
  <c r="U101" s="1"/>
  <c r="N100"/>
  <c r="W100" s="1"/>
  <c r="M100"/>
  <c r="L100"/>
  <c r="U100" s="1"/>
  <c r="N99"/>
  <c r="M99"/>
  <c r="V99" s="1"/>
  <c r="L99"/>
  <c r="U99" s="1"/>
  <c r="S96"/>
  <c r="R96"/>
  <c r="Q96"/>
  <c r="P96"/>
  <c r="O96"/>
  <c r="K96"/>
  <c r="J96"/>
  <c r="I96"/>
  <c r="H96"/>
  <c r="G96"/>
  <c r="F96"/>
  <c r="E96"/>
  <c r="N95"/>
  <c r="W95" s="1"/>
  <c r="M95"/>
  <c r="V95" s="1"/>
  <c r="L95"/>
  <c r="U95" s="1"/>
  <c r="N94"/>
  <c r="W94" s="1"/>
  <c r="M94"/>
  <c r="V94" s="1"/>
  <c r="L94"/>
  <c r="U94" s="1"/>
  <c r="T96"/>
  <c r="N93"/>
  <c r="M93"/>
  <c r="V93" s="1"/>
  <c r="L93"/>
  <c r="U93" s="1"/>
  <c r="N90"/>
  <c r="W90" s="1"/>
  <c r="M90"/>
  <c r="V90" s="1"/>
  <c r="L90"/>
  <c r="U90" s="1"/>
  <c r="N89"/>
  <c r="W89" s="1"/>
  <c r="M89"/>
  <c r="V89" s="1"/>
  <c r="L89"/>
  <c r="U89" s="1"/>
  <c r="N88"/>
  <c r="W88" s="1"/>
  <c r="M88"/>
  <c r="V88" s="1"/>
  <c r="L88"/>
  <c r="U88" s="1"/>
  <c r="S87"/>
  <c r="R87"/>
  <c r="Q87"/>
  <c r="P87"/>
  <c r="O87"/>
  <c r="K87"/>
  <c r="J87"/>
  <c r="I87"/>
  <c r="H87"/>
  <c r="G87"/>
  <c r="F87"/>
  <c r="E87"/>
  <c r="N86"/>
  <c r="L86"/>
  <c r="M86"/>
  <c r="N85"/>
  <c r="M85"/>
  <c r="L85"/>
  <c r="N84"/>
  <c r="M84"/>
  <c r="V84" s="1"/>
  <c r="L84"/>
  <c r="U84" s="1"/>
  <c r="T83"/>
  <c r="S83"/>
  <c r="R83"/>
  <c r="Q83"/>
  <c r="P83"/>
  <c r="O83"/>
  <c r="K83"/>
  <c r="J83"/>
  <c r="I83"/>
  <c r="H83"/>
  <c r="G83"/>
  <c r="F83"/>
  <c r="E83"/>
  <c r="N82"/>
  <c r="M82"/>
  <c r="V82" s="1"/>
  <c r="L82"/>
  <c r="U82" s="1"/>
  <c r="N81"/>
  <c r="M81"/>
  <c r="L81"/>
  <c r="N80"/>
  <c r="M80"/>
  <c r="V80" s="1"/>
  <c r="L80"/>
  <c r="U80" s="1"/>
  <c r="T79"/>
  <c r="S79"/>
  <c r="R79"/>
  <c r="Q79"/>
  <c r="P79"/>
  <c r="O79"/>
  <c r="K79"/>
  <c r="J79"/>
  <c r="I79"/>
  <c r="H79"/>
  <c r="G79"/>
  <c r="F79"/>
  <c r="E79"/>
  <c r="N78"/>
  <c r="W78" s="1"/>
  <c r="M78"/>
  <c r="V78" s="1"/>
  <c r="L78"/>
  <c r="U78" s="1"/>
  <c r="N77"/>
  <c r="M77"/>
  <c r="V77" s="1"/>
  <c r="L77"/>
  <c r="U77" s="1"/>
  <c r="N76"/>
  <c r="W76" s="1"/>
  <c r="M76"/>
  <c r="V76" s="1"/>
  <c r="L76"/>
  <c r="U76" s="1"/>
  <c r="N75"/>
  <c r="M75"/>
  <c r="V75" s="1"/>
  <c r="L75"/>
  <c r="U75" s="1"/>
  <c r="N74"/>
  <c r="M74"/>
  <c r="V74" s="1"/>
  <c r="L74"/>
  <c r="T73"/>
  <c r="S73"/>
  <c r="R73"/>
  <c r="Q73"/>
  <c r="P73"/>
  <c r="O73"/>
  <c r="M73"/>
  <c r="K73"/>
  <c r="J73"/>
  <c r="I73"/>
  <c r="H73"/>
  <c r="G73"/>
  <c r="F73"/>
  <c r="E73"/>
  <c r="N72"/>
  <c r="M72"/>
  <c r="V72" s="1"/>
  <c r="L72"/>
  <c r="U72" s="1"/>
  <c r="N71"/>
  <c r="M71"/>
  <c r="V71" s="1"/>
  <c r="L71"/>
  <c r="U71" s="1"/>
  <c r="T70"/>
  <c r="S70"/>
  <c r="R70"/>
  <c r="Q70"/>
  <c r="P70"/>
  <c r="O70"/>
  <c r="K70"/>
  <c r="J70"/>
  <c r="I70"/>
  <c r="H70"/>
  <c r="G70"/>
  <c r="F70"/>
  <c r="E70"/>
  <c r="T87"/>
  <c r="N69"/>
  <c r="M69"/>
  <c r="L69"/>
  <c r="N68"/>
  <c r="M68"/>
  <c r="V68" s="1"/>
  <c r="L68"/>
  <c r="U68" s="1"/>
  <c r="N67"/>
  <c r="M67"/>
  <c r="V67" s="1"/>
  <c r="L67"/>
  <c r="U67" s="1"/>
  <c r="T66"/>
  <c r="S66"/>
  <c r="R66"/>
  <c r="Q66"/>
  <c r="P66"/>
  <c r="O66"/>
  <c r="M66"/>
  <c r="K66"/>
  <c r="J66"/>
  <c r="I66"/>
  <c r="H66"/>
  <c r="G66"/>
  <c r="F66"/>
  <c r="E66"/>
  <c r="N62"/>
  <c r="M62"/>
  <c r="N61"/>
  <c r="W61" s="1"/>
  <c r="M61"/>
  <c r="W60"/>
  <c r="V60"/>
  <c r="U60"/>
  <c r="N59"/>
  <c r="M59"/>
  <c r="V59" s="1"/>
  <c r="L59"/>
  <c r="N58"/>
  <c r="M58"/>
  <c r="V58" s="1"/>
  <c r="L58"/>
  <c r="T57"/>
  <c r="S57"/>
  <c r="R57"/>
  <c r="Q57"/>
  <c r="P57"/>
  <c r="O57"/>
  <c r="K57"/>
  <c r="J57"/>
  <c r="I57"/>
  <c r="H57"/>
  <c r="G57"/>
  <c r="F57"/>
  <c r="E57"/>
  <c r="W56"/>
  <c r="V56"/>
  <c r="U56"/>
  <c r="N55"/>
  <c r="M55"/>
  <c r="L55"/>
  <c r="N54"/>
  <c r="M54"/>
  <c r="V54" s="1"/>
  <c r="L54"/>
  <c r="U54" s="1"/>
  <c r="W53"/>
  <c r="V53"/>
  <c r="U53"/>
  <c r="N52"/>
  <c r="M52"/>
  <c r="L52"/>
  <c r="T51"/>
  <c r="S51"/>
  <c r="R51"/>
  <c r="Q51"/>
  <c r="P51"/>
  <c r="O51"/>
  <c r="K51"/>
  <c r="J51"/>
  <c r="I51"/>
  <c r="H51"/>
  <c r="G51"/>
  <c r="F51"/>
  <c r="E51"/>
  <c r="N50"/>
  <c r="M50"/>
  <c r="V50" s="1"/>
  <c r="L50"/>
  <c r="U50" s="1"/>
  <c r="W49"/>
  <c r="V49"/>
  <c r="U49"/>
  <c r="N48"/>
  <c r="M48"/>
  <c r="L48"/>
  <c r="T47"/>
  <c r="S47"/>
  <c r="R47"/>
  <c r="Q47"/>
  <c r="P47"/>
  <c r="O47"/>
  <c r="K47"/>
  <c r="J47"/>
  <c r="I47"/>
  <c r="H47"/>
  <c r="G47"/>
  <c r="F47"/>
  <c r="E47"/>
  <c r="N46"/>
  <c r="N45"/>
  <c r="W45" s="1"/>
  <c r="M45"/>
  <c r="V45" s="1"/>
  <c r="L45"/>
  <c r="U45" s="1"/>
  <c r="P44"/>
  <c r="O44"/>
  <c r="N44"/>
  <c r="M44"/>
  <c r="L44"/>
  <c r="N43"/>
  <c r="W43" s="1"/>
  <c r="M43"/>
  <c r="V43" s="1"/>
  <c r="L43"/>
  <c r="U43" s="1"/>
  <c r="W42"/>
  <c r="V42"/>
  <c r="U42"/>
  <c r="N41"/>
  <c r="M41"/>
  <c r="L41"/>
  <c r="T40"/>
  <c r="S40"/>
  <c r="R40"/>
  <c r="Q40"/>
  <c r="P40"/>
  <c r="O40"/>
  <c r="K40"/>
  <c r="J40"/>
  <c r="I40"/>
  <c r="H40"/>
  <c r="G40"/>
  <c r="F40"/>
  <c r="E40"/>
  <c r="N39"/>
  <c r="M39"/>
  <c r="V39" s="1"/>
  <c r="L39"/>
  <c r="U39" s="1"/>
  <c r="N38"/>
  <c r="M38"/>
  <c r="V38" s="1"/>
  <c r="L38"/>
  <c r="U38" s="1"/>
  <c r="N37"/>
  <c r="M37"/>
  <c r="T36"/>
  <c r="S36"/>
  <c r="R36"/>
  <c r="Q36"/>
  <c r="P36"/>
  <c r="K36"/>
  <c r="I36"/>
  <c r="H36"/>
  <c r="G36"/>
  <c r="F36"/>
  <c r="S35"/>
  <c r="N35"/>
  <c r="M35"/>
  <c r="L35"/>
  <c r="N34"/>
  <c r="W34" s="1"/>
  <c r="M34"/>
  <c r="V34" s="1"/>
  <c r="L34"/>
  <c r="U34" s="1"/>
  <c r="N33"/>
  <c r="M33"/>
  <c r="V33" s="1"/>
  <c r="T32"/>
  <c r="S32"/>
  <c r="R32"/>
  <c r="Q32"/>
  <c r="P32"/>
  <c r="O32"/>
  <c r="K32"/>
  <c r="J32"/>
  <c r="I32"/>
  <c r="H32"/>
  <c r="G32"/>
  <c r="F32"/>
  <c r="M31"/>
  <c r="L31"/>
  <c r="U31" s="1"/>
  <c r="T30"/>
  <c r="S30"/>
  <c r="R30"/>
  <c r="R21" s="1"/>
  <c r="N30"/>
  <c r="J30"/>
  <c r="M30" s="1"/>
  <c r="V30" s="1"/>
  <c r="I30"/>
  <c r="L30" s="1"/>
  <c r="S29"/>
  <c r="N29"/>
  <c r="L29"/>
  <c r="M29"/>
  <c r="T28"/>
  <c r="N28"/>
  <c r="M28"/>
  <c r="L28"/>
  <c r="S27"/>
  <c r="N27"/>
  <c r="M27"/>
  <c r="L27"/>
  <c r="U27" s="1"/>
  <c r="Q26"/>
  <c r="P26"/>
  <c r="O26"/>
  <c r="N26"/>
  <c r="L26"/>
  <c r="M26"/>
  <c r="P25"/>
  <c r="O25"/>
  <c r="N25"/>
  <c r="M25"/>
  <c r="L25"/>
  <c r="P24"/>
  <c r="O24"/>
  <c r="N24"/>
  <c r="M24"/>
  <c r="L24"/>
  <c r="N23"/>
  <c r="M23"/>
  <c r="L23"/>
  <c r="U23" s="1"/>
  <c r="S22"/>
  <c r="M22"/>
  <c r="L22"/>
  <c r="K22"/>
  <c r="N22" s="1"/>
  <c r="Q21"/>
  <c r="H21"/>
  <c r="G21"/>
  <c r="F21"/>
  <c r="E21"/>
  <c r="N20"/>
  <c r="M20"/>
  <c r="L20"/>
  <c r="N19"/>
  <c r="M19"/>
  <c r="L19"/>
  <c r="N18"/>
  <c r="M18"/>
  <c r="V18" s="1"/>
  <c r="M17"/>
  <c r="V17" s="1"/>
  <c r="L17"/>
  <c r="K17"/>
  <c r="N17" s="1"/>
  <c r="N16"/>
  <c r="W16" s="1"/>
  <c r="M16"/>
  <c r="V16" s="1"/>
  <c r="L16"/>
  <c r="U16" s="1"/>
  <c r="N15"/>
  <c r="M15"/>
  <c r="L15"/>
  <c r="T14"/>
  <c r="S14"/>
  <c r="R14"/>
  <c r="Q14"/>
  <c r="P14"/>
  <c r="O14"/>
  <c r="M14"/>
  <c r="K14"/>
  <c r="J14"/>
  <c r="I14"/>
  <c r="H14"/>
  <c r="G14"/>
  <c r="F14"/>
  <c r="E14"/>
  <c r="Q13"/>
  <c r="N13"/>
  <c r="M13"/>
  <c r="L13"/>
  <c r="T12"/>
  <c r="S12"/>
  <c r="R12"/>
  <c r="N12"/>
  <c r="M12"/>
  <c r="L12"/>
  <c r="N11"/>
  <c r="M11"/>
  <c r="V11" s="1"/>
  <c r="L11"/>
  <c r="T10"/>
  <c r="N10"/>
  <c r="L10"/>
  <c r="M10"/>
  <c r="O9"/>
  <c r="N9"/>
  <c r="L9"/>
  <c r="U30" l="1"/>
  <c r="E65"/>
  <c r="I65"/>
  <c r="S21"/>
  <c r="J21"/>
  <c r="M32"/>
  <c r="P65"/>
  <c r="V22"/>
  <c r="V24"/>
  <c r="O21"/>
  <c r="V44"/>
  <c r="V70"/>
  <c r="L73"/>
  <c r="U44"/>
  <c r="L116"/>
  <c r="F65"/>
  <c r="F64" s="1"/>
  <c r="J65"/>
  <c r="U70"/>
  <c r="V96"/>
  <c r="L51"/>
  <c r="J64"/>
  <c r="U74"/>
  <c r="U73" s="1"/>
  <c r="U96"/>
  <c r="K21"/>
  <c r="T21"/>
  <c r="V32"/>
  <c r="M96"/>
  <c r="R65"/>
  <c r="R64" s="1"/>
  <c r="L79"/>
  <c r="G110"/>
  <c r="V27"/>
  <c r="O65"/>
  <c r="O64" s="1"/>
  <c r="S65"/>
  <c r="S64" s="1"/>
  <c r="V73"/>
  <c r="M110"/>
  <c r="N96"/>
  <c r="W114"/>
  <c r="W52"/>
  <c r="W85"/>
  <c r="V85"/>
  <c r="U85"/>
  <c r="I64"/>
  <c r="K65"/>
  <c r="K64" s="1"/>
  <c r="W109"/>
  <c r="Q65"/>
  <c r="Q64" s="1"/>
  <c r="W18"/>
  <c r="W99"/>
  <c r="W62"/>
  <c r="V62"/>
  <c r="V61"/>
  <c r="U59"/>
  <c r="L57"/>
  <c r="U58"/>
  <c r="M57"/>
  <c r="U52"/>
  <c r="M51"/>
  <c r="V48"/>
  <c r="M47"/>
  <c r="V41"/>
  <c r="M40"/>
  <c r="V29"/>
  <c r="U29"/>
  <c r="U28"/>
  <c r="U26"/>
  <c r="V23"/>
  <c r="V15"/>
  <c r="U15"/>
  <c r="V13"/>
  <c r="U13"/>
  <c r="U11"/>
  <c r="V10"/>
  <c r="U10"/>
  <c r="V28"/>
  <c r="U9"/>
  <c r="W106"/>
  <c r="V81"/>
  <c r="U81"/>
  <c r="U79" s="1"/>
  <c r="L87"/>
  <c r="E64"/>
  <c r="U35"/>
  <c r="V57"/>
  <c r="U12"/>
  <c r="V12"/>
  <c r="O91"/>
  <c r="O97" s="1"/>
  <c r="O111" s="1"/>
  <c r="O117" s="1"/>
  <c r="W105"/>
  <c r="W101"/>
  <c r="U24"/>
  <c r="V20"/>
  <c r="U20"/>
  <c r="U17"/>
  <c r="V19"/>
  <c r="U19"/>
  <c r="V86"/>
  <c r="U86"/>
  <c r="V25"/>
  <c r="U25"/>
  <c r="W75"/>
  <c r="W72"/>
  <c r="W68"/>
  <c r="W86"/>
  <c r="W84"/>
  <c r="W82"/>
  <c r="W81"/>
  <c r="W80"/>
  <c r="W77"/>
  <c r="H65"/>
  <c r="H64" s="1"/>
  <c r="N73"/>
  <c r="W74"/>
  <c r="W71"/>
  <c r="G65"/>
  <c r="G64" s="1"/>
  <c r="W67"/>
  <c r="W59"/>
  <c r="W58"/>
  <c r="V55"/>
  <c r="U55"/>
  <c r="W55"/>
  <c r="N51"/>
  <c r="W50"/>
  <c r="W46"/>
  <c r="W44"/>
  <c r="N40"/>
  <c r="W39"/>
  <c r="W37"/>
  <c r="N36"/>
  <c r="W12"/>
  <c r="W35"/>
  <c r="N32"/>
  <c r="W29"/>
  <c r="W28"/>
  <c r="W27"/>
  <c r="W26"/>
  <c r="W25"/>
  <c r="W24"/>
  <c r="W23"/>
  <c r="W22"/>
  <c r="W20"/>
  <c r="W19"/>
  <c r="W17"/>
  <c r="N14"/>
  <c r="W13"/>
  <c r="W11"/>
  <c r="W10"/>
  <c r="W69"/>
  <c r="W48"/>
  <c r="W15"/>
  <c r="V37"/>
  <c r="M36"/>
  <c r="L40"/>
  <c r="U41"/>
  <c r="U48"/>
  <c r="L47"/>
  <c r="N116"/>
  <c r="W113"/>
  <c r="U66"/>
  <c r="M21"/>
  <c r="V66"/>
  <c r="M87"/>
  <c r="V79"/>
  <c r="U110"/>
  <c r="L21"/>
  <c r="N87"/>
  <c r="V115"/>
  <c r="V116" s="1"/>
  <c r="L14"/>
  <c r="V52"/>
  <c r="W54"/>
  <c r="P64"/>
  <c r="T65"/>
  <c r="T64" s="1"/>
  <c r="V69"/>
  <c r="N70"/>
  <c r="W93"/>
  <c r="V100"/>
  <c r="V110" s="1"/>
  <c r="N104"/>
  <c r="W104" s="1"/>
  <c r="G116"/>
  <c r="W9"/>
  <c r="I21"/>
  <c r="W30"/>
  <c r="W33"/>
  <c r="V35"/>
  <c r="N57"/>
  <c r="U69"/>
  <c r="M70"/>
  <c r="M65" s="1"/>
  <c r="N79"/>
  <c r="M83"/>
  <c r="L96"/>
  <c r="W41"/>
  <c r="N21"/>
  <c r="U22"/>
  <c r="V26"/>
  <c r="W38"/>
  <c r="L66"/>
  <c r="N83"/>
  <c r="M9"/>
  <c r="P21"/>
  <c r="J36"/>
  <c r="N47"/>
  <c r="N66"/>
  <c r="L70"/>
  <c r="M79"/>
  <c r="L83"/>
  <c r="W115"/>
  <c r="W73" l="1"/>
  <c r="R91"/>
  <c r="R97" s="1"/>
  <c r="R111" s="1"/>
  <c r="R117" s="1"/>
  <c r="E91"/>
  <c r="E97" s="1"/>
  <c r="E111" s="1"/>
  <c r="E117" s="1"/>
  <c r="F91"/>
  <c r="F97" s="1"/>
  <c r="F111" s="1"/>
  <c r="F117" s="1"/>
  <c r="V83"/>
  <c r="W83"/>
  <c r="W87"/>
  <c r="K91"/>
  <c r="K97" s="1"/>
  <c r="K111" s="1"/>
  <c r="K117" s="1"/>
  <c r="U57"/>
  <c r="Q91"/>
  <c r="Q97" s="1"/>
  <c r="Q111" s="1"/>
  <c r="Q117" s="1"/>
  <c r="U51"/>
  <c r="V51"/>
  <c r="V47"/>
  <c r="U47"/>
  <c r="V40"/>
  <c r="U40"/>
  <c r="V36"/>
  <c r="U21"/>
  <c r="V14"/>
  <c r="U14"/>
  <c r="V87"/>
  <c r="U87"/>
  <c r="U65"/>
  <c r="W96"/>
  <c r="J91"/>
  <c r="J97" s="1"/>
  <c r="J111" s="1"/>
  <c r="J117" s="1"/>
  <c r="S91"/>
  <c r="S97" s="1"/>
  <c r="S111" s="1"/>
  <c r="S117" s="1"/>
  <c r="U64"/>
  <c r="U83"/>
  <c r="V21"/>
  <c r="I91"/>
  <c r="I97" s="1"/>
  <c r="I111" s="1"/>
  <c r="I117" s="1"/>
  <c r="W66"/>
  <c r="W79"/>
  <c r="W70"/>
  <c r="N65"/>
  <c r="N64" s="1"/>
  <c r="G91"/>
  <c r="G97" s="1"/>
  <c r="G111" s="1"/>
  <c r="G117" s="1"/>
  <c r="H91"/>
  <c r="H97" s="1"/>
  <c r="H111" s="1"/>
  <c r="H117" s="1"/>
  <c r="W57"/>
  <c r="W47"/>
  <c r="W21"/>
  <c r="W14"/>
  <c r="T91"/>
  <c r="T97" s="1"/>
  <c r="T111" s="1"/>
  <c r="T117" s="1"/>
  <c r="W110"/>
  <c r="W36"/>
  <c r="W51"/>
  <c r="W40"/>
  <c r="W32"/>
  <c r="V9"/>
  <c r="L65"/>
  <c r="L64" s="1"/>
  <c r="V65"/>
  <c r="M64"/>
  <c r="N110"/>
  <c r="W116"/>
  <c r="V64" l="1"/>
  <c r="U91"/>
  <c r="U97" s="1"/>
  <c r="U111" s="1"/>
  <c r="U117" s="1"/>
  <c r="L91"/>
  <c r="L97" s="1"/>
  <c r="L111" s="1"/>
  <c r="L117" s="1"/>
  <c r="W65"/>
  <c r="W64" s="1"/>
  <c r="N91"/>
  <c r="N97" s="1"/>
  <c r="N111" s="1"/>
  <c r="N117" s="1"/>
  <c r="P91"/>
  <c r="M91"/>
  <c r="M97" s="1"/>
  <c r="M111" s="1"/>
  <c r="M117" s="1"/>
  <c r="V91" l="1"/>
  <c r="V97" s="1"/>
  <c r="V111" s="1"/>
  <c r="V117" s="1"/>
  <c r="W91"/>
  <c r="W97" s="1"/>
  <c r="W111" s="1"/>
  <c r="W117" s="1"/>
  <c r="P97"/>
  <c r="P111" l="1"/>
  <c r="P117" l="1"/>
  <c r="K29" i="61" l="1"/>
  <c r="H29"/>
  <c r="K9" l="1"/>
  <c r="T49" l="1"/>
  <c r="K32" l="1"/>
  <c r="Q108"/>
  <c r="T75"/>
  <c r="J29"/>
  <c r="I29"/>
  <c r="T11"/>
  <c r="S11"/>
  <c r="S70"/>
  <c r="J70"/>
  <c r="Q26"/>
  <c r="J56"/>
  <c r="I56"/>
  <c r="Q11"/>
  <c r="K19" l="1"/>
  <c r="T9"/>
  <c r="Q9"/>
  <c r="K53" l="1"/>
  <c r="K42"/>
  <c r="K38"/>
  <c r="K36"/>
  <c r="K30"/>
  <c r="K28"/>
  <c r="K27"/>
  <c r="K26"/>
  <c r="T59" l="1"/>
  <c r="S59"/>
  <c r="R59"/>
  <c r="Q59"/>
  <c r="P59"/>
  <c r="O59"/>
  <c r="U52"/>
  <c r="T52"/>
  <c r="S52"/>
  <c r="R52"/>
  <c r="Q52"/>
  <c r="P52"/>
  <c r="O52"/>
  <c r="T47"/>
  <c r="S47"/>
  <c r="R47"/>
  <c r="Q47"/>
  <c r="P47"/>
  <c r="O47"/>
  <c r="Q81" l="1"/>
  <c r="T61" l="1"/>
  <c r="T54"/>
  <c r="J53"/>
  <c r="J48"/>
  <c r="K46"/>
  <c r="P42"/>
  <c r="J42"/>
  <c r="J38"/>
  <c r="Q36"/>
  <c r="J36"/>
  <c r="J31"/>
  <c r="J30"/>
  <c r="J28"/>
  <c r="J27"/>
  <c r="P26"/>
  <c r="O26"/>
  <c r="J26"/>
  <c r="W22"/>
  <c r="S22"/>
  <c r="H17"/>
  <c r="S12" l="1"/>
  <c r="I10"/>
  <c r="L10" s="1"/>
  <c r="U10" s="1"/>
  <c r="N10"/>
  <c r="J10"/>
  <c r="M10"/>
  <c r="V10" s="1"/>
  <c r="J9"/>
  <c r="T115"/>
  <c r="S115"/>
  <c r="R115"/>
  <c r="Q115"/>
  <c r="P115"/>
  <c r="O115"/>
  <c r="L115"/>
  <c r="J115"/>
  <c r="I115"/>
  <c r="H115"/>
  <c r="G115"/>
  <c r="U114"/>
  <c r="U115" s="1"/>
  <c r="M114"/>
  <c r="M115" s="1"/>
  <c r="L114"/>
  <c r="K114"/>
  <c r="K115" s="1"/>
  <c r="K113"/>
  <c r="N113" s="1"/>
  <c r="W113" s="1"/>
  <c r="W112"/>
  <c r="N112"/>
  <c r="K112"/>
  <c r="T109"/>
  <c r="S109"/>
  <c r="R109"/>
  <c r="Q109"/>
  <c r="P109"/>
  <c r="O109"/>
  <c r="L109"/>
  <c r="K109"/>
  <c r="I109"/>
  <c r="G109"/>
  <c r="F109"/>
  <c r="W108"/>
  <c r="N108"/>
  <c r="M108"/>
  <c r="V108" s="1"/>
  <c r="L108"/>
  <c r="U108" s="1"/>
  <c r="N107"/>
  <c r="W107" s="1"/>
  <c r="M107"/>
  <c r="V107" s="1"/>
  <c r="J107"/>
  <c r="J109" s="1"/>
  <c r="V106"/>
  <c r="M106"/>
  <c r="L106"/>
  <c r="U106" s="1"/>
  <c r="H106"/>
  <c r="N106" s="1"/>
  <c r="W106" s="1"/>
  <c r="U105"/>
  <c r="M105"/>
  <c r="V105" s="1"/>
  <c r="L105"/>
  <c r="H105"/>
  <c r="H109" s="1"/>
  <c r="N104"/>
  <c r="W104" s="1"/>
  <c r="M104"/>
  <c r="V104" s="1"/>
  <c r="L104"/>
  <c r="U104" s="1"/>
  <c r="V103"/>
  <c r="N103"/>
  <c r="W103" s="1"/>
  <c r="M103"/>
  <c r="L103"/>
  <c r="U103" s="1"/>
  <c r="N102"/>
  <c r="W102" s="1"/>
  <c r="M102"/>
  <c r="V102" s="1"/>
  <c r="L102"/>
  <c r="U102" s="1"/>
  <c r="V101"/>
  <c r="N101"/>
  <c r="W101" s="1"/>
  <c r="M101"/>
  <c r="L101"/>
  <c r="U101" s="1"/>
  <c r="N100"/>
  <c r="M100"/>
  <c r="V100" s="1"/>
  <c r="L100"/>
  <c r="U100" s="1"/>
  <c r="U109" s="1"/>
  <c r="S97"/>
  <c r="R97"/>
  <c r="Q97"/>
  <c r="P97"/>
  <c r="O97"/>
  <c r="M97"/>
  <c r="K97"/>
  <c r="J97"/>
  <c r="I97"/>
  <c r="H97"/>
  <c r="G97"/>
  <c r="F97"/>
  <c r="E97"/>
  <c r="N96"/>
  <c r="W96" s="1"/>
  <c r="M96"/>
  <c r="V96" s="1"/>
  <c r="L96"/>
  <c r="U96" s="1"/>
  <c r="V95"/>
  <c r="N95"/>
  <c r="W95" s="1"/>
  <c r="M95"/>
  <c r="L95"/>
  <c r="L97" s="1"/>
  <c r="T94"/>
  <c r="T97" s="1"/>
  <c r="N94"/>
  <c r="N97" s="1"/>
  <c r="M94"/>
  <c r="V94" s="1"/>
  <c r="V97" s="1"/>
  <c r="L94"/>
  <c r="U94" s="1"/>
  <c r="V90"/>
  <c r="N90"/>
  <c r="W90" s="1"/>
  <c r="M90"/>
  <c r="L90"/>
  <c r="U90" s="1"/>
  <c r="N89"/>
  <c r="W89" s="1"/>
  <c r="M89"/>
  <c r="V89" s="1"/>
  <c r="L89"/>
  <c r="U89" s="1"/>
  <c r="V88"/>
  <c r="N88"/>
  <c r="W88" s="1"/>
  <c r="M88"/>
  <c r="L88"/>
  <c r="U88" s="1"/>
  <c r="T87"/>
  <c r="S87"/>
  <c r="R87"/>
  <c r="Q87"/>
  <c r="P87"/>
  <c r="O87"/>
  <c r="L87"/>
  <c r="K87"/>
  <c r="J87"/>
  <c r="I87"/>
  <c r="H87"/>
  <c r="G87"/>
  <c r="F87"/>
  <c r="E87"/>
  <c r="W86"/>
  <c r="N86"/>
  <c r="N84" s="1"/>
  <c r="M86"/>
  <c r="V86" s="1"/>
  <c r="L86"/>
  <c r="L84" s="1"/>
  <c r="U85"/>
  <c r="N85"/>
  <c r="W85" s="1"/>
  <c r="M85"/>
  <c r="V85" s="1"/>
  <c r="V84" s="1"/>
  <c r="L85"/>
  <c r="T84"/>
  <c r="S84"/>
  <c r="R84"/>
  <c r="Q84"/>
  <c r="P84"/>
  <c r="O84"/>
  <c r="O65" s="1"/>
  <c r="K84"/>
  <c r="K65" s="1"/>
  <c r="J84"/>
  <c r="I84"/>
  <c r="H84"/>
  <c r="G84"/>
  <c r="G65" s="1"/>
  <c r="F84"/>
  <c r="E84"/>
  <c r="W83"/>
  <c r="V83"/>
  <c r="N83"/>
  <c r="M83"/>
  <c r="L83"/>
  <c r="U83" s="1"/>
  <c r="N82"/>
  <c r="N80" s="1"/>
  <c r="M82"/>
  <c r="V82" s="1"/>
  <c r="L82"/>
  <c r="U82" s="1"/>
  <c r="K82"/>
  <c r="W81"/>
  <c r="N81"/>
  <c r="M81"/>
  <c r="V81" s="1"/>
  <c r="L81"/>
  <c r="U81" s="1"/>
  <c r="U80" s="1"/>
  <c r="T80"/>
  <c r="S80"/>
  <c r="R80"/>
  <c r="Q80"/>
  <c r="P80"/>
  <c r="O80"/>
  <c r="M80"/>
  <c r="K80"/>
  <c r="J80"/>
  <c r="I80"/>
  <c r="H80"/>
  <c r="G80"/>
  <c r="F80"/>
  <c r="E80"/>
  <c r="N79"/>
  <c r="W79" s="1"/>
  <c r="M79"/>
  <c r="V79" s="1"/>
  <c r="L79"/>
  <c r="U79" s="1"/>
  <c r="V78"/>
  <c r="N78"/>
  <c r="W78" s="1"/>
  <c r="M78"/>
  <c r="L78"/>
  <c r="U78" s="1"/>
  <c r="N77"/>
  <c r="W77" s="1"/>
  <c r="M77"/>
  <c r="V77" s="1"/>
  <c r="L77"/>
  <c r="U77" s="1"/>
  <c r="V76"/>
  <c r="N76"/>
  <c r="W76" s="1"/>
  <c r="M76"/>
  <c r="L76"/>
  <c r="U76" s="1"/>
  <c r="N75"/>
  <c r="W75" s="1"/>
  <c r="W74" s="1"/>
  <c r="M75"/>
  <c r="V75" s="1"/>
  <c r="V74" s="1"/>
  <c r="L75"/>
  <c r="U75" s="1"/>
  <c r="T74"/>
  <c r="S74"/>
  <c r="R74"/>
  <c r="Q74"/>
  <c r="Q66" s="1"/>
  <c r="P74"/>
  <c r="O74"/>
  <c r="N74"/>
  <c r="M74"/>
  <c r="K74"/>
  <c r="J74"/>
  <c r="I74"/>
  <c r="H74"/>
  <c r="G74"/>
  <c r="F74"/>
  <c r="E74"/>
  <c r="U73"/>
  <c r="N73"/>
  <c r="N71" s="1"/>
  <c r="M73"/>
  <c r="V73" s="1"/>
  <c r="L73"/>
  <c r="W72"/>
  <c r="N72"/>
  <c r="M72"/>
  <c r="V72" s="1"/>
  <c r="V71" s="1"/>
  <c r="L72"/>
  <c r="U72" s="1"/>
  <c r="U71" s="1"/>
  <c r="T71"/>
  <c r="S71"/>
  <c r="R71"/>
  <c r="Q71"/>
  <c r="P71"/>
  <c r="O71"/>
  <c r="M71"/>
  <c r="L71"/>
  <c r="K71"/>
  <c r="J71"/>
  <c r="I71"/>
  <c r="H71"/>
  <c r="G71"/>
  <c r="F71"/>
  <c r="E71"/>
  <c r="N70"/>
  <c r="W70" s="1"/>
  <c r="M70"/>
  <c r="M87" s="1"/>
  <c r="L70"/>
  <c r="U70" s="1"/>
  <c r="V69"/>
  <c r="N69"/>
  <c r="W69" s="1"/>
  <c r="M69"/>
  <c r="L69"/>
  <c r="U69" s="1"/>
  <c r="N68"/>
  <c r="W68" s="1"/>
  <c r="W67" s="1"/>
  <c r="M68"/>
  <c r="V68" s="1"/>
  <c r="V67" s="1"/>
  <c r="L68"/>
  <c r="U68" s="1"/>
  <c r="T67"/>
  <c r="S67"/>
  <c r="R67"/>
  <c r="R66" s="1"/>
  <c r="R65" s="1"/>
  <c r="Q67"/>
  <c r="P67"/>
  <c r="O67"/>
  <c r="N67"/>
  <c r="M67"/>
  <c r="K67"/>
  <c r="J67"/>
  <c r="J66" s="1"/>
  <c r="J65" s="1"/>
  <c r="I67"/>
  <c r="H67"/>
  <c r="G67"/>
  <c r="F67"/>
  <c r="F66" s="1"/>
  <c r="F65" s="1"/>
  <c r="E67"/>
  <c r="T66"/>
  <c r="T65" s="1"/>
  <c r="S66"/>
  <c r="P66"/>
  <c r="O66"/>
  <c r="K66"/>
  <c r="I66"/>
  <c r="I65" s="1"/>
  <c r="H66"/>
  <c r="G66"/>
  <c r="E66"/>
  <c r="E65" s="1"/>
  <c r="P65"/>
  <c r="H65"/>
  <c r="N63"/>
  <c r="W63" s="1"/>
  <c r="M63"/>
  <c r="V63" s="1"/>
  <c r="V62"/>
  <c r="N62"/>
  <c r="W62" s="1"/>
  <c r="M62"/>
  <c r="V61"/>
  <c r="N61"/>
  <c r="W61" s="1"/>
  <c r="M61"/>
  <c r="L61"/>
  <c r="U61" s="1"/>
  <c r="N60"/>
  <c r="M60"/>
  <c r="M59" s="1"/>
  <c r="L60"/>
  <c r="U60" s="1"/>
  <c r="U59" s="1"/>
  <c r="L59"/>
  <c r="K59"/>
  <c r="J59"/>
  <c r="I59"/>
  <c r="H59"/>
  <c r="G59"/>
  <c r="F59"/>
  <c r="E59"/>
  <c r="W58"/>
  <c r="N58"/>
  <c r="M58"/>
  <c r="V58" s="1"/>
  <c r="L58"/>
  <c r="U58" s="1"/>
  <c r="W57"/>
  <c r="V57"/>
  <c r="U57"/>
  <c r="N56"/>
  <c r="W56" s="1"/>
  <c r="M56"/>
  <c r="V56" s="1"/>
  <c r="L56"/>
  <c r="U56" s="1"/>
  <c r="V55"/>
  <c r="N55"/>
  <c r="W55" s="1"/>
  <c r="M55"/>
  <c r="L55"/>
  <c r="U55" s="1"/>
  <c r="N54"/>
  <c r="W54" s="1"/>
  <c r="M54"/>
  <c r="V54" s="1"/>
  <c r="L54"/>
  <c r="U54" s="1"/>
  <c r="N53"/>
  <c r="W53" s="1"/>
  <c r="L53"/>
  <c r="L52" s="1"/>
  <c r="M53"/>
  <c r="K52"/>
  <c r="J52"/>
  <c r="I52"/>
  <c r="H52"/>
  <c r="G52"/>
  <c r="G64" s="1"/>
  <c r="F52"/>
  <c r="E52"/>
  <c r="V51"/>
  <c r="N51"/>
  <c r="W51" s="1"/>
  <c r="M51"/>
  <c r="L51"/>
  <c r="U51" s="1"/>
  <c r="N50"/>
  <c r="W50" s="1"/>
  <c r="M50"/>
  <c r="V50" s="1"/>
  <c r="L50"/>
  <c r="U50" s="1"/>
  <c r="V49"/>
  <c r="U49"/>
  <c r="N49"/>
  <c r="W49" s="1"/>
  <c r="M49"/>
  <c r="L49"/>
  <c r="L47" s="1"/>
  <c r="U48"/>
  <c r="N48"/>
  <c r="W48" s="1"/>
  <c r="L48"/>
  <c r="M48"/>
  <c r="N47"/>
  <c r="K47"/>
  <c r="J47"/>
  <c r="I47"/>
  <c r="H47"/>
  <c r="G47"/>
  <c r="F47"/>
  <c r="E47"/>
  <c r="N46"/>
  <c r="W46" s="1"/>
  <c r="N45"/>
  <c r="W45" s="1"/>
  <c r="M45"/>
  <c r="V45" s="1"/>
  <c r="L45"/>
  <c r="U45" s="1"/>
  <c r="V44"/>
  <c r="N44"/>
  <c r="W44" s="1"/>
  <c r="M44"/>
  <c r="L44"/>
  <c r="U44" s="1"/>
  <c r="N43"/>
  <c r="M43"/>
  <c r="V43" s="1"/>
  <c r="L43"/>
  <c r="U43" s="1"/>
  <c r="N42"/>
  <c r="W42" s="1"/>
  <c r="L42"/>
  <c r="L41" s="1"/>
  <c r="M42"/>
  <c r="T41"/>
  <c r="S41"/>
  <c r="R41"/>
  <c r="Q41"/>
  <c r="P41"/>
  <c r="O41"/>
  <c r="K41"/>
  <c r="I41"/>
  <c r="H41"/>
  <c r="G41"/>
  <c r="F41"/>
  <c r="E41"/>
  <c r="N40"/>
  <c r="W40" s="1"/>
  <c r="M40"/>
  <c r="V40" s="1"/>
  <c r="L40"/>
  <c r="U40" s="1"/>
  <c r="V39"/>
  <c r="N39"/>
  <c r="W39" s="1"/>
  <c r="M39"/>
  <c r="L39"/>
  <c r="U39" s="1"/>
  <c r="N38"/>
  <c r="W38" s="1"/>
  <c r="M38"/>
  <c r="V38" s="1"/>
  <c r="V37" s="1"/>
  <c r="T37"/>
  <c r="S37"/>
  <c r="R37"/>
  <c r="Q37"/>
  <c r="P37"/>
  <c r="K37"/>
  <c r="J37"/>
  <c r="I37"/>
  <c r="H37"/>
  <c r="G37"/>
  <c r="F37"/>
  <c r="M36"/>
  <c r="V36" s="1"/>
  <c r="N36"/>
  <c r="W36" s="1"/>
  <c r="I36"/>
  <c r="L36" s="1"/>
  <c r="U36" s="1"/>
  <c r="N35"/>
  <c r="W35" s="1"/>
  <c r="M35"/>
  <c r="V35" s="1"/>
  <c r="L35"/>
  <c r="U35" s="1"/>
  <c r="V34"/>
  <c r="N34"/>
  <c r="W34" s="1"/>
  <c r="M34"/>
  <c r="M33"/>
  <c r="L33"/>
  <c r="U33" s="1"/>
  <c r="N32"/>
  <c r="W32" s="1"/>
  <c r="J32"/>
  <c r="M32" s="1"/>
  <c r="V32" s="1"/>
  <c r="I32"/>
  <c r="L32" s="1"/>
  <c r="U32" s="1"/>
  <c r="U31"/>
  <c r="N31"/>
  <c r="W31" s="1"/>
  <c r="M31"/>
  <c r="V31" s="1"/>
  <c r="L31"/>
  <c r="W30"/>
  <c r="N30"/>
  <c r="M30"/>
  <c r="V30" s="1"/>
  <c r="L30"/>
  <c r="U30" s="1"/>
  <c r="N29"/>
  <c r="W29" s="1"/>
  <c r="M29"/>
  <c r="V29" s="1"/>
  <c r="L29"/>
  <c r="U29" s="1"/>
  <c r="W28"/>
  <c r="N28"/>
  <c r="M28"/>
  <c r="V28" s="1"/>
  <c r="L28"/>
  <c r="U28" s="1"/>
  <c r="N27"/>
  <c r="W27" s="1"/>
  <c r="M27"/>
  <c r="V27" s="1"/>
  <c r="L27"/>
  <c r="U27" s="1"/>
  <c r="I27"/>
  <c r="U26"/>
  <c r="N26"/>
  <c r="W26" s="1"/>
  <c r="M26"/>
  <c r="L26"/>
  <c r="V25"/>
  <c r="N25"/>
  <c r="W25" s="1"/>
  <c r="M25"/>
  <c r="L25"/>
  <c r="U24"/>
  <c r="N24"/>
  <c r="W24" s="1"/>
  <c r="M24"/>
  <c r="V24" s="1"/>
  <c r="L24"/>
  <c r="T23"/>
  <c r="S23"/>
  <c r="R23"/>
  <c r="Q23"/>
  <c r="O23"/>
  <c r="K23"/>
  <c r="J23"/>
  <c r="I23"/>
  <c r="H23"/>
  <c r="G23"/>
  <c r="F23"/>
  <c r="E23"/>
  <c r="N22"/>
  <c r="M22"/>
  <c r="V22" s="1"/>
  <c r="I22"/>
  <c r="L22" s="1"/>
  <c r="U22" s="1"/>
  <c r="N21"/>
  <c r="W21" s="1"/>
  <c r="M21"/>
  <c r="V21" s="1"/>
  <c r="L21"/>
  <c r="U21" s="1"/>
  <c r="V20"/>
  <c r="N20"/>
  <c r="W20" s="1"/>
  <c r="M20"/>
  <c r="V19"/>
  <c r="N19"/>
  <c r="W19" s="1"/>
  <c r="M19"/>
  <c r="L19"/>
  <c r="U19" s="1"/>
  <c r="N18"/>
  <c r="W18" s="1"/>
  <c r="M18"/>
  <c r="V18" s="1"/>
  <c r="L18"/>
  <c r="U18" s="1"/>
  <c r="V17"/>
  <c r="M17"/>
  <c r="L17"/>
  <c r="U17" s="1"/>
  <c r="U16" s="1"/>
  <c r="K17"/>
  <c r="N17" s="1"/>
  <c r="T16"/>
  <c r="S16"/>
  <c r="R16"/>
  <c r="Q16"/>
  <c r="P16"/>
  <c r="O16"/>
  <c r="M16"/>
  <c r="J16"/>
  <c r="I16"/>
  <c r="H16"/>
  <c r="G16"/>
  <c r="F16"/>
  <c r="E16"/>
  <c r="N15"/>
  <c r="W15" s="1"/>
  <c r="M15"/>
  <c r="V15" s="1"/>
  <c r="L15"/>
  <c r="U15" s="1"/>
  <c r="V14"/>
  <c r="N14"/>
  <c r="W14" s="1"/>
  <c r="M14"/>
  <c r="L14"/>
  <c r="L12" s="1"/>
  <c r="N13"/>
  <c r="W13" s="1"/>
  <c r="W12" s="1"/>
  <c r="M13"/>
  <c r="V13" s="1"/>
  <c r="V12" s="1"/>
  <c r="L13"/>
  <c r="U13" s="1"/>
  <c r="T12"/>
  <c r="R12"/>
  <c r="R64" s="1"/>
  <c r="R92" s="1"/>
  <c r="R98" s="1"/>
  <c r="R110" s="1"/>
  <c r="R116" s="1"/>
  <c r="Q12"/>
  <c r="P12"/>
  <c r="O12"/>
  <c r="M12"/>
  <c r="K12"/>
  <c r="J12"/>
  <c r="I12"/>
  <c r="H12"/>
  <c r="G12"/>
  <c r="F12"/>
  <c r="F64" s="1"/>
  <c r="E12"/>
  <c r="E64" s="1"/>
  <c r="U11"/>
  <c r="N11"/>
  <c r="W11" s="1"/>
  <c r="M11"/>
  <c r="V11" s="1"/>
  <c r="L11"/>
  <c r="N9"/>
  <c r="W9" s="1"/>
  <c r="L9"/>
  <c r="M9"/>
  <c r="I9"/>
  <c r="I64" s="1"/>
  <c r="I92" s="1"/>
  <c r="W47" l="1"/>
  <c r="Q65"/>
  <c r="S65"/>
  <c r="M66"/>
  <c r="W84"/>
  <c r="N59"/>
  <c r="W52"/>
  <c r="N41"/>
  <c r="W37"/>
  <c r="N37"/>
  <c r="Q64"/>
  <c r="M23"/>
  <c r="N23"/>
  <c r="T64"/>
  <c r="T92" s="1"/>
  <c r="T98" s="1"/>
  <c r="T110" s="1"/>
  <c r="T116" s="1"/>
  <c r="O64"/>
  <c r="O92" s="1"/>
  <c r="O98" s="1"/>
  <c r="O110" s="1"/>
  <c r="O116" s="1"/>
  <c r="V26"/>
  <c r="V23" s="1"/>
  <c r="S64"/>
  <c r="H64"/>
  <c r="H92" s="1"/>
  <c r="H98" s="1"/>
  <c r="H110" s="1"/>
  <c r="H116" s="1"/>
  <c r="N12"/>
  <c r="I98"/>
  <c r="I110" s="1"/>
  <c r="I116" s="1"/>
  <c r="W10"/>
  <c r="V16"/>
  <c r="E92"/>
  <c r="E98" s="1"/>
  <c r="E110" s="1"/>
  <c r="E116" s="1"/>
  <c r="L23"/>
  <c r="U47"/>
  <c r="G92"/>
  <c r="G98" s="1"/>
  <c r="G110" s="1"/>
  <c r="G116" s="1"/>
  <c r="U67"/>
  <c r="W71"/>
  <c r="W66" s="1"/>
  <c r="U74"/>
  <c r="V80"/>
  <c r="V109"/>
  <c r="W115"/>
  <c r="V9"/>
  <c r="W17"/>
  <c r="W16" s="1"/>
  <c r="N16"/>
  <c r="V42"/>
  <c r="V41" s="1"/>
  <c r="M41"/>
  <c r="V48"/>
  <c r="V47" s="1"/>
  <c r="M47"/>
  <c r="V53"/>
  <c r="V52" s="1"/>
  <c r="M52"/>
  <c r="U87"/>
  <c r="W23"/>
  <c r="F92"/>
  <c r="F98" s="1"/>
  <c r="F110" s="1"/>
  <c r="F116" s="1"/>
  <c r="N66"/>
  <c r="N65" s="1"/>
  <c r="M109"/>
  <c r="U14"/>
  <c r="U12" s="1"/>
  <c r="L16"/>
  <c r="L64" s="1"/>
  <c r="U25"/>
  <c r="U23" s="1"/>
  <c r="M37"/>
  <c r="U42"/>
  <c r="U41" s="1"/>
  <c r="W43"/>
  <c r="W41" s="1"/>
  <c r="N52"/>
  <c r="W60"/>
  <c r="W59" s="1"/>
  <c r="W82"/>
  <c r="W87" s="1"/>
  <c r="W94"/>
  <c r="W97" s="1"/>
  <c r="K16"/>
  <c r="K64" s="1"/>
  <c r="K92" s="1"/>
  <c r="K98" s="1"/>
  <c r="K110" s="1"/>
  <c r="K116" s="1"/>
  <c r="P23"/>
  <c r="P64" s="1"/>
  <c r="P92" s="1"/>
  <c r="P98" s="1"/>
  <c r="P110" s="1"/>
  <c r="P116" s="1"/>
  <c r="V60"/>
  <c r="V59" s="1"/>
  <c r="L67"/>
  <c r="V70"/>
  <c r="V87" s="1"/>
  <c r="W73"/>
  <c r="L74"/>
  <c r="M84"/>
  <c r="M65" s="1"/>
  <c r="U86"/>
  <c r="U84" s="1"/>
  <c r="N87"/>
  <c r="U9"/>
  <c r="U53"/>
  <c r="L80"/>
  <c r="U95"/>
  <c r="U97" s="1"/>
  <c r="W100"/>
  <c r="N105"/>
  <c r="W105" s="1"/>
  <c r="N114"/>
  <c r="W114" s="1"/>
  <c r="J41"/>
  <c r="J64" s="1"/>
  <c r="J92" s="1"/>
  <c r="J98" s="1"/>
  <c r="J110" s="1"/>
  <c r="J116" s="1"/>
  <c r="V114"/>
  <c r="V115" s="1"/>
  <c r="W109" l="1"/>
  <c r="Q92"/>
  <c r="Q98" s="1"/>
  <c r="Q110" s="1"/>
  <c r="Q116" s="1"/>
  <c r="S92"/>
  <c r="S98" s="1"/>
  <c r="S110" s="1"/>
  <c r="S116" s="1"/>
  <c r="V66"/>
  <c r="V65" s="1"/>
  <c r="M64"/>
  <c r="M92" s="1"/>
  <c r="M98" s="1"/>
  <c r="M110" s="1"/>
  <c r="M116" s="1"/>
  <c r="N64"/>
  <c r="N92" s="1"/>
  <c r="N98" s="1"/>
  <c r="W64"/>
  <c r="U64"/>
  <c r="U92" s="1"/>
  <c r="U98" s="1"/>
  <c r="U110" s="1"/>
  <c r="U116" s="1"/>
  <c r="U66"/>
  <c r="U65" s="1"/>
  <c r="W80"/>
  <c r="W65" s="1"/>
  <c r="L66"/>
  <c r="L65" s="1"/>
  <c r="L92" s="1"/>
  <c r="L98" s="1"/>
  <c r="L110" s="1"/>
  <c r="L116" s="1"/>
  <c r="N109"/>
  <c r="V64"/>
  <c r="N115"/>
  <c r="V92" l="1"/>
  <c r="V98" s="1"/>
  <c r="V110" s="1"/>
  <c r="V116" s="1"/>
  <c r="N110"/>
  <c r="N116" s="1"/>
  <c r="W92"/>
  <c r="W98" s="1"/>
  <c r="W110" s="1"/>
  <c r="W116" s="1"/>
  <c r="D16" i="59" l="1"/>
  <c r="D14"/>
  <c r="D13"/>
  <c r="D12"/>
  <c r="D10"/>
  <c r="D9"/>
  <c r="D8"/>
  <c r="D7"/>
  <c r="X115" i="56" l="1"/>
  <c r="X114"/>
  <c r="X113"/>
  <c r="Y109"/>
  <c r="X109"/>
  <c r="X108"/>
  <c r="X107"/>
  <c r="X106"/>
  <c r="X105"/>
  <c r="X104"/>
  <c r="X103"/>
  <c r="X102"/>
  <c r="X101"/>
  <c r="X97"/>
  <c r="Y97" s="1"/>
  <c r="X96"/>
  <c r="Y96" s="1"/>
  <c r="X95"/>
  <c r="Z95" s="1"/>
  <c r="X92"/>
  <c r="Y92" s="1"/>
  <c r="X91"/>
  <c r="Z91" s="1"/>
  <c r="X90"/>
  <c r="Z90" s="1"/>
  <c r="Y88"/>
  <c r="X87"/>
  <c r="Y87" s="1"/>
  <c r="X86"/>
  <c r="Z86" s="1"/>
  <c r="X84"/>
  <c r="Y84" s="1"/>
  <c r="X83"/>
  <c r="Y83" s="1"/>
  <c r="X82"/>
  <c r="Z82" s="1"/>
  <c r="X80"/>
  <c r="Y80" s="1"/>
  <c r="X79"/>
  <c r="Z79" s="1"/>
  <c r="X78"/>
  <c r="Y78" s="1"/>
  <c r="X77"/>
  <c r="Z77" s="1"/>
  <c r="X76"/>
  <c r="Z76" s="1"/>
  <c r="X74"/>
  <c r="Y74" s="1"/>
  <c r="X73"/>
  <c r="Z73" s="1"/>
  <c r="X71"/>
  <c r="Y71" s="1"/>
  <c r="X70"/>
  <c r="Z70" s="1"/>
  <c r="X69"/>
  <c r="Z69" s="1"/>
  <c r="X64"/>
  <c r="Y64" s="1"/>
  <c r="X63"/>
  <c r="Z63" s="1"/>
  <c r="X62"/>
  <c r="Z62" s="1"/>
  <c r="X61"/>
  <c r="Y61" s="1"/>
  <c r="X59"/>
  <c r="Z59" s="1"/>
  <c r="X58"/>
  <c r="Y58" s="1"/>
  <c r="X57"/>
  <c r="Y57" s="1"/>
  <c r="X56"/>
  <c r="Z56" s="1"/>
  <c r="X55"/>
  <c r="Z55" s="1"/>
  <c r="X53"/>
  <c r="Z53" s="1"/>
  <c r="X52"/>
  <c r="Z52" s="1"/>
  <c r="X51"/>
  <c r="Y51" s="1"/>
  <c r="X50"/>
  <c r="Y50" s="1"/>
  <c r="X48"/>
  <c r="Z48" s="1"/>
  <c r="X47"/>
  <c r="Y47" s="1"/>
  <c r="X46"/>
  <c r="Z46" s="1"/>
  <c r="X45"/>
  <c r="Z45" s="1"/>
  <c r="X44"/>
  <c r="Z44" s="1"/>
  <c r="X42"/>
  <c r="Z42" s="1"/>
  <c r="X41"/>
  <c r="Z41" s="1"/>
  <c r="X40"/>
  <c r="Z40" s="1"/>
  <c r="X38"/>
  <c r="Y38" s="1"/>
  <c r="X37"/>
  <c r="Z37" s="1"/>
  <c r="X36"/>
  <c r="Z36" s="1"/>
  <c r="X35"/>
  <c r="X34"/>
  <c r="Z34" s="1"/>
  <c r="X33"/>
  <c r="Y33" s="1"/>
  <c r="X32"/>
  <c r="Z32" s="1"/>
  <c r="X31"/>
  <c r="Z31" s="1"/>
  <c r="X30"/>
  <c r="Z30" s="1"/>
  <c r="X29"/>
  <c r="Y29" s="1"/>
  <c r="X28"/>
  <c r="Z28" s="1"/>
  <c r="X27"/>
  <c r="Z27" s="1"/>
  <c r="X26"/>
  <c r="Z26" s="1"/>
  <c r="X24"/>
  <c r="Y24" s="1"/>
  <c r="X23"/>
  <c r="Z23" s="1"/>
  <c r="X22"/>
  <c r="Y22" s="1"/>
  <c r="X21"/>
  <c r="Z21" s="1"/>
  <c r="X20"/>
  <c r="Z20" s="1"/>
  <c r="X19"/>
  <c r="Z19" s="1"/>
  <c r="X17"/>
  <c r="Y17" s="1"/>
  <c r="X16"/>
  <c r="X15"/>
  <c r="Y15" s="1"/>
  <c r="X13"/>
  <c r="Z13" s="1"/>
  <c r="X12"/>
  <c r="Z12" s="1"/>
  <c r="X9"/>
  <c r="Z9" s="1"/>
  <c r="U115"/>
  <c r="U114"/>
  <c r="U113"/>
  <c r="V109"/>
  <c r="U109"/>
  <c r="U108"/>
  <c r="U107"/>
  <c r="U106"/>
  <c r="U105"/>
  <c r="U104"/>
  <c r="U103"/>
  <c r="U102"/>
  <c r="U101"/>
  <c r="U97"/>
  <c r="V97" s="1"/>
  <c r="U96"/>
  <c r="V96" s="1"/>
  <c r="U95"/>
  <c r="W95" s="1"/>
  <c r="U92"/>
  <c r="V92" s="1"/>
  <c r="U91"/>
  <c r="V91" s="1"/>
  <c r="U90"/>
  <c r="W90" s="1"/>
  <c r="V88"/>
  <c r="U87"/>
  <c r="V87" s="1"/>
  <c r="U86"/>
  <c r="V86" s="1"/>
  <c r="U84"/>
  <c r="V84" s="1"/>
  <c r="U83"/>
  <c r="V83" s="1"/>
  <c r="U82"/>
  <c r="W82" s="1"/>
  <c r="U80"/>
  <c r="V80" s="1"/>
  <c r="U79"/>
  <c r="W79" s="1"/>
  <c r="U78"/>
  <c r="V78" s="1"/>
  <c r="U77"/>
  <c r="W77" s="1"/>
  <c r="U76"/>
  <c r="W76" s="1"/>
  <c r="U74"/>
  <c r="V74" s="1"/>
  <c r="U73"/>
  <c r="V73" s="1"/>
  <c r="U71"/>
  <c r="V71" s="1"/>
  <c r="U70"/>
  <c r="W70" s="1"/>
  <c r="U69"/>
  <c r="W69" s="1"/>
  <c r="U64"/>
  <c r="V64" s="1"/>
  <c r="U63"/>
  <c r="W63" s="1"/>
  <c r="U62"/>
  <c r="W62" s="1"/>
  <c r="U61"/>
  <c r="V61" s="1"/>
  <c r="U59"/>
  <c r="V59" s="1"/>
  <c r="U58"/>
  <c r="V58" s="1"/>
  <c r="U57"/>
  <c r="V57" s="1"/>
  <c r="U56"/>
  <c r="W56" s="1"/>
  <c r="U55"/>
  <c r="W55" s="1"/>
  <c r="U53"/>
  <c r="V53" s="1"/>
  <c r="U52"/>
  <c r="V52" s="1"/>
  <c r="U51"/>
  <c r="V51" s="1"/>
  <c r="U50"/>
  <c r="V50" s="1"/>
  <c r="U48"/>
  <c r="W48" s="1"/>
  <c r="U47"/>
  <c r="V47" s="1"/>
  <c r="U46"/>
  <c r="W46" s="1"/>
  <c r="U45"/>
  <c r="V45" s="1"/>
  <c r="U44"/>
  <c r="W44" s="1"/>
  <c r="U42"/>
  <c r="W42" s="1"/>
  <c r="U41"/>
  <c r="W41" s="1"/>
  <c r="U40"/>
  <c r="W40" s="1"/>
  <c r="U38"/>
  <c r="V38" s="1"/>
  <c r="U37"/>
  <c r="V37" s="1"/>
  <c r="U36"/>
  <c r="W36" s="1"/>
  <c r="U35"/>
  <c r="U34"/>
  <c r="W34" s="1"/>
  <c r="U33"/>
  <c r="V33" s="1"/>
  <c r="U32"/>
  <c r="V32" s="1"/>
  <c r="U31"/>
  <c r="W31" s="1"/>
  <c r="U30"/>
  <c r="W30" s="1"/>
  <c r="U29"/>
  <c r="V29" s="1"/>
  <c r="U28"/>
  <c r="V28" s="1"/>
  <c r="U27"/>
  <c r="V27" s="1"/>
  <c r="U26"/>
  <c r="W26" s="1"/>
  <c r="U24"/>
  <c r="W24" s="1"/>
  <c r="U23"/>
  <c r="V23" s="1"/>
  <c r="U22"/>
  <c r="V22" s="1"/>
  <c r="U21"/>
  <c r="V21" s="1"/>
  <c r="U20"/>
  <c r="V20" s="1"/>
  <c r="U19"/>
  <c r="W19" s="1"/>
  <c r="U17"/>
  <c r="W17" s="1"/>
  <c r="U16"/>
  <c r="V16" s="1"/>
  <c r="U15"/>
  <c r="V15" s="1"/>
  <c r="U13"/>
  <c r="V13" s="1"/>
  <c r="U12"/>
  <c r="W12" s="1"/>
  <c r="C37" i="57"/>
  <c r="C39"/>
  <c r="C40"/>
  <c r="D27"/>
  <c r="D26"/>
  <c r="Y45" i="56" l="1"/>
  <c r="V70"/>
  <c r="V90"/>
  <c r="V89" s="1"/>
  <c r="Y56"/>
  <c r="Z33"/>
  <c r="W91"/>
  <c r="Z38"/>
  <c r="V77"/>
  <c r="V12"/>
  <c r="V19"/>
  <c r="V18" s="1"/>
  <c r="V42"/>
  <c r="V46"/>
  <c r="Y20"/>
  <c r="W13"/>
  <c r="V17"/>
  <c r="W20"/>
  <c r="V41"/>
  <c r="W52"/>
  <c r="V56"/>
  <c r="W74"/>
  <c r="Y9"/>
  <c r="Z15"/>
  <c r="Y31"/>
  <c r="Y21"/>
  <c r="Y32"/>
  <c r="Y46"/>
  <c r="Y70"/>
  <c r="X116"/>
  <c r="V31"/>
  <c r="W38"/>
  <c r="W59"/>
  <c r="V63"/>
  <c r="V72"/>
  <c r="Y53"/>
  <c r="Z92"/>
  <c r="V24"/>
  <c r="W27"/>
  <c r="W32"/>
  <c r="V48"/>
  <c r="W57"/>
  <c r="U72"/>
  <c r="W72" s="1"/>
  <c r="V85"/>
  <c r="Z17"/>
  <c r="Y23"/>
  <c r="Y28"/>
  <c r="Y41"/>
  <c r="Z61"/>
  <c r="Z74"/>
  <c r="Z84"/>
  <c r="W37"/>
  <c r="W73"/>
  <c r="U81"/>
  <c r="W81" s="1"/>
  <c r="Z24"/>
  <c r="V26"/>
  <c r="U39"/>
  <c r="W39" s="1"/>
  <c r="V44"/>
  <c r="V43" s="1"/>
  <c r="W50"/>
  <c r="U68"/>
  <c r="W68" s="1"/>
  <c r="U75"/>
  <c r="W75" s="1"/>
  <c r="V95"/>
  <c r="V98" s="1"/>
  <c r="Y13"/>
  <c r="X14"/>
  <c r="Z14" s="1"/>
  <c r="Y27"/>
  <c r="Z29"/>
  <c r="Y37"/>
  <c r="Y42"/>
  <c r="Y73"/>
  <c r="Y72" s="1"/>
  <c r="Y86"/>
  <c r="Y85" s="1"/>
  <c r="U9"/>
  <c r="V9" s="1"/>
  <c r="U54"/>
  <c r="W54" s="1"/>
  <c r="X49"/>
  <c r="Z49" s="1"/>
  <c r="U18"/>
  <c r="W18" s="1"/>
  <c r="W21"/>
  <c r="W23"/>
  <c r="U25"/>
  <c r="W25" s="1"/>
  <c r="W28"/>
  <c r="V34"/>
  <c r="V40"/>
  <c r="W45"/>
  <c r="W43" s="1"/>
  <c r="W53"/>
  <c r="V62"/>
  <c r="V60" s="1"/>
  <c r="V69"/>
  <c r="V76"/>
  <c r="V82"/>
  <c r="V81" s="1"/>
  <c r="U85"/>
  <c r="W85" s="1"/>
  <c r="W86"/>
  <c r="U89"/>
  <c r="W89" s="1"/>
  <c r="W92"/>
  <c r="Z50"/>
  <c r="Z57"/>
  <c r="Y63"/>
  <c r="X72"/>
  <c r="Z72" s="1"/>
  <c r="Y77"/>
  <c r="X110"/>
  <c r="V14"/>
  <c r="V49"/>
  <c r="V30"/>
  <c r="V36"/>
  <c r="U43"/>
  <c r="V55"/>
  <c r="V79"/>
  <c r="Z47"/>
  <c r="Y52"/>
  <c r="Y59"/>
  <c r="X85"/>
  <c r="Z85" s="1"/>
  <c r="Y91"/>
  <c r="Z97"/>
  <c r="Z43"/>
  <c r="Y12"/>
  <c r="Y16"/>
  <c r="Y14" s="1"/>
  <c r="X18"/>
  <c r="Z18" s="1"/>
  <c r="Y19"/>
  <c r="X25"/>
  <c r="Z25" s="1"/>
  <c r="Y26"/>
  <c r="Y30"/>
  <c r="Y34"/>
  <c r="Y36"/>
  <c r="X39"/>
  <c r="Z39" s="1"/>
  <c r="Y40"/>
  <c r="X43"/>
  <c r="Y44"/>
  <c r="Y48"/>
  <c r="X54"/>
  <c r="Z54" s="1"/>
  <c r="Y55"/>
  <c r="Y54" s="1"/>
  <c r="Y62"/>
  <c r="Y60" s="1"/>
  <c r="X68"/>
  <c r="Y69"/>
  <c r="X75"/>
  <c r="Z75" s="1"/>
  <c r="Y76"/>
  <c r="Y79"/>
  <c r="X81"/>
  <c r="Z81" s="1"/>
  <c r="Y82"/>
  <c r="Y81" s="1"/>
  <c r="X89"/>
  <c r="Z89" s="1"/>
  <c r="Y90"/>
  <c r="Y95"/>
  <c r="Y98" s="1"/>
  <c r="X98"/>
  <c r="X60"/>
  <c r="Z60" s="1"/>
  <c r="U110"/>
  <c r="U98"/>
  <c r="W15"/>
  <c r="W29"/>
  <c r="W33"/>
  <c r="W84"/>
  <c r="W97"/>
  <c r="U116"/>
  <c r="W47"/>
  <c r="U49"/>
  <c r="W49" s="1"/>
  <c r="W61"/>
  <c r="U14"/>
  <c r="W14" s="1"/>
  <c r="U60"/>
  <c r="W60" s="1"/>
  <c r="C44" i="57"/>
  <c r="D23"/>
  <c r="C11"/>
  <c r="L17" i="34"/>
  <c r="R16" i="56"/>
  <c r="G109"/>
  <c r="G108"/>
  <c r="V108" s="1"/>
  <c r="G107"/>
  <c r="V107" s="1"/>
  <c r="G106"/>
  <c r="Z106" s="1"/>
  <c r="G105"/>
  <c r="V105" s="1"/>
  <c r="G104"/>
  <c r="Z104" s="1"/>
  <c r="G103"/>
  <c r="W103" s="1"/>
  <c r="G102"/>
  <c r="Z102" s="1"/>
  <c r="G101"/>
  <c r="V101" s="1"/>
  <c r="G115"/>
  <c r="Z115" s="1"/>
  <c r="G114"/>
  <c r="Y114" s="1"/>
  <c r="V75" l="1"/>
  <c r="V54"/>
  <c r="Y43"/>
  <c r="V68"/>
  <c r="Y68"/>
  <c r="Y49"/>
  <c r="Y75"/>
  <c r="Y18"/>
  <c r="W101"/>
  <c r="V39"/>
  <c r="Y89"/>
  <c r="Y39"/>
  <c r="Y102"/>
  <c r="W9"/>
  <c r="V65"/>
  <c r="Y104"/>
  <c r="U67"/>
  <c r="W115"/>
  <c r="Z108"/>
  <c r="Y115"/>
  <c r="V25"/>
  <c r="W108"/>
  <c r="Y101"/>
  <c r="Z101"/>
  <c r="Y105"/>
  <c r="W105"/>
  <c r="Z105"/>
  <c r="Z109"/>
  <c r="W109"/>
  <c r="W107"/>
  <c r="W114"/>
  <c r="Z107"/>
  <c r="W102"/>
  <c r="Y107"/>
  <c r="Y106"/>
  <c r="V102"/>
  <c r="V115"/>
  <c r="V106"/>
  <c r="Z114"/>
  <c r="V104"/>
  <c r="W104"/>
  <c r="Z103"/>
  <c r="Y103"/>
  <c r="W106"/>
  <c r="Y25"/>
  <c r="Y108"/>
  <c r="V103"/>
  <c r="V114"/>
  <c r="X67"/>
  <c r="Z68"/>
  <c r="X65"/>
  <c r="Z98"/>
  <c r="U65"/>
  <c r="W98"/>
  <c r="V67" l="1"/>
  <c r="V66" s="1"/>
  <c r="V93" s="1"/>
  <c r="V99" s="1"/>
  <c r="Y67"/>
  <c r="Y66" s="1"/>
  <c r="V110"/>
  <c r="Y65"/>
  <c r="U66"/>
  <c r="W66" s="1"/>
  <c r="W67"/>
  <c r="Y110"/>
  <c r="X66"/>
  <c r="Z66" s="1"/>
  <c r="Z67"/>
  <c r="Z65"/>
  <c r="W65"/>
  <c r="Y93" l="1"/>
  <c r="Y99" s="1"/>
  <c r="Y111" s="1"/>
  <c r="Y117" s="1"/>
  <c r="V111"/>
  <c r="V117" s="1"/>
  <c r="U93"/>
  <c r="W93" s="1"/>
  <c r="X93"/>
  <c r="C30" i="57"/>
  <c r="C42" s="1"/>
  <c r="C21"/>
  <c r="C12"/>
  <c r="C29"/>
  <c r="C10"/>
  <c r="U99" i="56" l="1"/>
  <c r="W99" s="1"/>
  <c r="Z93"/>
  <c r="X99"/>
  <c r="U111" l="1"/>
  <c r="U117" s="1"/>
  <c r="Z99"/>
  <c r="X111"/>
  <c r="X117" l="1"/>
  <c r="R15" l="1"/>
  <c r="R9" l="1"/>
  <c r="C9" i="57" l="1"/>
  <c r="R58" i="56"/>
  <c r="R51"/>
  <c r="R35"/>
  <c r="C8" i="57" l="1"/>
  <c r="C38" s="1"/>
  <c r="C17" l="1"/>
  <c r="C6"/>
  <c r="C41" s="1"/>
  <c r="C43" s="1"/>
  <c r="C45" s="1"/>
  <c r="D32" l="1"/>
  <c r="D31"/>
  <c r="D30"/>
  <c r="D29"/>
  <c r="D25"/>
  <c r="D24"/>
  <c r="D22"/>
  <c r="D21"/>
  <c r="D20"/>
  <c r="D19"/>
  <c r="D18"/>
  <c r="D17"/>
  <c r="D16"/>
  <c r="D15"/>
  <c r="D14"/>
  <c r="D13"/>
  <c r="D12"/>
  <c r="D11"/>
  <c r="D10"/>
  <c r="D9"/>
  <c r="D8"/>
  <c r="D7"/>
  <c r="D6"/>
  <c r="C33"/>
  <c r="B33"/>
  <c r="D33" l="1"/>
  <c r="E9" i="56" l="1"/>
  <c r="G9"/>
  <c r="S9" s="1"/>
  <c r="I10"/>
  <c r="J10"/>
  <c r="K10"/>
  <c r="L10"/>
  <c r="M10" s="1"/>
  <c r="O10"/>
  <c r="Q10" s="1"/>
  <c r="F11"/>
  <c r="F9" s="1"/>
  <c r="I11"/>
  <c r="J11"/>
  <c r="K11"/>
  <c r="L11"/>
  <c r="M11" s="1"/>
  <c r="O11"/>
  <c r="P11" s="1"/>
  <c r="I12"/>
  <c r="J12"/>
  <c r="K12"/>
  <c r="L12"/>
  <c r="M12" s="1"/>
  <c r="O12"/>
  <c r="P12" s="1"/>
  <c r="I13"/>
  <c r="J13"/>
  <c r="K13"/>
  <c r="L13"/>
  <c r="M13" s="1"/>
  <c r="O13"/>
  <c r="P13" s="1"/>
  <c r="E14"/>
  <c r="F14"/>
  <c r="G14"/>
  <c r="H14"/>
  <c r="I15"/>
  <c r="I14" s="1"/>
  <c r="J15"/>
  <c r="K15"/>
  <c r="K14" s="1"/>
  <c r="L15"/>
  <c r="L14" s="1"/>
  <c r="O15"/>
  <c r="O14" s="1"/>
  <c r="J16"/>
  <c r="M16"/>
  <c r="P16"/>
  <c r="I17"/>
  <c r="J17"/>
  <c r="K17"/>
  <c r="L17"/>
  <c r="M17" s="1"/>
  <c r="O17"/>
  <c r="P17" s="1"/>
  <c r="E18"/>
  <c r="F18"/>
  <c r="G18"/>
  <c r="I19"/>
  <c r="J19"/>
  <c r="K19"/>
  <c r="L19"/>
  <c r="M19" s="1"/>
  <c r="O19"/>
  <c r="I20"/>
  <c r="J20"/>
  <c r="K20"/>
  <c r="L20"/>
  <c r="M20" s="1"/>
  <c r="O20"/>
  <c r="P20" s="1"/>
  <c r="I21"/>
  <c r="J21"/>
  <c r="K21"/>
  <c r="L21"/>
  <c r="M21" s="1"/>
  <c r="O21"/>
  <c r="P21" s="1"/>
  <c r="I22"/>
  <c r="J22"/>
  <c r="K22"/>
  <c r="L22"/>
  <c r="M22" s="1"/>
  <c r="O22"/>
  <c r="P22" s="1"/>
  <c r="I23"/>
  <c r="J23"/>
  <c r="K23"/>
  <c r="L23"/>
  <c r="M23" s="1"/>
  <c r="O23"/>
  <c r="P23" s="1"/>
  <c r="I24"/>
  <c r="J24"/>
  <c r="K24"/>
  <c r="L24"/>
  <c r="M24" s="1"/>
  <c r="O24"/>
  <c r="Q24" s="1"/>
  <c r="E25"/>
  <c r="F25"/>
  <c r="G25"/>
  <c r="I26"/>
  <c r="J26"/>
  <c r="K26"/>
  <c r="L26"/>
  <c r="O26"/>
  <c r="Q26" s="1"/>
  <c r="I27"/>
  <c r="J27"/>
  <c r="K27"/>
  <c r="L27"/>
  <c r="M27" s="1"/>
  <c r="O27"/>
  <c r="Q27" s="1"/>
  <c r="I28"/>
  <c r="J28"/>
  <c r="K28"/>
  <c r="L28"/>
  <c r="M28" s="1"/>
  <c r="O28"/>
  <c r="I29"/>
  <c r="J29"/>
  <c r="K29"/>
  <c r="L29"/>
  <c r="M29" s="1"/>
  <c r="O29"/>
  <c r="Q29" s="1"/>
  <c r="I30"/>
  <c r="J30"/>
  <c r="K30"/>
  <c r="L30"/>
  <c r="M30" s="1"/>
  <c r="O30"/>
  <c r="I31"/>
  <c r="J31"/>
  <c r="K31"/>
  <c r="L31"/>
  <c r="M31" s="1"/>
  <c r="O31"/>
  <c r="P31" s="1"/>
  <c r="I32"/>
  <c r="J32"/>
  <c r="K32"/>
  <c r="L32"/>
  <c r="M32" s="1"/>
  <c r="O32"/>
  <c r="P32" s="1"/>
  <c r="I33"/>
  <c r="J33"/>
  <c r="K33"/>
  <c r="L33"/>
  <c r="M33" s="1"/>
  <c r="O33"/>
  <c r="P33" s="1"/>
  <c r="I34"/>
  <c r="J34"/>
  <c r="K34"/>
  <c r="L34"/>
  <c r="M34" s="1"/>
  <c r="O34"/>
  <c r="I35"/>
  <c r="J35"/>
  <c r="K35"/>
  <c r="L35"/>
  <c r="O35"/>
  <c r="I36"/>
  <c r="J36"/>
  <c r="K36"/>
  <c r="L36"/>
  <c r="M36" s="1"/>
  <c r="O36"/>
  <c r="P36" s="1"/>
  <c r="I37"/>
  <c r="J37"/>
  <c r="K37"/>
  <c r="L37"/>
  <c r="M37" s="1"/>
  <c r="O37"/>
  <c r="P37" s="1"/>
  <c r="I38"/>
  <c r="J38"/>
  <c r="K38"/>
  <c r="L38"/>
  <c r="M38" s="1"/>
  <c r="O38"/>
  <c r="P38" s="1"/>
  <c r="E39"/>
  <c r="F39"/>
  <c r="G39"/>
  <c r="I40"/>
  <c r="J40"/>
  <c r="K40"/>
  <c r="L40"/>
  <c r="M40" s="1"/>
  <c r="O40"/>
  <c r="Q40" s="1"/>
  <c r="I41"/>
  <c r="J41"/>
  <c r="K41"/>
  <c r="L41"/>
  <c r="M41" s="1"/>
  <c r="O41"/>
  <c r="P41" s="1"/>
  <c r="I42"/>
  <c r="J42"/>
  <c r="K42"/>
  <c r="L42"/>
  <c r="M42" s="1"/>
  <c r="O42"/>
  <c r="Q42" s="1"/>
  <c r="E43"/>
  <c r="F43"/>
  <c r="G43"/>
  <c r="I44"/>
  <c r="J44"/>
  <c r="K44"/>
  <c r="L44"/>
  <c r="N44" s="1"/>
  <c r="O44"/>
  <c r="P44" s="1"/>
  <c r="I45"/>
  <c r="J45"/>
  <c r="K45"/>
  <c r="L45"/>
  <c r="M45" s="1"/>
  <c r="O45"/>
  <c r="P45" s="1"/>
  <c r="I46"/>
  <c r="J46"/>
  <c r="K46"/>
  <c r="L46"/>
  <c r="M46" s="1"/>
  <c r="O46"/>
  <c r="P46" s="1"/>
  <c r="I47"/>
  <c r="J47"/>
  <c r="K47"/>
  <c r="L47"/>
  <c r="M47" s="1"/>
  <c r="O47"/>
  <c r="P47" s="1"/>
  <c r="I48"/>
  <c r="J48"/>
  <c r="K48"/>
  <c r="L48"/>
  <c r="M48" s="1"/>
  <c r="O48"/>
  <c r="E49"/>
  <c r="F49"/>
  <c r="G49"/>
  <c r="I50"/>
  <c r="J50"/>
  <c r="K50"/>
  <c r="L50"/>
  <c r="M50" s="1"/>
  <c r="O50"/>
  <c r="Q50" s="1"/>
  <c r="I51"/>
  <c r="J51"/>
  <c r="K51"/>
  <c r="L51"/>
  <c r="O51"/>
  <c r="P51" s="1"/>
  <c r="S51"/>
  <c r="I52"/>
  <c r="J52"/>
  <c r="K52"/>
  <c r="L52"/>
  <c r="M52" s="1"/>
  <c r="O52"/>
  <c r="P52" s="1"/>
  <c r="I53"/>
  <c r="J53"/>
  <c r="K53"/>
  <c r="L53"/>
  <c r="M53" s="1"/>
  <c r="O53"/>
  <c r="P53" s="1"/>
  <c r="E54"/>
  <c r="F54"/>
  <c r="G54"/>
  <c r="I55"/>
  <c r="J55"/>
  <c r="K55"/>
  <c r="L55"/>
  <c r="M55" s="1"/>
  <c r="O55"/>
  <c r="Q55" s="1"/>
  <c r="I56"/>
  <c r="J56"/>
  <c r="K56"/>
  <c r="L56"/>
  <c r="M56" s="1"/>
  <c r="O56"/>
  <c r="P56" s="1"/>
  <c r="I57"/>
  <c r="J57"/>
  <c r="K57"/>
  <c r="L57"/>
  <c r="M57" s="1"/>
  <c r="O57"/>
  <c r="Q57" s="1"/>
  <c r="I58"/>
  <c r="J58"/>
  <c r="K58"/>
  <c r="L58"/>
  <c r="O58"/>
  <c r="P58" s="1"/>
  <c r="S58"/>
  <c r="I59"/>
  <c r="J59"/>
  <c r="K59"/>
  <c r="L59"/>
  <c r="M59" s="1"/>
  <c r="O59"/>
  <c r="P59" s="1"/>
  <c r="E60"/>
  <c r="F60"/>
  <c r="G60"/>
  <c r="G65" s="1"/>
  <c r="I61"/>
  <c r="J61"/>
  <c r="K61"/>
  <c r="L61"/>
  <c r="N61" s="1"/>
  <c r="O61"/>
  <c r="P61" s="1"/>
  <c r="I62"/>
  <c r="J62"/>
  <c r="K62"/>
  <c r="L62"/>
  <c r="M62" s="1"/>
  <c r="O62"/>
  <c r="Q62" s="1"/>
  <c r="I63"/>
  <c r="J63"/>
  <c r="K63"/>
  <c r="L63"/>
  <c r="M63" s="1"/>
  <c r="O63"/>
  <c r="P63" s="1"/>
  <c r="I64"/>
  <c r="J64"/>
  <c r="K64"/>
  <c r="L64"/>
  <c r="M64" s="1"/>
  <c r="O64"/>
  <c r="P64" s="1"/>
  <c r="E65"/>
  <c r="H65"/>
  <c r="E68"/>
  <c r="F68"/>
  <c r="G68"/>
  <c r="I69"/>
  <c r="J69"/>
  <c r="K69"/>
  <c r="L69"/>
  <c r="N69" s="1"/>
  <c r="O69"/>
  <c r="P69" s="1"/>
  <c r="I70"/>
  <c r="J70"/>
  <c r="K70"/>
  <c r="L70"/>
  <c r="M70" s="1"/>
  <c r="O70"/>
  <c r="P70" s="1"/>
  <c r="I71"/>
  <c r="J71"/>
  <c r="K71"/>
  <c r="L71"/>
  <c r="M71" s="1"/>
  <c r="O71"/>
  <c r="P71" s="1"/>
  <c r="E72"/>
  <c r="F72"/>
  <c r="G72"/>
  <c r="I73"/>
  <c r="J73"/>
  <c r="K73"/>
  <c r="L73"/>
  <c r="M73" s="1"/>
  <c r="O73"/>
  <c r="Q73" s="1"/>
  <c r="I74"/>
  <c r="J74"/>
  <c r="K74"/>
  <c r="L74"/>
  <c r="M74" s="1"/>
  <c r="O74"/>
  <c r="P74" s="1"/>
  <c r="E75"/>
  <c r="F75"/>
  <c r="G75"/>
  <c r="I76"/>
  <c r="J76"/>
  <c r="K76"/>
  <c r="L76"/>
  <c r="M76" s="1"/>
  <c r="O76"/>
  <c r="Q76" s="1"/>
  <c r="I77"/>
  <c r="J77"/>
  <c r="K77"/>
  <c r="L77"/>
  <c r="M77" s="1"/>
  <c r="O77"/>
  <c r="P77" s="1"/>
  <c r="I78"/>
  <c r="J78"/>
  <c r="K78"/>
  <c r="L78"/>
  <c r="M78" s="1"/>
  <c r="O78"/>
  <c r="P78" s="1"/>
  <c r="I79"/>
  <c r="J79"/>
  <c r="K79"/>
  <c r="L79"/>
  <c r="M79" s="1"/>
  <c r="O79"/>
  <c r="P79" s="1"/>
  <c r="I80"/>
  <c r="J80"/>
  <c r="K80"/>
  <c r="L80"/>
  <c r="M80" s="1"/>
  <c r="O80"/>
  <c r="P80" s="1"/>
  <c r="E81"/>
  <c r="F81"/>
  <c r="G81"/>
  <c r="I82"/>
  <c r="J82"/>
  <c r="K82"/>
  <c r="L82"/>
  <c r="M82" s="1"/>
  <c r="O82"/>
  <c r="Q82" s="1"/>
  <c r="I83"/>
  <c r="J83"/>
  <c r="K83"/>
  <c r="L83"/>
  <c r="M83" s="1"/>
  <c r="O83"/>
  <c r="P83" s="1"/>
  <c r="I84"/>
  <c r="J84"/>
  <c r="K84"/>
  <c r="L84"/>
  <c r="M84" s="1"/>
  <c r="O84"/>
  <c r="P84" s="1"/>
  <c r="E85"/>
  <c r="F85"/>
  <c r="G85"/>
  <c r="I86"/>
  <c r="J86"/>
  <c r="K86"/>
  <c r="L86"/>
  <c r="N86" s="1"/>
  <c r="O86"/>
  <c r="P86" s="1"/>
  <c r="I87"/>
  <c r="J87"/>
  <c r="K87"/>
  <c r="L87"/>
  <c r="M87" s="1"/>
  <c r="O87"/>
  <c r="P87" s="1"/>
  <c r="I88"/>
  <c r="J88"/>
  <c r="K88"/>
  <c r="L88"/>
  <c r="M88" s="1"/>
  <c r="O88"/>
  <c r="P88" s="1"/>
  <c r="E89"/>
  <c r="G89"/>
  <c r="F90"/>
  <c r="F89" s="1"/>
  <c r="I90"/>
  <c r="J90"/>
  <c r="K90"/>
  <c r="L90"/>
  <c r="M90" s="1"/>
  <c r="O90"/>
  <c r="P90" s="1"/>
  <c r="I91"/>
  <c r="J91"/>
  <c r="K91"/>
  <c r="L91"/>
  <c r="M91" s="1"/>
  <c r="O91"/>
  <c r="P91" s="1"/>
  <c r="I92"/>
  <c r="J92"/>
  <c r="K92"/>
  <c r="L92"/>
  <c r="M92" s="1"/>
  <c r="O92"/>
  <c r="P92" s="1"/>
  <c r="I94"/>
  <c r="J94"/>
  <c r="I95"/>
  <c r="J95"/>
  <c r="K95"/>
  <c r="L95"/>
  <c r="M95" s="1"/>
  <c r="O95"/>
  <c r="P95" s="1"/>
  <c r="I96"/>
  <c r="M96"/>
  <c r="P96"/>
  <c r="I97"/>
  <c r="J97"/>
  <c r="K97"/>
  <c r="K98" s="1"/>
  <c r="L97"/>
  <c r="M97" s="1"/>
  <c r="O97"/>
  <c r="P97" s="1"/>
  <c r="E98"/>
  <c r="F98"/>
  <c r="G98"/>
  <c r="H98"/>
  <c r="H99"/>
  <c r="J100"/>
  <c r="I101"/>
  <c r="J101"/>
  <c r="K101"/>
  <c r="L101"/>
  <c r="M101" s="1"/>
  <c r="O101"/>
  <c r="P101" s="1"/>
  <c r="I102"/>
  <c r="J102"/>
  <c r="K102"/>
  <c r="L102"/>
  <c r="M102" s="1"/>
  <c r="O102"/>
  <c r="P102" s="1"/>
  <c r="I103"/>
  <c r="J103"/>
  <c r="K103"/>
  <c r="L103"/>
  <c r="M103" s="1"/>
  <c r="O103"/>
  <c r="P103" s="1"/>
  <c r="I104"/>
  <c r="J104"/>
  <c r="K104"/>
  <c r="L104"/>
  <c r="M104" s="1"/>
  <c r="O104"/>
  <c r="P104" s="1"/>
  <c r="I105"/>
  <c r="J105"/>
  <c r="K105"/>
  <c r="L105"/>
  <c r="M105" s="1"/>
  <c r="O105"/>
  <c r="P105" s="1"/>
  <c r="I106"/>
  <c r="J106"/>
  <c r="K106"/>
  <c r="L106"/>
  <c r="M106" s="1"/>
  <c r="O106"/>
  <c r="P106" s="1"/>
  <c r="I107"/>
  <c r="J107"/>
  <c r="K107"/>
  <c r="L107"/>
  <c r="M107" s="1"/>
  <c r="O107"/>
  <c r="P107" s="1"/>
  <c r="I108"/>
  <c r="J108"/>
  <c r="K108"/>
  <c r="L108"/>
  <c r="M108" s="1"/>
  <c r="O108"/>
  <c r="P108" s="1"/>
  <c r="I109"/>
  <c r="J109"/>
  <c r="K109"/>
  <c r="L109"/>
  <c r="M109"/>
  <c r="O109"/>
  <c r="Q109" s="1"/>
  <c r="P109"/>
  <c r="S109"/>
  <c r="E110"/>
  <c r="F110"/>
  <c r="G110"/>
  <c r="H110"/>
  <c r="H111" s="1"/>
  <c r="J112"/>
  <c r="I113"/>
  <c r="J113"/>
  <c r="K113"/>
  <c r="L113"/>
  <c r="O113"/>
  <c r="I114"/>
  <c r="J114"/>
  <c r="K114"/>
  <c r="L114"/>
  <c r="M114" s="1"/>
  <c r="O114"/>
  <c r="I115"/>
  <c r="J115"/>
  <c r="K115"/>
  <c r="L115"/>
  <c r="M115" s="1"/>
  <c r="O115"/>
  <c r="Q115" s="1"/>
  <c r="E116"/>
  <c r="F116"/>
  <c r="H116"/>
  <c r="N104" l="1"/>
  <c r="Q90"/>
  <c r="Q70"/>
  <c r="L110"/>
  <c r="N84"/>
  <c r="P27"/>
  <c r="O116"/>
  <c r="P57"/>
  <c r="N108"/>
  <c r="Q105"/>
  <c r="Q63"/>
  <c r="N62"/>
  <c r="N57"/>
  <c r="N63"/>
  <c r="N59"/>
  <c r="N27"/>
  <c r="N109"/>
  <c r="J110"/>
  <c r="K110"/>
  <c r="J98"/>
  <c r="N15"/>
  <c r="Z110"/>
  <c r="W110"/>
  <c r="H117"/>
  <c r="N115"/>
  <c r="K116"/>
  <c r="I116"/>
  <c r="N106"/>
  <c r="Q101"/>
  <c r="N97"/>
  <c r="N70"/>
  <c r="N50"/>
  <c r="N47"/>
  <c r="N40"/>
  <c r="N37"/>
  <c r="N19"/>
  <c r="M15"/>
  <c r="I110"/>
  <c r="I98"/>
  <c r="N31"/>
  <c r="Q23"/>
  <c r="N23"/>
  <c r="Q11"/>
  <c r="N10"/>
  <c r="N102"/>
  <c r="Q114"/>
  <c r="O110"/>
  <c r="Q110" s="1"/>
  <c r="Q107"/>
  <c r="Q103"/>
  <c r="O98"/>
  <c r="Q98" s="1"/>
  <c r="P98"/>
  <c r="N95"/>
  <c r="N82"/>
  <c r="Q77"/>
  <c r="N76"/>
  <c r="Q69"/>
  <c r="Q56"/>
  <c r="N55"/>
  <c r="Q48"/>
  <c r="Q44"/>
  <c r="Q41"/>
  <c r="Q38"/>
  <c r="Q32"/>
  <c r="Q28"/>
  <c r="Q20"/>
  <c r="N14"/>
  <c r="Q13"/>
  <c r="N11"/>
  <c r="M14"/>
  <c r="F65"/>
  <c r="M98"/>
  <c r="N110"/>
  <c r="J116"/>
  <c r="N114"/>
  <c r="L98"/>
  <c r="Q92"/>
  <c r="Q91"/>
  <c r="N91"/>
  <c r="N90"/>
  <c r="Q86"/>
  <c r="Q79"/>
  <c r="N79"/>
  <c r="Q74"/>
  <c r="N73"/>
  <c r="Q61"/>
  <c r="Q53"/>
  <c r="Q52"/>
  <c r="N52"/>
  <c r="P48"/>
  <c r="N48"/>
  <c r="Q46"/>
  <c r="Q45"/>
  <c r="N45"/>
  <c r="N42"/>
  <c r="N41"/>
  <c r="N38"/>
  <c r="Q36"/>
  <c r="N36"/>
  <c r="Q34"/>
  <c r="Q33"/>
  <c r="N33"/>
  <c r="N32"/>
  <c r="Q30"/>
  <c r="N29"/>
  <c r="P28"/>
  <c r="N28"/>
  <c r="Q21"/>
  <c r="N21"/>
  <c r="N20"/>
  <c r="Q17"/>
  <c r="N17"/>
  <c r="Q15"/>
  <c r="N13"/>
  <c r="Q12"/>
  <c r="G67"/>
  <c r="G66" s="1"/>
  <c r="G93" s="1"/>
  <c r="G99" s="1"/>
  <c r="G111" s="1"/>
  <c r="E67"/>
  <c r="P68"/>
  <c r="F67"/>
  <c r="O54"/>
  <c r="Q54" s="1"/>
  <c r="M51"/>
  <c r="M49" s="1"/>
  <c r="O43"/>
  <c r="Q43" s="1"/>
  <c r="P42"/>
  <c r="O9"/>
  <c r="Q9" s="1"/>
  <c r="L116"/>
  <c r="P115"/>
  <c r="P114"/>
  <c r="Q108"/>
  <c r="N107"/>
  <c r="Q106"/>
  <c r="N105"/>
  <c r="Q104"/>
  <c r="N103"/>
  <c r="Q102"/>
  <c r="N101"/>
  <c r="N98"/>
  <c r="Q97"/>
  <c r="Q95"/>
  <c r="N92"/>
  <c r="O89"/>
  <c r="Q89" s="1"/>
  <c r="J89"/>
  <c r="K85"/>
  <c r="I85"/>
  <c r="Q84"/>
  <c r="L81"/>
  <c r="N81" s="1"/>
  <c r="J81"/>
  <c r="N77"/>
  <c r="O75"/>
  <c r="K75"/>
  <c r="I75"/>
  <c r="N74"/>
  <c r="O72"/>
  <c r="K72"/>
  <c r="I72"/>
  <c r="K68"/>
  <c r="I68"/>
  <c r="K60"/>
  <c r="I60"/>
  <c r="Q59"/>
  <c r="N56"/>
  <c r="K54"/>
  <c r="I54"/>
  <c r="N53"/>
  <c r="L49"/>
  <c r="N49" s="1"/>
  <c r="J49"/>
  <c r="Q47"/>
  <c r="N46"/>
  <c r="L43"/>
  <c r="N43" s="1"/>
  <c r="J43"/>
  <c r="L39"/>
  <c r="N39" s="1"/>
  <c r="J39"/>
  <c r="Q37"/>
  <c r="O25"/>
  <c r="Q25" s="1"/>
  <c r="L25"/>
  <c r="N25" s="1"/>
  <c r="J25"/>
  <c r="O18"/>
  <c r="Q18" s="1"/>
  <c r="K18"/>
  <c r="I18"/>
  <c r="J14"/>
  <c r="K9"/>
  <c r="I9"/>
  <c r="O68"/>
  <c r="Q68" s="1"/>
  <c r="P62"/>
  <c r="P60" s="1"/>
  <c r="O60"/>
  <c r="Q60" s="1"/>
  <c r="M58"/>
  <c r="O49"/>
  <c r="Q49" s="1"/>
  <c r="P29"/>
  <c r="Q14"/>
  <c r="K89"/>
  <c r="I89"/>
  <c r="O85"/>
  <c r="Q85" s="1"/>
  <c r="L85"/>
  <c r="N85" s="1"/>
  <c r="J85"/>
  <c r="O81"/>
  <c r="Q81" s="1"/>
  <c r="K81"/>
  <c r="I81"/>
  <c r="L75"/>
  <c r="N75" s="1"/>
  <c r="J75"/>
  <c r="L72"/>
  <c r="N72" s="1"/>
  <c r="J72"/>
  <c r="L68"/>
  <c r="N68" s="1"/>
  <c r="J68"/>
  <c r="L60"/>
  <c r="N60" s="1"/>
  <c r="J60"/>
  <c r="L54"/>
  <c r="N54" s="1"/>
  <c r="J54"/>
  <c r="K49"/>
  <c r="I49"/>
  <c r="P43"/>
  <c r="K43"/>
  <c r="I43"/>
  <c r="O39"/>
  <c r="Q39" s="1"/>
  <c r="K39"/>
  <c r="I39"/>
  <c r="P34"/>
  <c r="N34"/>
  <c r="Q31"/>
  <c r="P30"/>
  <c r="N30"/>
  <c r="P26"/>
  <c r="N26"/>
  <c r="K25"/>
  <c r="I25"/>
  <c r="P24"/>
  <c r="N24"/>
  <c r="Q19"/>
  <c r="L18"/>
  <c r="N18" s="1"/>
  <c r="J18"/>
  <c r="N12"/>
  <c r="L9"/>
  <c r="N9" s="1"/>
  <c r="J9"/>
  <c r="E66"/>
  <c r="E93" s="1"/>
  <c r="E99" s="1"/>
  <c r="E111" s="1"/>
  <c r="E117" s="1"/>
  <c r="M9"/>
  <c r="P110"/>
  <c r="M110"/>
  <c r="M89"/>
  <c r="M75"/>
  <c r="F66"/>
  <c r="F93" s="1"/>
  <c r="F99" s="1"/>
  <c r="F111" s="1"/>
  <c r="F117" s="1"/>
  <c r="M39"/>
  <c r="P89"/>
  <c r="P85"/>
  <c r="M81"/>
  <c r="M72"/>
  <c r="M54"/>
  <c r="M18"/>
  <c r="L89"/>
  <c r="N89" s="1"/>
  <c r="P76"/>
  <c r="P75" s="1"/>
  <c r="P73"/>
  <c r="P72" s="1"/>
  <c r="M69"/>
  <c r="M68" s="1"/>
  <c r="P19"/>
  <c r="P18" s="1"/>
  <c r="M86"/>
  <c r="M85" s="1"/>
  <c r="P82"/>
  <c r="P81" s="1"/>
  <c r="M61"/>
  <c r="M60" s="1"/>
  <c r="P55"/>
  <c r="P54" s="1"/>
  <c r="P50"/>
  <c r="P49" s="1"/>
  <c r="M44"/>
  <c r="M43" s="1"/>
  <c r="P40"/>
  <c r="P39" s="1"/>
  <c r="M26"/>
  <c r="M25" s="1"/>
  <c r="P15"/>
  <c r="P14" s="1"/>
  <c r="P10"/>
  <c r="P9" s="1"/>
  <c r="J65" l="1"/>
  <c r="M67"/>
  <c r="M66" s="1"/>
  <c r="J67"/>
  <c r="J66" s="1"/>
  <c r="I67"/>
  <c r="O67"/>
  <c r="Q67" s="1"/>
  <c r="P25"/>
  <c r="P65" s="1"/>
  <c r="L67"/>
  <c r="N67" s="1"/>
  <c r="K65"/>
  <c r="I66"/>
  <c r="I65"/>
  <c r="O65"/>
  <c r="Q65" s="1"/>
  <c r="L65"/>
  <c r="N65" s="1"/>
  <c r="K67"/>
  <c r="K66" s="1"/>
  <c r="W111"/>
  <c r="Z111"/>
  <c r="P67"/>
  <c r="P66" s="1"/>
  <c r="Q72"/>
  <c r="Q75"/>
  <c r="M65"/>
  <c r="J93" l="1"/>
  <c r="J99" s="1"/>
  <c r="J111" s="1"/>
  <c r="J117" s="1"/>
  <c r="M93"/>
  <c r="M99" s="1"/>
  <c r="M111" s="1"/>
  <c r="L66"/>
  <c r="N66" s="1"/>
  <c r="I93"/>
  <c r="I99" s="1"/>
  <c r="I111" s="1"/>
  <c r="I117" s="1"/>
  <c r="O66"/>
  <c r="Q66" s="1"/>
  <c r="K93"/>
  <c r="K99" s="1"/>
  <c r="K111" s="1"/>
  <c r="K117" s="1"/>
  <c r="P93"/>
  <c r="P99" s="1"/>
  <c r="P111" s="1"/>
  <c r="O93" l="1"/>
  <c r="Q93" s="1"/>
  <c r="L93"/>
  <c r="L99" s="1"/>
  <c r="N99" s="1"/>
  <c r="O99" l="1"/>
  <c r="Q99" s="1"/>
  <c r="L111"/>
  <c r="N111" s="1"/>
  <c r="N93"/>
  <c r="L117" l="1"/>
  <c r="O111"/>
  <c r="O117" s="1"/>
  <c r="S16"/>
  <c r="Q111" l="1"/>
  <c r="M42" i="34" l="1"/>
  <c r="M40"/>
  <c r="M39"/>
  <c r="K42"/>
  <c r="K40"/>
  <c r="K39"/>
  <c r="R115" i="56"/>
  <c r="R114"/>
  <c r="R109"/>
  <c r="T109" s="1"/>
  <c r="R107"/>
  <c r="R105"/>
  <c r="R104"/>
  <c r="R103"/>
  <c r="R102"/>
  <c r="R101"/>
  <c r="B45" i="34"/>
  <c r="C45"/>
  <c r="I39"/>
  <c r="I40"/>
  <c r="I42"/>
  <c r="H55"/>
  <c r="I55" s="1"/>
  <c r="H54"/>
  <c r="I54" s="1"/>
  <c r="H52"/>
  <c r="I52" s="1"/>
  <c r="B14"/>
  <c r="B8"/>
  <c r="B7"/>
  <c r="B18"/>
  <c r="C9"/>
  <c r="G42"/>
  <c r="G40"/>
  <c r="G39"/>
  <c r="E39"/>
  <c r="E40"/>
  <c r="E42"/>
  <c r="C31"/>
  <c r="C35"/>
  <c r="C18"/>
  <c r="C14"/>
  <c r="C7"/>
  <c r="C60"/>
  <c r="F59"/>
  <c r="G59" s="1"/>
  <c r="F11"/>
  <c r="G11" s="1"/>
  <c r="F9"/>
  <c r="G9" s="1"/>
  <c r="F13"/>
  <c r="G13" s="1"/>
  <c r="F57"/>
  <c r="G57" s="1"/>
  <c r="F56"/>
  <c r="G56" s="1"/>
  <c r="F29"/>
  <c r="G29" s="1"/>
  <c r="F34"/>
  <c r="G34" s="1"/>
  <c r="F28"/>
  <c r="G28" s="1"/>
  <c r="F23"/>
  <c r="G23" s="1"/>
  <c r="F32"/>
  <c r="G32" s="1"/>
  <c r="F55"/>
  <c r="G55" s="1"/>
  <c r="F53"/>
  <c r="G53" s="1"/>
  <c r="F52"/>
  <c r="G52" s="1"/>
  <c r="F17"/>
  <c r="G17" s="1"/>
  <c r="F49"/>
  <c r="G49" s="1"/>
  <c r="F25"/>
  <c r="G25" s="1"/>
  <c r="F8"/>
  <c r="G8" s="1"/>
  <c r="D50"/>
  <c r="E50" s="1"/>
  <c r="D32"/>
  <c r="E32" s="1"/>
  <c r="D17"/>
  <c r="D7"/>
  <c r="E7" s="1"/>
  <c r="F43"/>
  <c r="G43" s="1"/>
  <c r="F12"/>
  <c r="G12" s="1"/>
  <c r="F48"/>
  <c r="G48" s="1"/>
  <c r="C62"/>
  <c r="D52"/>
  <c r="E52" s="1"/>
  <c r="D34"/>
  <c r="E34" s="1"/>
  <c r="D25"/>
  <c r="E25" s="1"/>
  <c r="D11"/>
  <c r="E11" s="1"/>
  <c r="D30"/>
  <c r="E30" s="1"/>
  <c r="D26"/>
  <c r="E26" s="1"/>
  <c r="F50"/>
  <c r="G50" s="1"/>
  <c r="D48"/>
  <c r="E48" s="1"/>
  <c r="D9"/>
  <c r="E9" s="1"/>
  <c r="D49"/>
  <c r="E49" s="1"/>
  <c r="D12"/>
  <c r="E12" s="1"/>
  <c r="D23"/>
  <c r="E23" s="1"/>
  <c r="D51"/>
  <c r="E51" s="1"/>
  <c r="D54"/>
  <c r="E54" s="1"/>
  <c r="D55"/>
  <c r="E55" s="1"/>
  <c r="D22"/>
  <c r="E22" s="1"/>
  <c r="D56"/>
  <c r="E56" s="1"/>
  <c r="D58"/>
  <c r="E58" s="1"/>
  <c r="D16"/>
  <c r="E16" s="1"/>
  <c r="F54"/>
  <c r="G54" s="1"/>
  <c r="F22"/>
  <c r="G22" s="1"/>
  <c r="F27"/>
  <c r="G27" s="1"/>
  <c r="F24"/>
  <c r="F26"/>
  <c r="G26" s="1"/>
  <c r="F30"/>
  <c r="G30" s="1"/>
  <c r="F44"/>
  <c r="G44" s="1"/>
  <c r="F10"/>
  <c r="G10" s="1"/>
  <c r="D27"/>
  <c r="E27" s="1"/>
  <c r="D24"/>
  <c r="E24" s="1"/>
  <c r="D28"/>
  <c r="E28" s="1"/>
  <c r="D29"/>
  <c r="E29" s="1"/>
  <c r="D21"/>
  <c r="E21" s="1"/>
  <c r="D57"/>
  <c r="E57" s="1"/>
  <c r="D13"/>
  <c r="E13" s="1"/>
  <c r="D59"/>
  <c r="E59" s="1"/>
  <c r="F51"/>
  <c r="G51" s="1"/>
  <c r="F58"/>
  <c r="G58" s="1"/>
  <c r="F41"/>
  <c r="G41" s="1"/>
  <c r="D44"/>
  <c r="E44" s="1"/>
  <c r="B35"/>
  <c r="B62" s="1"/>
  <c r="F15"/>
  <c r="G15" s="1"/>
  <c r="F14"/>
  <c r="G14" s="1"/>
  <c r="D41"/>
  <c r="E41" s="1"/>
  <c r="D43"/>
  <c r="E43" s="1"/>
  <c r="D15"/>
  <c r="E15" s="1"/>
  <c r="D10"/>
  <c r="E10" s="1"/>
  <c r="B60"/>
  <c r="F33"/>
  <c r="F21"/>
  <c r="G21" s="1"/>
  <c r="F16"/>
  <c r="G16" s="1"/>
  <c r="D38"/>
  <c r="D33"/>
  <c r="E33" s="1"/>
  <c r="D53"/>
  <c r="E53" s="1"/>
  <c r="E17"/>
  <c r="F7"/>
  <c r="G7" s="1"/>
  <c r="H10"/>
  <c r="I10" s="1"/>
  <c r="H44"/>
  <c r="I44" s="1"/>
  <c r="H7"/>
  <c r="I7" s="1"/>
  <c r="H30"/>
  <c r="I30" s="1"/>
  <c r="H12"/>
  <c r="I12" s="1"/>
  <c r="H14"/>
  <c r="I14" s="1"/>
  <c r="R37" i="56" l="1"/>
  <c r="F60" i="34"/>
  <c r="G60" s="1"/>
  <c r="L21"/>
  <c r="L15"/>
  <c r="M15" s="1"/>
  <c r="S102" i="56"/>
  <c r="T102"/>
  <c r="S104"/>
  <c r="T104"/>
  <c r="G113"/>
  <c r="S115"/>
  <c r="T115"/>
  <c r="T101"/>
  <c r="S101"/>
  <c r="S103"/>
  <c r="T103"/>
  <c r="S105"/>
  <c r="T105"/>
  <c r="S107"/>
  <c r="T107"/>
  <c r="S114"/>
  <c r="T114"/>
  <c r="D31" i="34"/>
  <c r="D35" s="1"/>
  <c r="E35" s="1"/>
  <c r="R21" i="56"/>
  <c r="S21" s="1"/>
  <c r="R22"/>
  <c r="R27"/>
  <c r="T27" s="1"/>
  <c r="R33"/>
  <c r="S33" s="1"/>
  <c r="R40"/>
  <c r="T40" s="1"/>
  <c r="R42"/>
  <c r="R45"/>
  <c r="R48"/>
  <c r="R52"/>
  <c r="R55"/>
  <c r="S55" s="1"/>
  <c r="R62"/>
  <c r="R63"/>
  <c r="R64"/>
  <c r="R70"/>
  <c r="R78"/>
  <c r="R83"/>
  <c r="R87"/>
  <c r="R90"/>
  <c r="T90" s="1"/>
  <c r="R92"/>
  <c r="R96"/>
  <c r="R97"/>
  <c r="R12"/>
  <c r="R20"/>
  <c r="R23"/>
  <c r="S23" s="1"/>
  <c r="R26"/>
  <c r="R28"/>
  <c r="S28" s="1"/>
  <c r="R30"/>
  <c r="T30" s="1"/>
  <c r="R31"/>
  <c r="R32"/>
  <c r="S32" s="1"/>
  <c r="R36"/>
  <c r="T36" s="1"/>
  <c r="R47"/>
  <c r="R53"/>
  <c r="R56"/>
  <c r="R59"/>
  <c r="R71"/>
  <c r="R74"/>
  <c r="R77"/>
  <c r="R79"/>
  <c r="R84"/>
  <c r="R91"/>
  <c r="T91" s="1"/>
  <c r="D45" i="34"/>
  <c r="E45" s="1"/>
  <c r="F18"/>
  <c r="G18" s="1"/>
  <c r="F31"/>
  <c r="G31" s="1"/>
  <c r="G33"/>
  <c r="G24"/>
  <c r="E38"/>
  <c r="D14"/>
  <c r="E14" s="1"/>
  <c r="D60"/>
  <c r="E60" s="1"/>
  <c r="D8"/>
  <c r="E8" s="1"/>
  <c r="H49"/>
  <c r="I49" s="1"/>
  <c r="H27"/>
  <c r="I27" s="1"/>
  <c r="H24"/>
  <c r="I24" s="1"/>
  <c r="H28"/>
  <c r="I28" s="1"/>
  <c r="H29"/>
  <c r="I29" s="1"/>
  <c r="H21"/>
  <c r="H9"/>
  <c r="I9" s="1"/>
  <c r="H15"/>
  <c r="I15" s="1"/>
  <c r="H17"/>
  <c r="I17" s="1"/>
  <c r="H32"/>
  <c r="H23"/>
  <c r="I23" s="1"/>
  <c r="H25"/>
  <c r="I25" s="1"/>
  <c r="H26"/>
  <c r="I26" s="1"/>
  <c r="H34"/>
  <c r="I34" s="1"/>
  <c r="H58"/>
  <c r="I58" s="1"/>
  <c r="H57"/>
  <c r="I57" s="1"/>
  <c r="H16"/>
  <c r="I16" s="1"/>
  <c r="H59"/>
  <c r="I59" s="1"/>
  <c r="H41"/>
  <c r="I41" s="1"/>
  <c r="L26"/>
  <c r="M26" s="1"/>
  <c r="H50"/>
  <c r="I50" s="1"/>
  <c r="H51"/>
  <c r="I51" s="1"/>
  <c r="H53"/>
  <c r="I53" s="1"/>
  <c r="H22"/>
  <c r="I22" s="1"/>
  <c r="H33"/>
  <c r="I33" s="1"/>
  <c r="H56"/>
  <c r="I56" s="1"/>
  <c r="H13"/>
  <c r="I13" s="1"/>
  <c r="H8"/>
  <c r="H11"/>
  <c r="I11" s="1"/>
  <c r="J53"/>
  <c r="K53" s="1"/>
  <c r="J55"/>
  <c r="K55" s="1"/>
  <c r="J28"/>
  <c r="K28" s="1"/>
  <c r="J34"/>
  <c r="K34" s="1"/>
  <c r="J9"/>
  <c r="K9" s="1"/>
  <c r="J16"/>
  <c r="K16" s="1"/>
  <c r="L49"/>
  <c r="M49" s="1"/>
  <c r="L54"/>
  <c r="M54" s="1"/>
  <c r="L33"/>
  <c r="M33" s="1"/>
  <c r="L28"/>
  <c r="M28" s="1"/>
  <c r="L57"/>
  <c r="M57" s="1"/>
  <c r="J51"/>
  <c r="K51" s="1"/>
  <c r="J27"/>
  <c r="K27" s="1"/>
  <c r="J33"/>
  <c r="K33" s="1"/>
  <c r="J30"/>
  <c r="K30" s="1"/>
  <c r="J56"/>
  <c r="K56" s="1"/>
  <c r="J58"/>
  <c r="K58" s="1"/>
  <c r="J13"/>
  <c r="K13" s="1"/>
  <c r="L32"/>
  <c r="L23"/>
  <c r="M23" s="1"/>
  <c r="L29"/>
  <c r="M29" s="1"/>
  <c r="J17"/>
  <c r="K17" s="1"/>
  <c r="J52"/>
  <c r="K52" s="1"/>
  <c r="J54"/>
  <c r="K54" s="1"/>
  <c r="J32"/>
  <c r="J23"/>
  <c r="K23" s="1"/>
  <c r="J25"/>
  <c r="K25" s="1"/>
  <c r="J26"/>
  <c r="K26" s="1"/>
  <c r="J29"/>
  <c r="K29" s="1"/>
  <c r="J21"/>
  <c r="J57"/>
  <c r="K57" s="1"/>
  <c r="J59"/>
  <c r="K59" s="1"/>
  <c r="J44"/>
  <c r="K44" s="1"/>
  <c r="L53"/>
  <c r="M53" s="1"/>
  <c r="L55"/>
  <c r="M55" s="1"/>
  <c r="L27"/>
  <c r="M27" s="1"/>
  <c r="L25"/>
  <c r="M25" s="1"/>
  <c r="L56"/>
  <c r="M56" s="1"/>
  <c r="L13"/>
  <c r="M13" s="1"/>
  <c r="L9"/>
  <c r="M9" s="1"/>
  <c r="L16"/>
  <c r="M16" s="1"/>
  <c r="L59"/>
  <c r="M59" s="1"/>
  <c r="R108" i="56"/>
  <c r="S90" l="1"/>
  <c r="T33"/>
  <c r="S91"/>
  <c r="S36"/>
  <c r="T28"/>
  <c r="L14" i="34"/>
  <c r="M14" s="1"/>
  <c r="R54" i="56"/>
  <c r="T54" s="1"/>
  <c r="R38"/>
  <c r="T38" s="1"/>
  <c r="T21"/>
  <c r="T23"/>
  <c r="S40"/>
  <c r="W113"/>
  <c r="Y113"/>
  <c r="Y116" s="1"/>
  <c r="V113"/>
  <c r="V116" s="1"/>
  <c r="Z113"/>
  <c r="S27"/>
  <c r="Q113"/>
  <c r="N113"/>
  <c r="M113"/>
  <c r="M116" s="1"/>
  <c r="M117" s="1"/>
  <c r="G116"/>
  <c r="P113"/>
  <c r="P116" s="1"/>
  <c r="P117" s="1"/>
  <c r="S108"/>
  <c r="T108"/>
  <c r="R89"/>
  <c r="T89" s="1"/>
  <c r="D18" i="34"/>
  <c r="S30" i="56"/>
  <c r="T55"/>
  <c r="T32"/>
  <c r="E31" i="34"/>
  <c r="R17" i="56"/>
  <c r="S17" s="1"/>
  <c r="L51" i="34"/>
  <c r="M51" s="1"/>
  <c r="R73" i="56"/>
  <c r="L10" i="34"/>
  <c r="M10" s="1"/>
  <c r="R41" i="56"/>
  <c r="R50"/>
  <c r="R49" s="1"/>
  <c r="R19"/>
  <c r="R18" s="1"/>
  <c r="R61"/>
  <c r="R60" s="1"/>
  <c r="S88"/>
  <c r="T84"/>
  <c r="S84"/>
  <c r="S79"/>
  <c r="T79"/>
  <c r="T77"/>
  <c r="S77"/>
  <c r="S74"/>
  <c r="T74"/>
  <c r="S71"/>
  <c r="S59"/>
  <c r="T59"/>
  <c r="T56"/>
  <c r="S56"/>
  <c r="S54" s="1"/>
  <c r="T53"/>
  <c r="S53"/>
  <c r="S47"/>
  <c r="T47"/>
  <c r="T31"/>
  <c r="S31"/>
  <c r="T26"/>
  <c r="S26"/>
  <c r="T20"/>
  <c r="S20"/>
  <c r="S12"/>
  <c r="T12"/>
  <c r="R24"/>
  <c r="R95"/>
  <c r="R44"/>
  <c r="R43" s="1"/>
  <c r="R57"/>
  <c r="R80"/>
  <c r="R69"/>
  <c r="R46"/>
  <c r="R13"/>
  <c r="M44" i="34"/>
  <c r="L30"/>
  <c r="M30" s="1"/>
  <c r="R86" i="56"/>
  <c r="R82"/>
  <c r="R76"/>
  <c r="R34"/>
  <c r="T34" s="1"/>
  <c r="S97"/>
  <c r="T97"/>
  <c r="S96"/>
  <c r="S92"/>
  <c r="T92"/>
  <c r="S87"/>
  <c r="S83"/>
  <c r="S78"/>
  <c r="T70"/>
  <c r="S70"/>
  <c r="S64"/>
  <c r="T63"/>
  <c r="S63"/>
  <c r="S62"/>
  <c r="T62"/>
  <c r="T52"/>
  <c r="S52"/>
  <c r="S48"/>
  <c r="T48"/>
  <c r="T45"/>
  <c r="S45"/>
  <c r="T42"/>
  <c r="S42"/>
  <c r="S37"/>
  <c r="T37"/>
  <c r="S22"/>
  <c r="R29"/>
  <c r="F35" i="34"/>
  <c r="G35" s="1"/>
  <c r="H38"/>
  <c r="J22"/>
  <c r="K22" s="1"/>
  <c r="J11"/>
  <c r="K11" s="1"/>
  <c r="L22"/>
  <c r="M22" s="1"/>
  <c r="L24"/>
  <c r="M24" s="1"/>
  <c r="L58"/>
  <c r="M58" s="1"/>
  <c r="L50"/>
  <c r="M50" s="1"/>
  <c r="L48"/>
  <c r="J7"/>
  <c r="K7" s="1"/>
  <c r="J8"/>
  <c r="J49"/>
  <c r="K49" s="1"/>
  <c r="K21"/>
  <c r="K32"/>
  <c r="J31"/>
  <c r="K31" s="1"/>
  <c r="M21"/>
  <c r="M32"/>
  <c r="J43"/>
  <c r="K43" s="1"/>
  <c r="J41"/>
  <c r="K41" s="1"/>
  <c r="J48"/>
  <c r="F38"/>
  <c r="J12"/>
  <c r="K12" s="1"/>
  <c r="J24"/>
  <c r="K24" s="1"/>
  <c r="L11"/>
  <c r="M11" s="1"/>
  <c r="J14"/>
  <c r="K14" s="1"/>
  <c r="J15"/>
  <c r="K15" s="1"/>
  <c r="J10"/>
  <c r="K10" s="1"/>
  <c r="J50"/>
  <c r="K50" s="1"/>
  <c r="H43"/>
  <c r="I43" s="1"/>
  <c r="L41"/>
  <c r="M41" s="1"/>
  <c r="L8"/>
  <c r="L34"/>
  <c r="M34" s="1"/>
  <c r="L52"/>
  <c r="M52" s="1"/>
  <c r="I8"/>
  <c r="H18"/>
  <c r="H31"/>
  <c r="I31" s="1"/>
  <c r="I32"/>
  <c r="I21"/>
  <c r="R113" i="56"/>
  <c r="R106" l="1"/>
  <c r="S89"/>
  <c r="S38"/>
  <c r="T50"/>
  <c r="Z116"/>
  <c r="W116"/>
  <c r="T17"/>
  <c r="S19"/>
  <c r="S18" s="1"/>
  <c r="S61"/>
  <c r="S60" s="1"/>
  <c r="T44"/>
  <c r="T43" s="1"/>
  <c r="S113"/>
  <c r="S116" s="1"/>
  <c r="R116"/>
  <c r="T116" s="1"/>
  <c r="T113"/>
  <c r="Q116"/>
  <c r="N116"/>
  <c r="G117"/>
  <c r="S34"/>
  <c r="T57"/>
  <c r="E18" i="34"/>
  <c r="D62"/>
  <c r="E62" s="1"/>
  <c r="S50" i="56"/>
  <c r="S49" s="1"/>
  <c r="S57"/>
  <c r="T61"/>
  <c r="H35" i="34"/>
  <c r="I35" s="1"/>
  <c r="S80" i="56"/>
  <c r="T19"/>
  <c r="S44"/>
  <c r="S43" s="1"/>
  <c r="R14"/>
  <c r="T15"/>
  <c r="S15"/>
  <c r="S14" s="1"/>
  <c r="M17" i="34"/>
  <c r="L7"/>
  <c r="M7" s="1"/>
  <c r="L43"/>
  <c r="M43" s="1"/>
  <c r="L12"/>
  <c r="M12" s="1"/>
  <c r="R75" i="56"/>
  <c r="T76"/>
  <c r="S76"/>
  <c r="S75" s="1"/>
  <c r="S82"/>
  <c r="S81" s="1"/>
  <c r="R81"/>
  <c r="T82"/>
  <c r="R85"/>
  <c r="T86"/>
  <c r="S86"/>
  <c r="S85" s="1"/>
  <c r="T13"/>
  <c r="S13"/>
  <c r="T46"/>
  <c r="S46"/>
  <c r="R68"/>
  <c r="T69"/>
  <c r="S69"/>
  <c r="S68" s="1"/>
  <c r="T95"/>
  <c r="S95"/>
  <c r="S98" s="1"/>
  <c r="R98"/>
  <c r="T98" s="1"/>
  <c r="T24"/>
  <c r="S24"/>
  <c r="S41"/>
  <c r="S39" s="1"/>
  <c r="T41"/>
  <c r="R39"/>
  <c r="S73"/>
  <c r="S72" s="1"/>
  <c r="R72"/>
  <c r="T73"/>
  <c r="T60"/>
  <c r="T29"/>
  <c r="S29"/>
  <c r="R25"/>
  <c r="T18"/>
  <c r="T9"/>
  <c r="T49"/>
  <c r="I18" i="34"/>
  <c r="J38"/>
  <c r="F45"/>
  <c r="G38"/>
  <c r="J60"/>
  <c r="K60" s="1"/>
  <c r="K48"/>
  <c r="H48"/>
  <c r="K8"/>
  <c r="J18"/>
  <c r="H45"/>
  <c r="I45" s="1"/>
  <c r="I38"/>
  <c r="L31"/>
  <c r="M8"/>
  <c r="L60"/>
  <c r="M60" s="1"/>
  <c r="M48"/>
  <c r="J35"/>
  <c r="K35" s="1"/>
  <c r="T106" i="56" l="1"/>
  <c r="S106"/>
  <c r="S110" s="1"/>
  <c r="R110"/>
  <c r="T110" s="1"/>
  <c r="S25"/>
  <c r="S65" s="1"/>
  <c r="W117"/>
  <c r="Z117"/>
  <c r="N117"/>
  <c r="Q117"/>
  <c r="R65"/>
  <c r="L18" i="34"/>
  <c r="M18" s="1"/>
  <c r="S67" i="56"/>
  <c r="S66" s="1"/>
  <c r="T39"/>
  <c r="T81"/>
  <c r="T72"/>
  <c r="T68"/>
  <c r="R67"/>
  <c r="T85"/>
  <c r="T75"/>
  <c r="T14"/>
  <c r="T25"/>
  <c r="M31" i="34"/>
  <c r="L35"/>
  <c r="M35" s="1"/>
  <c r="H60"/>
  <c r="I60" s="1"/>
  <c r="I48"/>
  <c r="G45"/>
  <c r="F62"/>
  <c r="G62" s="1"/>
  <c r="L38"/>
  <c r="K18"/>
  <c r="K38"/>
  <c r="J45"/>
  <c r="K45" s="1"/>
  <c r="H62" l="1"/>
  <c r="I62" s="1"/>
  <c r="S93" i="56"/>
  <c r="R66"/>
  <c r="R93" s="1"/>
  <c r="T93" s="1"/>
  <c r="T67"/>
  <c r="T65"/>
  <c r="L45" i="34"/>
  <c r="M45" s="1"/>
  <c r="M38"/>
  <c r="J62"/>
  <c r="K62" s="1"/>
  <c r="S99" i="56" l="1"/>
  <c r="S111" s="1"/>
  <c r="S117" s="1"/>
  <c r="T66"/>
  <c r="R99"/>
  <c r="L62" i="34"/>
  <c r="M62" s="1"/>
  <c r="T99" i="56" l="1"/>
  <c r="R111"/>
  <c r="L63" i="34"/>
  <c r="T111" i="56" l="1"/>
  <c r="R117"/>
  <c r="T117" s="1"/>
</calcChain>
</file>

<file path=xl/sharedStrings.xml><?xml version="1.0" encoding="utf-8"?>
<sst xmlns="http://schemas.openxmlformats.org/spreadsheetml/2006/main" count="777" uniqueCount="308">
  <si>
    <t>DEPARTMENT OF JUSTICE</t>
  </si>
  <si>
    <t xml:space="preserve"> </t>
  </si>
  <si>
    <t>ADJUSTMENTS-TO-BASE</t>
  </si>
  <si>
    <t>CURRENT SERVICES</t>
  </si>
  <si>
    <t>PROGRAM INCREASES</t>
  </si>
  <si>
    <t>PROGRAM OFFSETS</t>
  </si>
  <si>
    <t>TOTAL</t>
  </si>
  <si>
    <t>APPROPRIATION</t>
  </si>
  <si>
    <t>POS</t>
  </si>
  <si>
    <t>FTE</t>
  </si>
  <si>
    <t>BA</t>
  </si>
  <si>
    <t>GENERAL ADMINISTRATION………………………………………………………..……………..</t>
  </si>
  <si>
    <t>JUSTICE INFORMATION SHARING TECHNOLOGY………………………….</t>
  </si>
  <si>
    <t>DETENTION TRUSTEE …………………..…………………………………………………...……………..</t>
  </si>
  <si>
    <t>ADMINISTRATIVE REVIEW &amp; APPEALS……………………………………..………………………</t>
  </si>
  <si>
    <t xml:space="preserve">  EXECUTIVE OFFICE FOR IMMIGRATION REVIEW………………...………………..</t>
  </si>
  <si>
    <t xml:space="preserve">  PARDON ATTORNEY……………………………..……………..………………….…………………..</t>
  </si>
  <si>
    <t>OFFICE OF THE INSPECTOR GENERAL………………...……………………………….</t>
  </si>
  <si>
    <t>WORKING CAPITAL FUND …………………………………..…………………………………………..</t>
  </si>
  <si>
    <t>[723]</t>
  </si>
  <si>
    <t>U.S. PAROLE COMMISSION……………………………….……………………………………….</t>
  </si>
  <si>
    <t>NATIONAL SECURITY DIVISION…………………………………………………………………</t>
  </si>
  <si>
    <t>GENERAL LEGAL ACTIVITIES………………………………………………...……………………………………………</t>
  </si>
  <si>
    <t xml:space="preserve">   SOLICITOR GENERAL…………………………………………………………………….………………..</t>
  </si>
  <si>
    <t xml:space="preserve">   TAX DIVISION……………………………………………………..…………………………………….…………………</t>
  </si>
  <si>
    <t xml:space="preserve">   CRIMINAL DIVISION…………………………………………...…………………….………………..</t>
  </si>
  <si>
    <t xml:space="preserve">   CIVIL DIVISION…………………………………………...…………………………………………………………</t>
  </si>
  <si>
    <t xml:space="preserve">   LEGAL COUNSEL……………………………………...………………………………………………………</t>
  </si>
  <si>
    <t xml:space="preserve">   CIVIL RIGHTS DIVISION………………………………………….…………………………………………………</t>
  </si>
  <si>
    <t xml:space="preserve">   INTERPOL……………………………………………………...……………………………………………………………………….</t>
  </si>
  <si>
    <t xml:space="preserve">   OFFICE OF DISPUTE RESOLUTION…………………………………..………………………………..…</t>
  </si>
  <si>
    <t>VACCINE INJURY COMPENSATION TRUST FUND......................................</t>
  </si>
  <si>
    <t>[41]</t>
  </si>
  <si>
    <t>[7,833]</t>
  </si>
  <si>
    <t>ANTITRUST………………………………………………….……………………………………………………</t>
  </si>
  <si>
    <t>[880]</t>
  </si>
  <si>
    <t xml:space="preserve">   Minus:  Offset from Antitrust Pre-Merger Filing Fee…………………………………………….…</t>
  </si>
  <si>
    <t>U.S. ATTORNEYS……………………………………..………………………………………………………………….</t>
  </si>
  <si>
    <t>U.S. TRUSTEES ………………………………………………...………………………………………………….</t>
  </si>
  <si>
    <t xml:space="preserve">  U.S. TRUSTEES S&amp;E</t>
  </si>
  <si>
    <t xml:space="preserve">   Minus: Offset from U.S. Trustee Fees and Interest on U.S. Securities</t>
  </si>
  <si>
    <t>FOREIGN CLAIMS SETTLEMENT COMM (150)……………………………………………</t>
  </si>
  <si>
    <t>U.S. MARSHALS SERVICE…………………………………………………………………………</t>
  </si>
  <si>
    <t xml:space="preserve">   SALARIES &amp; EXPENSES…………..…….……………………………………………………………</t>
  </si>
  <si>
    <t xml:space="preserve">   CONSTRUCTION………………………...…..…..………………………</t>
  </si>
  <si>
    <t>COMMUNITY RELATIONS SERVICE……………………………………………………………</t>
  </si>
  <si>
    <t>ASSETS FORFEITURE FUND CURRENT BUDGET AUTHORITY……………………………………………………………….</t>
  </si>
  <si>
    <t>INTERAGENCY CRIME &amp; DRUG ENFORCEMENT……………………………………………………………………………………………..</t>
  </si>
  <si>
    <t>FEDERAL BUREAU OF INVESTIGATION…………………………………………………………………</t>
  </si>
  <si>
    <t xml:space="preserve">   SALARIES &amp; EXPENSES……………………………...………………………………………...……….</t>
  </si>
  <si>
    <t xml:space="preserve">   CONSTRUCTION……………………………………….………………………………………...……………….……</t>
  </si>
  <si>
    <t>DRUG ENFORCEMENT ADMINISTRATION…………………………………………………………………………………………………………………………………………………..</t>
  </si>
  <si>
    <t>BUREAU OF ALCOHOL, TOBACCO, FIREARMS &amp; EXPLOSIVES………………………………………………………………………………………………</t>
  </si>
  <si>
    <t>FEDERAL PRISON SYSTEM………………………………………………………………………………………..</t>
  </si>
  <si>
    <t xml:space="preserve">   SALARIES &amp; EXPENSES……………………………………………………………………………………………………….</t>
  </si>
  <si>
    <t xml:space="preserve">   BUILDINGS &amp; FACILITIES  …………………………………………………………………………………</t>
  </si>
  <si>
    <t>FEDERAL PRISON INDUSTRIES (limitation on adm exp.)…………………………………………………………………………..</t>
  </si>
  <si>
    <t>COMMISSARY FUND…………………………………………………………………………………………………………………</t>
  </si>
  <si>
    <t>SUBTOTAL, DISCRETIONARY w/o State and Local ………………………………………………………………………………………..</t>
  </si>
  <si>
    <t>DISCRETIONARY GRANTS PROGRAMS…………………………………………………………………………….</t>
  </si>
  <si>
    <t>OFFICE OF JUSTICE PROGRAM</t>
  </si>
  <si>
    <t xml:space="preserve">   JUSTICE ASSISTANCE……………………………………………...……………………..………</t>
  </si>
  <si>
    <t xml:space="preserve">   JUSTICE ASSISTANCE………………………………..………………………………………</t>
  </si>
  <si>
    <t xml:space="preserve">        Minus:  Rescissions from Balances OJP</t>
  </si>
  <si>
    <t xml:space="preserve">   JUVENILE JUSTICE PROGRAMS…………………………………………………………</t>
  </si>
  <si>
    <t xml:space="preserve">   JUVENILE JUSTICE PROGRAMS…………………...…………………</t>
  </si>
  <si>
    <t xml:space="preserve">        Minus:  Rescissions from Balances</t>
  </si>
  <si>
    <t xml:space="preserve">  STATE AND LOCAL LAW ENFORCEMENT ASSISTANCE…………………………………………</t>
  </si>
  <si>
    <t xml:space="preserve">  STATE and LOCAL LAW ENFORCEMENT ASSIST.</t>
  </si>
  <si>
    <t xml:space="preserve">   WEED AND SEED………………………………...………...………….</t>
  </si>
  <si>
    <t xml:space="preserve">    PSOB……………………………………………………...………..………</t>
  </si>
  <si>
    <t xml:space="preserve">   OJP- wide rescissions</t>
  </si>
  <si>
    <t>COMMUNITY POLICING (INCLUDES OJP PROGRAMS)……………………………………………………………………………………</t>
  </si>
  <si>
    <t xml:space="preserve">       COMMUNITY POLICING ……………………..…………………………………...……………..</t>
  </si>
  <si>
    <t xml:space="preserve">        Minus:  COPS Rescissions from Balances………...…………………</t>
  </si>
  <si>
    <t>OFFICE ON VIOLENCE AGAINST WOMEN………………………………………………………………………………………………………</t>
  </si>
  <si>
    <t xml:space="preserve">       Office On Violence Against Women………………………………………………………..</t>
  </si>
  <si>
    <t>DISCRETIONARY OFFSETS AND RESCISSIONS:</t>
  </si>
  <si>
    <t xml:space="preserve">    CRIME VICTIM FUND RESCISSIONS………………………………………………………………….</t>
  </si>
  <si>
    <t>SUBTOTAL, DISCRETIONARY OFFSETS………………………………………………………………………..</t>
  </si>
  <si>
    <t>MANDATORY AND OTHER ACCOUNTS:</t>
  </si>
  <si>
    <t xml:space="preserve">   FEES AND EXPENSES OF WITNESSES (Mandatory)……………………………………………………………………</t>
  </si>
  <si>
    <t xml:space="preserve">   INDEPENDENT COUNSEL (PERM Indefinite)……………..……………………………….</t>
  </si>
  <si>
    <t xml:space="preserve">   RADIATION EXPOSURE Compensation Trust Fund-050) (Mandatory)</t>
  </si>
  <si>
    <t xml:space="preserve">   PUBLIC SAFETY OFFICERS' DEATH BENEFITS (Mandatory)……………</t>
  </si>
  <si>
    <t xml:space="preserve">   ASSETS FORFEITURE FUND (Perm Budget Auth)……………….. </t>
  </si>
  <si>
    <t xml:space="preserve">   ANTITRUST PRE-MERGER FILING FEE COLLECTIONS…………………..</t>
  </si>
  <si>
    <t xml:space="preserve">   U. S. TRUSTEES FEE COLLECTIONS………………….…………………………………</t>
  </si>
  <si>
    <t xml:space="preserve">   DIVERSION CONTROL FEE………………………………………………………………………………….</t>
  </si>
  <si>
    <t xml:space="preserve">   CRIME VICTIMS FUND………………………………………...………………………..………….</t>
  </si>
  <si>
    <t>SUBTOTAL, MANDATORY AND OTHER ACCOUNTS………………………………………………………………………..</t>
  </si>
  <si>
    <t>TOTAL BA, DISCR &amp; MANDATORY, DEPT. OF JUSTICE ……………………………………………………………………………………</t>
  </si>
  <si>
    <t>HEALTH CARE FRAUD REIMBURSEMENTS</t>
  </si>
  <si>
    <t>SUBTOTAL, HEALTH FRAUD REIMBURSEMENTS…………</t>
  </si>
  <si>
    <t>TOTAL BA, DEPARTMENT OF JUSTICE, WITH OFFSET</t>
  </si>
  <si>
    <t xml:space="preserve">    ASSET FORFEITURE FUND…………………………………………………….. ……………</t>
  </si>
  <si>
    <t>[1,199]</t>
  </si>
  <si>
    <t>NATIONAL DRUG INTEL CENTER ………………………..……………………………….... ……………...</t>
  </si>
  <si>
    <t>SALARIES AND EXPENSES :………………………………………………………………………..</t>
  </si>
  <si>
    <t xml:space="preserve">    OJP…………………………………………………………………………………………………………………..</t>
  </si>
  <si>
    <t xml:space="preserve">    COPS………………………………………………………………………………………………………………..</t>
  </si>
  <si>
    <t xml:space="preserve">    OVW…………………………………………………………………………………………………………………..</t>
  </si>
  <si>
    <t>[963]</t>
  </si>
  <si>
    <t xml:space="preserve">       USA/GLA-Health Care Fraud - Mandatory………………………………………………………….</t>
  </si>
  <si>
    <t xml:space="preserve">       FBI- Health Care Fraud - Mandatory……………………………………………………………….</t>
  </si>
  <si>
    <t>(Dollar in thousands)</t>
  </si>
  <si>
    <t>[1,358]</t>
  </si>
  <si>
    <t>[727]</t>
  </si>
  <si>
    <t xml:space="preserve">   ENVIRONMENTAL &amp; NAT'L RESOURCES DIVISION……………………………………………..…………...…………………..</t>
  </si>
  <si>
    <t>LAW ENFORCEMENT WIRELESS COMMUNICATIONS…………………..</t>
  </si>
  <si>
    <t>[N/A]</t>
  </si>
  <si>
    <t>[897]</t>
  </si>
  <si>
    <t>SUBTOTAL, DISCR OFFSETS………………………………………………………………………..</t>
  </si>
  <si>
    <t>[936]</t>
  </si>
  <si>
    <t xml:space="preserve">   IOC-2……………………………………….………………………………………...……………….……</t>
  </si>
  <si>
    <t xml:space="preserve">      HCFAC DISCRETIONARY REIMBURSEMENT………………………..</t>
  </si>
  <si>
    <t>ATF VCRP BALANCE RESCISSION…………………………………………………..</t>
  </si>
  <si>
    <t>FY 2011 PRESIDENT'S BUDGET</t>
  </si>
  <si>
    <t>TOTAL, DISCRETIONARY BUDGET AUTHORITY</t>
  </si>
  <si>
    <t>FY 2012 COMPONENT REQUEST</t>
  </si>
  <si>
    <t>[124]</t>
  </si>
  <si>
    <t>[1,497]</t>
  </si>
  <si>
    <t>[1,373]</t>
  </si>
  <si>
    <t>Notes:  The rvised BS Current Services number includes $172 million for annualization of FY 2010 positions which was not included in the AAG guidance.  The number was $29,633,235.</t>
  </si>
  <si>
    <t>[1,950]</t>
  </si>
  <si>
    <t>FY 2010 ENACTED</t>
  </si>
  <si>
    <t xml:space="preserve">  OVERSEAS CONTINGENCY OPERATIONS……………………………..</t>
  </si>
  <si>
    <t>[8]</t>
  </si>
  <si>
    <t>[1,366]</t>
  </si>
  <si>
    <t xml:space="preserve">Group </t>
  </si>
  <si>
    <t>Department of Justice</t>
  </si>
  <si>
    <t>Spring Call Budget Submission 2012</t>
  </si>
  <si>
    <t xml:space="preserve">Law Enforcement </t>
  </si>
  <si>
    <t>FY2011  President's Budget</t>
  </si>
  <si>
    <t>FY2012 Component Request</t>
  </si>
  <si>
    <t>% Over 2011</t>
  </si>
  <si>
    <t>FY2012 Other Increases</t>
  </si>
  <si>
    <t xml:space="preserve">     Salaries and Expenses </t>
  </si>
  <si>
    <t xml:space="preserve">    Construction</t>
  </si>
  <si>
    <t xml:space="preserve">    Salaries &amp; Expenses</t>
  </si>
  <si>
    <t xml:space="preserve">    Buildings &amp; Facilities</t>
  </si>
  <si>
    <t xml:space="preserve">  Drug Enforcement Administration</t>
  </si>
  <si>
    <t xml:space="preserve">  U.S. Marshals</t>
  </si>
  <si>
    <t xml:space="preserve">  Interpol</t>
  </si>
  <si>
    <t xml:space="preserve">  Detention Trustee</t>
  </si>
  <si>
    <t>Litigation</t>
  </si>
  <si>
    <t xml:space="preserve">  Interagency Crime &amp; Drug Enforcement</t>
  </si>
  <si>
    <t xml:space="preserve">  United States Atorneys</t>
  </si>
  <si>
    <t xml:space="preserve">  National Security Division</t>
  </si>
  <si>
    <t xml:space="preserve">  Criminal Division</t>
  </si>
  <si>
    <t xml:space="preserve">  Civil Division</t>
  </si>
  <si>
    <t xml:space="preserve">  Environmental and Nat'l Resources Division</t>
  </si>
  <si>
    <t xml:space="preserve">  Civil Rights Division</t>
  </si>
  <si>
    <t xml:space="preserve">  Tax Division</t>
  </si>
  <si>
    <t xml:space="preserve">  U.S. Trustees</t>
  </si>
  <si>
    <t xml:space="preserve">  Other</t>
  </si>
  <si>
    <t xml:space="preserve">  Total</t>
  </si>
  <si>
    <t>(Dollar in Thousands)</t>
  </si>
  <si>
    <t>State and Local Assistance (Grants)</t>
  </si>
  <si>
    <t xml:space="preserve">  Office of Justice Programs</t>
  </si>
  <si>
    <t xml:space="preserve">    Byrne/JAG</t>
  </si>
  <si>
    <t xml:space="preserve">    2nd Chance</t>
  </si>
  <si>
    <t xml:space="preserve">    Hiring</t>
  </si>
  <si>
    <t xml:space="preserve">  Community Policing </t>
  </si>
  <si>
    <t xml:space="preserve">  Office on Violence Against Women </t>
  </si>
  <si>
    <t xml:space="preserve">Other </t>
  </si>
  <si>
    <t xml:space="preserve">  National Drug Intelligence Center</t>
  </si>
  <si>
    <t xml:space="preserve">  S&amp;E (OJP,COPS, OVW)</t>
  </si>
  <si>
    <t xml:space="preserve">  Justice Information Sharing Technology</t>
  </si>
  <si>
    <t xml:space="preserve">  General Administration</t>
  </si>
  <si>
    <t xml:space="preserve">  Tactical Wireless Law Enforcement Communication </t>
  </si>
  <si>
    <t xml:space="preserve">  Executive Office for Immigration Review</t>
  </si>
  <si>
    <t xml:space="preserve">  Pardon Attorney </t>
  </si>
  <si>
    <t xml:space="preserve">  Office of the Inspector General </t>
  </si>
  <si>
    <t xml:space="preserve">  U.S. Parole Commission</t>
  </si>
  <si>
    <t xml:space="preserve">  Foreign Claims Settlement Commission</t>
  </si>
  <si>
    <t xml:space="preserve">  Assets Forfeiture Fund </t>
  </si>
  <si>
    <t xml:space="preserve">  Community Relations Service </t>
  </si>
  <si>
    <t xml:space="preserve">  Burea of Prisons (Federal Prison Industries)</t>
  </si>
  <si>
    <t xml:space="preserve">  Bureau of Alcohol, Tobacco, Firearms, &amp; Explosives</t>
  </si>
  <si>
    <t xml:space="preserve">  Federal Bureau of Investigation</t>
  </si>
  <si>
    <t xml:space="preserve">  Bureau of Prisons</t>
  </si>
  <si>
    <t xml:space="preserve">  Antitrust</t>
  </si>
  <si>
    <t xml:space="preserve">    Office of the Solicitor General </t>
  </si>
  <si>
    <t xml:space="preserve">    Office of Legal Counsel </t>
  </si>
  <si>
    <t xml:space="preserve">    Office of Dispute Resolution</t>
  </si>
  <si>
    <t>FY2010 Enacted</t>
  </si>
  <si>
    <t xml:space="preserve">  Grand Total </t>
  </si>
  <si>
    <t>FY 2009 ENACTED</t>
  </si>
  <si>
    <t xml:space="preserve">    WORKING CAPITAL FUND RESCISSIONS……………………………………….</t>
  </si>
  <si>
    <t>REVISED FY 2012 JMD CURRENT SERVICES</t>
  </si>
  <si>
    <t>REVISED FY 2012 COMPONENT REQUEST</t>
  </si>
  <si>
    <t>[9]</t>
  </si>
  <si>
    <t>FY 2012 TOTAL OMB GUIDANCE</t>
  </si>
  <si>
    <t>[6]</t>
  </si>
  <si>
    <t>[733]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</si>
  <si>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</si>
  <si>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FY 2012 DOJ PASSBACK</t>
  </si>
  <si>
    <t>FY2012 DOJ Passback</t>
  </si>
  <si>
    <t>(dollars in thousands)</t>
  </si>
  <si>
    <t>ATBs:</t>
  </si>
  <si>
    <t>Task Forces</t>
  </si>
  <si>
    <t>FY2012 DOJ Comp Appeal</t>
  </si>
  <si>
    <t>Technical Adjustments</t>
  </si>
  <si>
    <t xml:space="preserve">   DETENTION TRUSTEE……………………………………………………..…………………………………….…………………</t>
  </si>
  <si>
    <t>PERCENTAGE OF FY 2012 COMPONENT APPEAL over FY 2011 PRESIDENT'S BUDGET</t>
  </si>
  <si>
    <t>FY 2012 COMPONENT APPEAL over FY 2011 PRESIDENT'S BUDGET</t>
  </si>
  <si>
    <t>FY 2012 DOJ COMPONENT APPEAL</t>
  </si>
  <si>
    <t>PERCENTAGE OF FY 2012 DOJ PASSBACK over FY 2011 PRESIDENT'S BUDGET</t>
  </si>
  <si>
    <t>FY 2012 DOJ PASSBACK OVER FY 2011 PRESIDENT'S BUDGET</t>
  </si>
  <si>
    <t xml:space="preserve">Administration Efficiencies </t>
  </si>
  <si>
    <t>Realign Prof. Resp. Advisory Function</t>
  </si>
  <si>
    <t>Merge OFDT with USMS</t>
  </si>
  <si>
    <t>Realign ODR Function</t>
  </si>
  <si>
    <t>FBI Secure Work Env. (SCIF)</t>
  </si>
  <si>
    <t>FBI Lookout Program Efficiencies</t>
  </si>
  <si>
    <t>Adjust FBI Cost Mod</t>
  </si>
  <si>
    <t>Reduce FBI Network &amp; intrusion Analysis</t>
  </si>
  <si>
    <t>Eliminate ATF's VCAB</t>
  </si>
  <si>
    <t>Eliminate USMS E/S NY SSOP</t>
  </si>
  <si>
    <t>Realign JMD Function</t>
  </si>
  <si>
    <t>GA Efficiencies</t>
  </si>
  <si>
    <t>Realign Intergov. Liaison Function</t>
  </si>
  <si>
    <t>NSD Contractors</t>
  </si>
  <si>
    <t>NSD FARA Filing Fee Increase</t>
  </si>
  <si>
    <t>BOP Good Time Credit</t>
  </si>
  <si>
    <t>OVW Offsets</t>
  </si>
  <si>
    <t>OJP Offsets</t>
  </si>
  <si>
    <t>Reduce Physical Footprint</t>
  </si>
  <si>
    <t>Extend Tech Refresh</t>
  </si>
  <si>
    <t>Total</t>
  </si>
  <si>
    <t>OFDT Rescission</t>
  </si>
  <si>
    <t>Passback</t>
  </si>
  <si>
    <t>Proposed Settlement</t>
  </si>
  <si>
    <t>Delta</t>
  </si>
  <si>
    <t>FY 2012 OFFSETS</t>
  </si>
  <si>
    <r>
      <t xml:space="preserve">   </t>
    </r>
    <r>
      <rPr>
        <i/>
        <sz val="12"/>
        <rFont val="Arial"/>
        <family val="2"/>
      </rPr>
      <t>OJP SALARIES AND EXPENSES</t>
    </r>
  </si>
  <si>
    <r>
      <t xml:space="preserve">       </t>
    </r>
    <r>
      <rPr>
        <i/>
        <sz val="12"/>
        <rFont val="Arial"/>
        <family val="2"/>
      </rPr>
      <t>COPS SALARIES AND EXPENSES</t>
    </r>
  </si>
  <si>
    <r>
      <t xml:space="preserve">       </t>
    </r>
    <r>
      <rPr>
        <i/>
        <sz val="12"/>
        <rFont val="Arial"/>
        <family val="2"/>
      </rPr>
      <t>OVW SALARIES AND EXPENSES</t>
    </r>
  </si>
  <si>
    <t xml:space="preserve">    SUBTOTAL GRANTS SALARIES AND EXPENSES :………………………………………………………………………..</t>
  </si>
  <si>
    <t>FY 2012 DOJ REQUEST TO OMB</t>
  </si>
  <si>
    <t>FY2012 DOJ Request to OMB</t>
  </si>
  <si>
    <t>FY 2012 DOJ REQUEST TO OMB over FY 2011 PRESIDENT'S BUDGET</t>
  </si>
  <si>
    <t>PERCENTAGE OF FY 2012 DOJ REQUEST TO OMB over FY 2011 PRESIDENT'S BUDGET</t>
  </si>
  <si>
    <t xml:space="preserve">    DETENTION TRUSTEE …………………..…………………………………………………...……………..</t>
  </si>
  <si>
    <t>JIST LCMS</t>
  </si>
  <si>
    <t>JIST PMO</t>
  </si>
  <si>
    <t>Consolidations</t>
  </si>
  <si>
    <t>Component-unique program</t>
  </si>
  <si>
    <t xml:space="preserve">Limiting existing physical and IT </t>
  </si>
  <si>
    <t>Grants</t>
  </si>
  <si>
    <t>Subtotal offset before rescissions</t>
  </si>
  <si>
    <t>Total offsets and rescissions</t>
  </si>
  <si>
    <t>Subtotal before grants and rescissions</t>
  </si>
  <si>
    <t>NDIC - unique program</t>
  </si>
  <si>
    <t>NDIC - Limiting IT</t>
  </si>
  <si>
    <t>Administrative efficiencies and savings</t>
  </si>
  <si>
    <t>NDIC - Administrative efficiencies</t>
  </si>
  <si>
    <t>OFDT rescission</t>
  </si>
  <si>
    <t xml:space="preserve"> FY 2012 BUDGET</t>
  </si>
  <si>
    <t>FY 2012 OMB PASSPACK</t>
  </si>
  <si>
    <t>FY 2012 OMB PASSBACK over FY 2011 PRESIDENT'S BUDGET</t>
  </si>
  <si>
    <t>PERCENTAGE OF FY 2012 OMB PASSBACK over FY 2011 PRESIDENT'S BUDGET</t>
  </si>
  <si>
    <t>FY 2012 DOJ APPEAL</t>
  </si>
  <si>
    <t>FY 2012 DOJ APPEAL over FY 2011 PRESIDENT'S BUDGET</t>
  </si>
  <si>
    <t xml:space="preserve">      Rebasedline Adjustment</t>
  </si>
  <si>
    <t>DOJ Request</t>
  </si>
  <si>
    <t>Pre-passback</t>
  </si>
  <si>
    <t xml:space="preserve">  FY 2012 Payraise</t>
  </si>
  <si>
    <t xml:space="preserve">  FY 2011 Payraise</t>
  </si>
  <si>
    <t xml:space="preserve">  FY 2011 Positions</t>
  </si>
  <si>
    <t xml:space="preserve">  ICASS</t>
  </si>
  <si>
    <t xml:space="preserve">  Full Non-Recur FY 11 Crit Annualization </t>
  </si>
  <si>
    <t xml:space="preserve">  Non-Recurral of FY 2011 Non-Personnel</t>
  </si>
  <si>
    <t>Total ATB Variances</t>
  </si>
  <si>
    <t>FROM OMB TAB A:</t>
  </si>
  <si>
    <t>OMB</t>
  </si>
  <si>
    <t>TAB A</t>
  </si>
  <si>
    <t xml:space="preserve">    Resissions from Balances………………………………………………..</t>
  </si>
  <si>
    <t>V</t>
  </si>
  <si>
    <t>v</t>
  </si>
  <si>
    <t>[3,331]</t>
  </si>
  <si>
    <t>[3,277]</t>
  </si>
  <si>
    <t>[3,340]</t>
  </si>
  <si>
    <t>[3,286]</t>
  </si>
  <si>
    <t>[1,323]</t>
  </si>
  <si>
    <t>UNDISTRIBUTE PROGRAM CHANGES</t>
  </si>
  <si>
    <t>FY 2012 CR REBASELINE DOJ PASSPACK APPEAL</t>
  </si>
  <si>
    <t xml:space="preserve">FY 2012 CR REBASELINE PASSBACK APPEAL </t>
  </si>
  <si>
    <t>FY 2011 CR with ANOMALIES</t>
  </si>
  <si>
    <t xml:space="preserve">        Minus:  Rescissions from Balances………...…………………</t>
  </si>
  <si>
    <t>CONSTRUCTION</t>
  </si>
  <si>
    <t>FY 2011 FULL- YEAR CR</t>
  </si>
  <si>
    <t>[1,331]</t>
  </si>
  <si>
    <t>[2,075]</t>
  </si>
  <si>
    <t>[-125]</t>
  </si>
  <si>
    <t>[13]</t>
  </si>
  <si>
    <t>[714]</t>
  </si>
  <si>
    <t>[47]</t>
  </si>
  <si>
    <t>[3,387]</t>
  </si>
  <si>
    <t>[3,333]</t>
  </si>
  <si>
    <t xml:space="preserve">   MEDICAL MALPRACTICE GRANTS………………………………………..</t>
  </si>
  <si>
    <t>FY 2012 PRESIDENT'S BUDGET</t>
  </si>
  <si>
    <t xml:space="preserve">   9/11 VICTIMS COMPENSATION FUND.…………………………….</t>
  </si>
  <si>
    <t>SCOREKEEPING CREDITS:</t>
  </si>
  <si>
    <t xml:space="preserve">    CRIME VICTIM FUND ………………………………………………………………….</t>
  </si>
  <si>
    <t>SUBTOTAL, DISCRETIONARY CREDITS………………………………………………………………………..</t>
  </si>
  <si>
    <t>SUBTOTAL, DISCR WITH SCOREKEEPING CREDITS………………………………………………………………………..</t>
  </si>
</sst>
</file>

<file path=xl/styles.xml><?xml version="1.0" encoding="utf-8"?>
<styleSheet xmlns="http://schemas.openxmlformats.org/spreadsheetml/2006/main">
  <numFmts count="10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\ h:mm\ AM/PM"/>
    <numFmt numFmtId="165" formatCode="m/d"/>
    <numFmt numFmtId="166" formatCode="&quot;$&quot;#,##0"/>
    <numFmt numFmtId="167" formatCode="_(&quot;$&quot;* #,##0_);_(&quot;$&quot;* \(#,##0\);_(&quot;$&quot;* &quot;-&quot;??_);_(@_)"/>
    <numFmt numFmtId="168" formatCode="_(* #,##0_);_(* \(#,##0\);_(* &quot;-&quot;??_);_(@_)"/>
    <numFmt numFmtId="169" formatCode="0.0%"/>
  </numFmts>
  <fonts count="14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indexed="17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i/>
      <sz val="9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3" tint="0.59999389629810485"/>
        <bgColor indexed="64"/>
      </patternFill>
    </fill>
  </fills>
  <borders count="3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0">
    <xf numFmtId="0" fontId="0" fillId="0" borderId="0" xfId="0"/>
    <xf numFmtId="0" fontId="3" fillId="0" borderId="0" xfId="0" applyFont="1" applyFill="1" applyBorder="1"/>
    <xf numFmtId="3" fontId="4" fillId="0" borderId="0" xfId="0" applyNumberFormat="1" applyFont="1" applyFill="1" applyAlignment="1">
      <alignment horizontal="center"/>
    </xf>
    <xf numFmtId="3" fontId="3" fillId="0" borderId="0" xfId="0" applyNumberFormat="1" applyFont="1" applyFill="1" applyBorder="1"/>
    <xf numFmtId="164" fontId="3" fillId="0" borderId="0" xfId="0" applyNumberFormat="1" applyFont="1" applyFill="1"/>
    <xf numFmtId="20" fontId="3" fillId="0" borderId="0" xfId="0" applyNumberFormat="1" applyFont="1" applyFill="1"/>
    <xf numFmtId="3" fontId="3" fillId="0" borderId="0" xfId="0" applyNumberFormat="1" applyFont="1" applyFill="1"/>
    <xf numFmtId="3" fontId="5" fillId="0" borderId="0" xfId="0" applyNumberFormat="1" applyFont="1" applyFill="1" applyBorder="1"/>
    <xf numFmtId="164" fontId="3" fillId="0" borderId="1" xfId="0" applyNumberFormat="1" applyFont="1" applyFill="1" applyBorder="1"/>
    <xf numFmtId="0" fontId="3" fillId="0" borderId="2" xfId="0" applyFont="1" applyFill="1" applyBorder="1"/>
    <xf numFmtId="3" fontId="3" fillId="0" borderId="2" xfId="0" applyNumberFormat="1" applyFont="1" applyFill="1" applyBorder="1"/>
    <xf numFmtId="164" fontId="3" fillId="0" borderId="3" xfId="0" applyNumberFormat="1" applyFont="1" applyFill="1" applyBorder="1"/>
    <xf numFmtId="0" fontId="3" fillId="0" borderId="3" xfId="0" applyFont="1" applyFill="1" applyBorder="1"/>
    <xf numFmtId="0" fontId="3" fillId="0" borderId="4" xfId="0" applyFont="1" applyFill="1" applyBorder="1" applyAlignment="1">
      <alignment horizontal="center"/>
    </xf>
    <xf numFmtId="0" fontId="3" fillId="2" borderId="3" xfId="0" applyFont="1" applyFill="1" applyBorder="1"/>
    <xf numFmtId="0" fontId="3" fillId="2" borderId="0" xfId="0" applyFont="1" applyFill="1" applyBorder="1"/>
    <xf numFmtId="0" fontId="6" fillId="0" borderId="3" xfId="0" applyFont="1" applyFill="1" applyBorder="1"/>
    <xf numFmtId="3" fontId="3" fillId="2" borderId="5" xfId="0" applyNumberFormat="1" applyFont="1" applyFill="1" applyBorder="1" applyAlignment="1">
      <alignment horizontal="right"/>
    </xf>
    <xf numFmtId="0" fontId="6" fillId="0" borderId="0" xfId="0" applyFont="1" applyFill="1" applyBorder="1"/>
    <xf numFmtId="0" fontId="4" fillId="2" borderId="6" xfId="0" applyFont="1" applyFill="1" applyBorder="1"/>
    <xf numFmtId="0" fontId="4" fillId="2" borderId="7" xfId="0" applyFont="1" applyFill="1" applyBorder="1"/>
    <xf numFmtId="3" fontId="4" fillId="2" borderId="8" xfId="0" applyNumberFormat="1" applyFont="1" applyFill="1" applyBorder="1"/>
    <xf numFmtId="0" fontId="6" fillId="2" borderId="3" xfId="0" applyFont="1" applyFill="1" applyBorder="1"/>
    <xf numFmtId="3" fontId="3" fillId="2" borderId="5" xfId="0" applyNumberFormat="1" applyFont="1" applyFill="1" applyBorder="1"/>
    <xf numFmtId="3" fontId="3" fillId="0" borderId="9" xfId="0" applyNumberFormat="1" applyFont="1" applyFill="1" applyBorder="1" applyAlignment="1">
      <alignment horizontal="right"/>
    </xf>
    <xf numFmtId="3" fontId="3" fillId="2" borderId="9" xfId="0" applyNumberFormat="1" applyFont="1" applyFill="1" applyBorder="1"/>
    <xf numFmtId="3" fontId="4" fillId="2" borderId="8" xfId="0" applyNumberFormat="1" applyFont="1" applyFill="1" applyBorder="1" applyAlignment="1">
      <alignment horizontal="right"/>
    </xf>
    <xf numFmtId="0" fontId="3" fillId="0" borderId="1" xfId="0" applyFont="1" applyFill="1" applyBorder="1"/>
    <xf numFmtId="0" fontId="3" fillId="2" borderId="7" xfId="0" applyFont="1" applyFill="1" applyBorder="1"/>
    <xf numFmtId="0" fontId="4" fillId="2" borderId="10" xfId="0" applyFont="1" applyFill="1" applyBorder="1"/>
    <xf numFmtId="4" fontId="3" fillId="0" borderId="3" xfId="0" applyNumberFormat="1" applyFont="1" applyFill="1" applyBorder="1"/>
    <xf numFmtId="0" fontId="4" fillId="2" borderId="11" xfId="0" applyFont="1" applyFill="1" applyBorder="1"/>
    <xf numFmtId="3" fontId="3" fillId="2" borderId="12" xfId="0" applyNumberFormat="1" applyFont="1" applyFill="1" applyBorder="1" applyAlignment="1">
      <alignment horizontal="right"/>
    </xf>
    <xf numFmtId="0" fontId="4" fillId="2" borderId="8" xfId="0" applyFont="1" applyFill="1" applyBorder="1"/>
    <xf numFmtId="0" fontId="3" fillId="2" borderId="8" xfId="0" applyFont="1" applyFill="1" applyBorder="1"/>
    <xf numFmtId="0" fontId="4" fillId="3" borderId="2" xfId="0" applyFont="1" applyFill="1" applyBorder="1"/>
    <xf numFmtId="0" fontId="3" fillId="3" borderId="2" xfId="0" applyFont="1" applyFill="1" applyBorder="1"/>
    <xf numFmtId="3" fontId="4" fillId="3" borderId="0" xfId="0" applyNumberFormat="1" applyFont="1" applyFill="1" applyBorder="1" applyAlignment="1">
      <alignment horizontal="right"/>
    </xf>
    <xf numFmtId="0" fontId="3" fillId="0" borderId="0" xfId="0" applyNumberFormat="1" applyFont="1" applyFill="1" applyAlignment="1">
      <alignment horizontal="fill" wrapText="1"/>
    </xf>
    <xf numFmtId="0" fontId="3" fillId="0" borderId="0" xfId="0" applyFont="1" applyAlignment="1">
      <alignment horizontal="fill" wrapText="1"/>
    </xf>
    <xf numFmtId="0" fontId="3" fillId="0" borderId="0" xfId="0" applyFont="1" applyAlignment="1">
      <alignment wrapText="1"/>
    </xf>
    <xf numFmtId="0" fontId="3" fillId="0" borderId="0" xfId="0" applyNumberFormat="1" applyFont="1" applyFill="1" applyAlignment="1">
      <alignment horizontal="left"/>
    </xf>
    <xf numFmtId="0" fontId="3" fillId="0" borderId="0" xfId="0" applyNumberFormat="1" applyFont="1" applyFill="1" applyAlignment="1"/>
    <xf numFmtId="0" fontId="3" fillId="0" borderId="0" xfId="0" applyNumberFormat="1" applyFont="1" applyFill="1" applyAlignment="1">
      <alignment horizontal="right"/>
    </xf>
    <xf numFmtId="0" fontId="3" fillId="0" borderId="0" xfId="0" applyFont="1" applyFill="1"/>
    <xf numFmtId="0" fontId="3" fillId="0" borderId="0" xfId="0" applyNumberFormat="1" applyFont="1" applyFill="1" applyAlignment="1">
      <alignment horizontal="left" vertical="top"/>
    </xf>
    <xf numFmtId="14" fontId="3" fillId="0" borderId="0" xfId="0" applyNumberFormat="1" applyFont="1" applyFill="1" applyAlignment="1">
      <alignment horizontal="left" vertical="top"/>
    </xf>
    <xf numFmtId="165" fontId="3" fillId="0" borderId="0" xfId="0" applyNumberFormat="1" applyFont="1" applyFill="1"/>
    <xf numFmtId="6" fontId="3" fillId="0" borderId="0" xfId="0" applyNumberFormat="1" applyFont="1" applyFill="1"/>
    <xf numFmtId="8" fontId="3" fillId="0" borderId="0" xfId="0" applyNumberFormat="1" applyFont="1" applyFill="1"/>
    <xf numFmtId="0" fontId="3" fillId="0" borderId="13" xfId="0" applyFont="1" applyFill="1" applyBorder="1"/>
    <xf numFmtId="0" fontId="3" fillId="2" borderId="14" xfId="0" applyFont="1" applyFill="1" applyBorder="1"/>
    <xf numFmtId="0" fontId="3" fillId="0" borderId="14" xfId="0" applyFont="1" applyFill="1" applyBorder="1"/>
    <xf numFmtId="0" fontId="3" fillId="2" borderId="6" xfId="0" applyFont="1" applyFill="1" applyBorder="1"/>
    <xf numFmtId="3" fontId="3" fillId="0" borderId="15" xfId="0" applyNumberFormat="1" applyFont="1" applyFill="1" applyBorder="1"/>
    <xf numFmtId="3" fontId="3" fillId="0" borderId="14" xfId="0" applyNumberFormat="1" applyFont="1" applyFill="1" applyBorder="1"/>
    <xf numFmtId="0" fontId="3" fillId="0" borderId="15" xfId="0" applyFont="1" applyFill="1" applyBorder="1"/>
    <xf numFmtId="0" fontId="3" fillId="2" borderId="16" xfId="0" applyFont="1" applyFill="1" applyBorder="1"/>
    <xf numFmtId="3" fontId="3" fillId="2" borderId="8" xfId="0" applyNumberFormat="1" applyFont="1" applyFill="1" applyBorder="1"/>
    <xf numFmtId="0" fontId="3" fillId="3" borderId="3" xfId="0" applyFont="1" applyFill="1" applyBorder="1"/>
    <xf numFmtId="0" fontId="3" fillId="3" borderId="0" xfId="0" applyFont="1" applyFill="1" applyBorder="1"/>
    <xf numFmtId="0" fontId="3" fillId="3" borderId="14" xfId="0" applyFont="1" applyFill="1" applyBorder="1"/>
    <xf numFmtId="0" fontId="3" fillId="0" borderId="17" xfId="0" applyFont="1" applyFill="1" applyBorder="1"/>
    <xf numFmtId="3" fontId="3" fillId="0" borderId="9" xfId="0" applyNumberFormat="1" applyFont="1" applyFill="1" applyBorder="1"/>
    <xf numFmtId="0" fontId="3" fillId="0" borderId="18" xfId="0" applyFont="1" applyFill="1" applyBorder="1"/>
    <xf numFmtId="0" fontId="4" fillId="0" borderId="19" xfId="0" applyFont="1" applyFill="1" applyBorder="1"/>
    <xf numFmtId="0" fontId="4" fillId="0" borderId="4" xfId="0" applyFont="1" applyFill="1" applyBorder="1" applyAlignment="1">
      <alignment horizontal="center"/>
    </xf>
    <xf numFmtId="167" fontId="4" fillId="2" borderId="8" xfId="1" applyNumberFormat="1" applyFont="1" applyFill="1" applyBorder="1" applyAlignment="1">
      <alignment horizontal="right"/>
    </xf>
    <xf numFmtId="3" fontId="3" fillId="0" borderId="4" xfId="0" applyNumberFormat="1" applyFont="1" applyFill="1" applyBorder="1" applyAlignment="1">
      <alignment horizontal="center"/>
    </xf>
    <xf numFmtId="3" fontId="3" fillId="2" borderId="9" xfId="0" applyNumberFormat="1" applyFont="1" applyFill="1" applyBorder="1" applyAlignment="1">
      <alignment horizontal="right"/>
    </xf>
    <xf numFmtId="3" fontId="3" fillId="0" borderId="21" xfId="0" applyNumberFormat="1" applyFont="1" applyFill="1" applyBorder="1"/>
    <xf numFmtId="3" fontId="7" fillId="0" borderId="9" xfId="0" applyNumberFormat="1" applyFont="1" applyBorder="1" applyAlignment="1">
      <alignment horizontal="right" vertical="top"/>
    </xf>
    <xf numFmtId="3" fontId="7" fillId="0" borderId="9" xfId="0" applyNumberFormat="1" applyFont="1" applyFill="1" applyBorder="1" applyAlignment="1">
      <alignment horizontal="right" vertical="top"/>
    </xf>
    <xf numFmtId="0" fontId="3" fillId="0" borderId="9" xfId="0" applyFont="1" applyFill="1" applyBorder="1"/>
    <xf numFmtId="3" fontId="3" fillId="3" borderId="9" xfId="0" applyNumberFormat="1" applyFont="1" applyFill="1" applyBorder="1"/>
    <xf numFmtId="3" fontId="3" fillId="2" borderId="22" xfId="0" applyNumberFormat="1" applyFont="1" applyFill="1" applyBorder="1"/>
    <xf numFmtId="3" fontId="3" fillId="0" borderId="20" xfId="0" applyNumberFormat="1" applyFont="1" applyFill="1" applyBorder="1" applyAlignment="1">
      <alignment horizontal="right"/>
    </xf>
    <xf numFmtId="3" fontId="3" fillId="0" borderId="20" xfId="0" applyNumberFormat="1" applyFont="1" applyFill="1" applyBorder="1"/>
    <xf numFmtId="3" fontId="3" fillId="3" borderId="9" xfId="0" applyNumberFormat="1" applyFont="1" applyFill="1" applyBorder="1" applyAlignment="1">
      <alignment horizontal="right"/>
    </xf>
    <xf numFmtId="3" fontId="3" fillId="0" borderId="23" xfId="0" applyNumberFormat="1" applyFont="1" applyFill="1" applyBorder="1"/>
    <xf numFmtId="3" fontId="3" fillId="2" borderId="8" xfId="0" applyNumberFormat="1" applyFont="1" applyFill="1" applyBorder="1" applyAlignment="1">
      <alignment horizontal="right"/>
    </xf>
    <xf numFmtId="3" fontId="3" fillId="0" borderId="5" xfId="0" applyNumberFormat="1" applyFont="1" applyFill="1" applyBorder="1"/>
    <xf numFmtId="3" fontId="3" fillId="0" borderId="5" xfId="0" applyNumberFormat="1" applyFont="1" applyFill="1" applyBorder="1" applyAlignment="1">
      <alignment horizontal="right"/>
    </xf>
    <xf numFmtId="9" fontId="3" fillId="0" borderId="9" xfId="0" applyNumberFormat="1" applyFont="1" applyFill="1" applyBorder="1"/>
    <xf numFmtId="9" fontId="3" fillId="0" borderId="9" xfId="0" applyNumberFormat="1" applyFont="1" applyFill="1" applyBorder="1" applyAlignment="1">
      <alignment horizontal="right"/>
    </xf>
    <xf numFmtId="9" fontId="3" fillId="2" borderId="9" xfId="0" applyNumberFormat="1" applyFont="1" applyFill="1" applyBorder="1"/>
    <xf numFmtId="9" fontId="4" fillId="2" borderId="8" xfId="0" applyNumberFormat="1" applyFont="1" applyFill="1" applyBorder="1"/>
    <xf numFmtId="9" fontId="3" fillId="2" borderId="5" xfId="0" applyNumberFormat="1" applyFont="1" applyFill="1" applyBorder="1"/>
    <xf numFmtId="0" fontId="8" fillId="0" borderId="25" xfId="0" applyFont="1" applyBorder="1"/>
    <xf numFmtId="0" fontId="8" fillId="6" borderId="25" xfId="0" applyFont="1" applyFill="1" applyBorder="1" applyAlignment="1">
      <alignment horizontal="center" wrapText="1"/>
    </xf>
    <xf numFmtId="0" fontId="0" fillId="0" borderId="25" xfId="0" applyBorder="1"/>
    <xf numFmtId="0" fontId="9" fillId="0" borderId="25" xfId="0" applyFont="1" applyBorder="1"/>
    <xf numFmtId="0" fontId="8" fillId="0" borderId="0" xfId="0" applyFont="1" applyBorder="1" applyAlignment="1">
      <alignment horizontal="center"/>
    </xf>
    <xf numFmtId="0" fontId="0" fillId="0" borderId="0" xfId="0" applyBorder="1"/>
    <xf numFmtId="0" fontId="10" fillId="0" borderId="25" xfId="0" applyFont="1" applyBorder="1"/>
    <xf numFmtId="0" fontId="12" fillId="0" borderId="25" xfId="0" applyFont="1" applyBorder="1"/>
    <xf numFmtId="0" fontId="11" fillId="0" borderId="25" xfId="0" applyFont="1" applyBorder="1"/>
    <xf numFmtId="0" fontId="9" fillId="3" borderId="25" xfId="0" applyFont="1" applyFill="1" applyBorder="1"/>
    <xf numFmtId="3" fontId="0" fillId="0" borderId="25" xfId="0" applyNumberFormat="1" applyBorder="1"/>
    <xf numFmtId="3" fontId="0" fillId="3" borderId="25" xfId="0" applyNumberFormat="1" applyFill="1" applyBorder="1"/>
    <xf numFmtId="3" fontId="0" fillId="0" borderId="25" xfId="0" applyNumberFormat="1" applyBorder="1" applyAlignment="1">
      <alignment horizontal="right"/>
    </xf>
    <xf numFmtId="0" fontId="8" fillId="7" borderId="25" xfId="0" applyFont="1" applyFill="1" applyBorder="1" applyAlignment="1">
      <alignment horizontal="center" wrapText="1"/>
    </xf>
    <xf numFmtId="0" fontId="8" fillId="0" borderId="25" xfId="0" applyFont="1" applyBorder="1" applyAlignment="1">
      <alignment horizontal="center" wrapText="1"/>
    </xf>
    <xf numFmtId="0" fontId="8" fillId="8" borderId="25" xfId="0" applyFont="1" applyFill="1" applyBorder="1" applyAlignment="1">
      <alignment horizontal="center" wrapText="1"/>
    </xf>
    <xf numFmtId="9" fontId="0" fillId="3" borderId="25" xfId="0" applyNumberFormat="1" applyFill="1" applyBorder="1"/>
    <xf numFmtId="9" fontId="0" fillId="0" borderId="25" xfId="0" applyNumberFormat="1" applyBorder="1"/>
    <xf numFmtId="0" fontId="9" fillId="0" borderId="26" xfId="0" applyFont="1" applyBorder="1"/>
    <xf numFmtId="3" fontId="0" fillId="0" borderId="26" xfId="0" applyNumberFormat="1" applyBorder="1"/>
    <xf numFmtId="9" fontId="0" fillId="0" borderId="26" xfId="0" applyNumberFormat="1" applyBorder="1"/>
    <xf numFmtId="3" fontId="10" fillId="0" borderId="25" xfId="0" applyNumberFormat="1" applyFont="1" applyBorder="1"/>
    <xf numFmtId="3" fontId="8" fillId="0" borderId="25" xfId="0" applyNumberFormat="1" applyFont="1" applyBorder="1"/>
    <xf numFmtId="9" fontId="8" fillId="3" borderId="25" xfId="0" applyNumberFormat="1" applyFont="1" applyFill="1" applyBorder="1"/>
    <xf numFmtId="9" fontId="8" fillId="0" borderId="25" xfId="0" applyNumberFormat="1" applyFont="1" applyBorder="1"/>
    <xf numFmtId="3" fontId="10" fillId="0" borderId="25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wrapText="1"/>
    </xf>
    <xf numFmtId="3" fontId="3" fillId="0" borderId="0" xfId="0" applyNumberFormat="1" applyFont="1" applyAlignment="1">
      <alignment horizontal="fill" wrapText="1"/>
    </xf>
    <xf numFmtId="3" fontId="3" fillId="0" borderId="0" xfId="0" applyNumberFormat="1" applyFont="1" applyFill="1" applyAlignment="1">
      <alignment horizontal="left" wrapText="1"/>
    </xf>
    <xf numFmtId="3" fontId="3" fillId="0" borderId="0" xfId="0" applyNumberFormat="1" applyFont="1" applyAlignment="1">
      <alignment wrapText="1"/>
    </xf>
    <xf numFmtId="3" fontId="6" fillId="0" borderId="9" xfId="0" applyNumberFormat="1" applyFont="1" applyFill="1" applyBorder="1"/>
    <xf numFmtId="0" fontId="3" fillId="0" borderId="28" xfId="0" applyFont="1" applyFill="1" applyBorder="1"/>
    <xf numFmtId="3" fontId="9" fillId="0" borderId="25" xfId="0" applyNumberFormat="1" applyFont="1" applyBorder="1"/>
    <xf numFmtId="3" fontId="9" fillId="0" borderId="26" xfId="0" applyNumberFormat="1" applyFont="1" applyBorder="1"/>
    <xf numFmtId="3" fontId="12" fillId="0" borderId="25" xfId="0" applyNumberFormat="1" applyFont="1" applyBorder="1"/>
    <xf numFmtId="3" fontId="3" fillId="12" borderId="9" xfId="0" applyNumberFormat="1" applyFont="1" applyFill="1" applyBorder="1"/>
    <xf numFmtId="9" fontId="3" fillId="2" borderId="9" xfId="0" applyNumberFormat="1" applyFont="1" applyFill="1" applyBorder="1" applyAlignment="1">
      <alignment horizontal="right"/>
    </xf>
    <xf numFmtId="9" fontId="3" fillId="2" borderId="8" xfId="0" applyNumberFormat="1" applyFont="1" applyFill="1" applyBorder="1"/>
    <xf numFmtId="9" fontId="3" fillId="2" borderId="22" xfId="0" applyNumberFormat="1" applyFont="1" applyFill="1" applyBorder="1"/>
    <xf numFmtId="9" fontId="4" fillId="2" borderId="8" xfId="1" applyNumberFormat="1" applyFont="1" applyFill="1" applyBorder="1" applyAlignment="1">
      <alignment horizontal="right"/>
    </xf>
    <xf numFmtId="9" fontId="3" fillId="2" borderId="8" xfId="0" applyNumberFormat="1" applyFont="1" applyFill="1" applyBorder="1" applyAlignment="1">
      <alignment horizontal="right"/>
    </xf>
    <xf numFmtId="9" fontId="4" fillId="2" borderId="8" xfId="0" applyNumberFormat="1" applyFont="1" applyFill="1" applyBorder="1" applyAlignment="1">
      <alignment horizontal="right"/>
    </xf>
    <xf numFmtId="9" fontId="3" fillId="2" borderId="12" xfId="0" applyNumberFormat="1" applyFont="1" applyFill="1" applyBorder="1" applyAlignment="1">
      <alignment horizontal="right"/>
    </xf>
    <xf numFmtId="0" fontId="3" fillId="0" borderId="10" xfId="0" applyFont="1" applyFill="1" applyBorder="1"/>
    <xf numFmtId="0" fontId="8" fillId="5" borderId="25" xfId="0" applyFont="1" applyFill="1" applyBorder="1" applyAlignment="1">
      <alignment horizontal="center" wrapText="1"/>
    </xf>
    <xf numFmtId="0" fontId="8" fillId="13" borderId="25" xfId="0" applyFont="1" applyFill="1" applyBorder="1" applyAlignment="1">
      <alignment horizontal="center" wrapText="1"/>
    </xf>
    <xf numFmtId="0" fontId="8" fillId="0" borderId="17" xfId="0" applyFont="1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3" fontId="0" fillId="0" borderId="0" xfId="0" applyNumberFormat="1"/>
    <xf numFmtId="0" fontId="3" fillId="0" borderId="0" xfId="0" applyFont="1" applyFill="1" applyBorder="1" applyAlignment="1">
      <alignment horizontal="center" vertical="center"/>
    </xf>
    <xf numFmtId="3" fontId="4" fillId="9" borderId="20" xfId="0" applyNumberFormat="1" applyFont="1" applyFill="1" applyBorder="1" applyAlignment="1">
      <alignment horizontal="center" vertical="center" wrapText="1"/>
    </xf>
    <xf numFmtId="0" fontId="4" fillId="8" borderId="20" xfId="0" applyFont="1" applyFill="1" applyBorder="1" applyAlignment="1">
      <alignment horizontal="center" vertical="center" wrapText="1"/>
    </xf>
    <xf numFmtId="0" fontId="4" fillId="11" borderId="20" xfId="0" applyFont="1" applyFill="1" applyBorder="1" applyAlignment="1">
      <alignment horizontal="center" vertical="center" wrapText="1"/>
    </xf>
    <xf numFmtId="0" fontId="4" fillId="14" borderId="20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10" borderId="20" xfId="0" applyFont="1" applyFill="1" applyBorder="1" applyAlignment="1">
      <alignment horizontal="center" vertical="center" wrapText="1"/>
    </xf>
    <xf numFmtId="0" fontId="4" fillId="15" borderId="20" xfId="0" applyFont="1" applyFill="1" applyBorder="1" applyAlignment="1">
      <alignment horizontal="center" vertical="center" wrapText="1"/>
    </xf>
    <xf numFmtId="0" fontId="4" fillId="16" borderId="20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8" fillId="16" borderId="25" xfId="0" applyFont="1" applyFill="1" applyBorder="1" applyAlignment="1">
      <alignment horizontal="center" wrapText="1"/>
    </xf>
    <xf numFmtId="0" fontId="8" fillId="11" borderId="25" xfId="0" applyFont="1" applyFill="1" applyBorder="1" applyAlignment="1">
      <alignment horizontal="center" wrapText="1"/>
    </xf>
    <xf numFmtId="0" fontId="3" fillId="17" borderId="3" xfId="0" applyFont="1" applyFill="1" applyBorder="1"/>
    <xf numFmtId="0" fontId="4" fillId="0" borderId="0" xfId="0" applyFont="1" applyFill="1" applyAlignment="1">
      <alignment horizontal="center" wrapText="1"/>
    </xf>
    <xf numFmtId="0" fontId="0" fillId="0" borderId="0" xfId="0" applyAlignment="1">
      <alignment wrapText="1"/>
    </xf>
    <xf numFmtId="0" fontId="3" fillId="0" borderId="0" xfId="0" applyNumberFormat="1" applyFont="1" applyFill="1" applyAlignment="1">
      <alignment horizontal="left" wrapText="1"/>
    </xf>
    <xf numFmtId="0" fontId="4" fillId="18" borderId="20" xfId="0" applyFont="1" applyFill="1" applyBorder="1" applyAlignment="1">
      <alignment horizontal="center" vertical="center" wrapText="1"/>
    </xf>
    <xf numFmtId="0" fontId="0" fillId="0" borderId="0" xfId="0" applyAlignment="1">
      <alignment horizontal="centerContinuous" wrapText="1"/>
    </xf>
    <xf numFmtId="0" fontId="4" fillId="0" borderId="0" xfId="0" applyFont="1" applyFill="1" applyAlignment="1">
      <alignment horizontal="centerContinuous" wrapText="1"/>
    </xf>
    <xf numFmtId="3" fontId="1" fillId="0" borderId="0" xfId="0" applyNumberFormat="1" applyFont="1"/>
    <xf numFmtId="166" fontId="0" fillId="0" borderId="33" xfId="0" applyNumberFormat="1" applyBorder="1"/>
    <xf numFmtId="3" fontId="1" fillId="0" borderId="17" xfId="0" applyNumberFormat="1" applyFont="1" applyBorder="1" applyAlignment="1">
      <alignment horizontal="right"/>
    </xf>
    <xf numFmtId="3" fontId="1" fillId="0" borderId="17" xfId="0" applyNumberFormat="1" applyFont="1" applyBorder="1" applyAlignment="1">
      <alignment horizontal="right" wrapText="1"/>
    </xf>
    <xf numFmtId="0" fontId="3" fillId="12" borderId="3" xfId="0" applyFont="1" applyFill="1" applyBorder="1"/>
    <xf numFmtId="0" fontId="3" fillId="12" borderId="0" xfId="0" applyFont="1" applyFill="1" applyBorder="1"/>
    <xf numFmtId="3" fontId="3" fillId="12" borderId="9" xfId="0" applyNumberFormat="1" applyFont="1" applyFill="1" applyBorder="1" applyAlignment="1">
      <alignment horizontal="right"/>
    </xf>
    <xf numFmtId="9" fontId="3" fillId="12" borderId="9" xfId="0" applyNumberFormat="1" applyFont="1" applyFill="1" applyBorder="1" applyAlignment="1">
      <alignment horizontal="right"/>
    </xf>
    <xf numFmtId="9" fontId="0" fillId="0" borderId="0" xfId="2" applyNumberFormat="1" applyFont="1"/>
    <xf numFmtId="0" fontId="3" fillId="12" borderId="14" xfId="0" applyFont="1" applyFill="1" applyBorder="1"/>
    <xf numFmtId="3" fontId="3" fillId="12" borderId="0" xfId="0" applyNumberFormat="1" applyFont="1" applyFill="1" applyBorder="1"/>
    <xf numFmtId="168" fontId="3" fillId="0" borderId="0" xfId="3" applyNumberFormat="1" applyFont="1" applyFill="1" applyBorder="1"/>
    <xf numFmtId="168" fontId="3" fillId="12" borderId="0" xfId="3" applyNumberFormat="1" applyFont="1" applyFill="1" applyBorder="1"/>
    <xf numFmtId="168" fontId="3" fillId="2" borderId="0" xfId="3" applyNumberFormat="1" applyFont="1" applyFill="1" applyBorder="1" applyAlignment="1">
      <alignment horizontal="right"/>
    </xf>
    <xf numFmtId="168" fontId="4" fillId="2" borderId="0" xfId="3" applyNumberFormat="1" applyFont="1" applyFill="1" applyBorder="1" applyAlignment="1">
      <alignment horizontal="right"/>
    </xf>
    <xf numFmtId="168" fontId="3" fillId="0" borderId="0" xfId="3" applyNumberFormat="1" applyFont="1" applyFill="1" applyBorder="1" applyAlignment="1">
      <alignment horizontal="right"/>
    </xf>
    <xf numFmtId="169" fontId="3" fillId="12" borderId="9" xfId="0" applyNumberFormat="1" applyFont="1" applyFill="1" applyBorder="1" applyAlignment="1">
      <alignment horizontal="right"/>
    </xf>
    <xf numFmtId="169" fontId="3" fillId="0" borderId="9" xfId="0" applyNumberFormat="1" applyFont="1" applyFill="1" applyBorder="1"/>
    <xf numFmtId="169" fontId="3" fillId="0" borderId="9" xfId="0" applyNumberFormat="1" applyFont="1" applyFill="1" applyBorder="1" applyAlignment="1">
      <alignment horizontal="right"/>
    </xf>
    <xf numFmtId="169" fontId="3" fillId="2" borderId="5" xfId="0" applyNumberFormat="1" applyFont="1" applyFill="1" applyBorder="1"/>
    <xf numFmtId="169" fontId="3" fillId="2" borderId="9" xfId="0" applyNumberFormat="1" applyFont="1" applyFill="1" applyBorder="1"/>
    <xf numFmtId="169" fontId="3" fillId="2" borderId="9" xfId="0" applyNumberFormat="1" applyFont="1" applyFill="1" applyBorder="1" applyAlignment="1">
      <alignment horizontal="right"/>
    </xf>
    <xf numFmtId="169" fontId="4" fillId="2" borderId="8" xfId="0" applyNumberFormat="1" applyFont="1" applyFill="1" applyBorder="1"/>
    <xf numFmtId="169" fontId="3" fillId="2" borderId="8" xfId="0" applyNumberFormat="1" applyFont="1" applyFill="1" applyBorder="1"/>
    <xf numFmtId="169" fontId="3" fillId="2" borderId="22" xfId="0" applyNumberFormat="1" applyFont="1" applyFill="1" applyBorder="1"/>
    <xf numFmtId="169" fontId="4" fillId="17" borderId="12" xfId="2" applyNumberFormat="1" applyFont="1" applyFill="1" applyBorder="1"/>
    <xf numFmtId="169" fontId="3" fillId="2" borderId="8" xfId="0" applyNumberFormat="1" applyFont="1" applyFill="1" applyBorder="1" applyAlignment="1">
      <alignment horizontal="right"/>
    </xf>
    <xf numFmtId="169" fontId="4" fillId="2" borderId="8" xfId="0" applyNumberFormat="1" applyFont="1" applyFill="1" applyBorder="1" applyAlignment="1">
      <alignment horizontal="right"/>
    </xf>
    <xf numFmtId="169" fontId="3" fillId="2" borderId="12" xfId="0" applyNumberFormat="1" applyFont="1" applyFill="1" applyBorder="1" applyAlignment="1">
      <alignment horizontal="right"/>
    </xf>
    <xf numFmtId="0" fontId="4" fillId="19" borderId="20" xfId="0" applyFont="1" applyFill="1" applyBorder="1" applyAlignment="1">
      <alignment horizontal="center" vertical="center" wrapText="1"/>
    </xf>
    <xf numFmtId="0" fontId="3" fillId="17" borderId="0" xfId="0" applyFont="1" applyFill="1" applyBorder="1"/>
    <xf numFmtId="0" fontId="3" fillId="17" borderId="14" xfId="0" applyFont="1" applyFill="1" applyBorder="1"/>
    <xf numFmtId="3" fontId="7" fillId="17" borderId="5" xfId="0" applyNumberFormat="1" applyFont="1" applyFill="1" applyBorder="1" applyAlignment="1">
      <alignment horizontal="right" vertical="top"/>
    </xf>
    <xf numFmtId="3" fontId="3" fillId="17" borderId="5" xfId="0" applyNumberFormat="1" applyFont="1" applyFill="1" applyBorder="1"/>
    <xf numFmtId="3" fontId="3" fillId="17" borderId="5" xfId="0" applyNumberFormat="1" applyFont="1" applyFill="1" applyBorder="1" applyAlignment="1">
      <alignment horizontal="right"/>
    </xf>
    <xf numFmtId="0" fontId="6" fillId="12" borderId="3" xfId="0" applyFont="1" applyFill="1" applyBorder="1"/>
    <xf numFmtId="0" fontId="6" fillId="12" borderId="0" xfId="0" applyFont="1" applyFill="1" applyBorder="1"/>
    <xf numFmtId="0" fontId="6" fillId="12" borderId="14" xfId="0" applyFont="1" applyFill="1" applyBorder="1"/>
    <xf numFmtId="0" fontId="6" fillId="0" borderId="14" xfId="0" applyFont="1" applyFill="1" applyBorder="1"/>
    <xf numFmtId="3" fontId="0" fillId="0" borderId="17" xfId="0" applyNumberFormat="1" applyBorder="1"/>
    <xf numFmtId="3" fontId="0" fillId="0" borderId="27" xfId="0" applyNumberFormat="1" applyBorder="1"/>
    <xf numFmtId="3" fontId="0" fillId="0" borderId="33" xfId="0" applyNumberFormat="1" applyBorder="1"/>
    <xf numFmtId="3" fontId="0" fillId="14" borderId="0" xfId="0" applyNumberFormat="1" applyFill="1"/>
    <xf numFmtId="166" fontId="0" fillId="14" borderId="0" xfId="0" applyNumberFormat="1" applyFill="1"/>
    <xf numFmtId="3" fontId="1" fillId="14" borderId="0" xfId="0" applyNumberFormat="1" applyFont="1" applyFill="1"/>
    <xf numFmtId="3" fontId="0" fillId="20" borderId="0" xfId="0" applyNumberFormat="1" applyFill="1"/>
    <xf numFmtId="3" fontId="1" fillId="20" borderId="0" xfId="0" applyNumberFormat="1" applyFont="1" applyFill="1"/>
    <xf numFmtId="3" fontId="0" fillId="21" borderId="0" xfId="0" applyNumberFormat="1" applyFill="1"/>
    <xf numFmtId="3" fontId="1" fillId="21" borderId="0" xfId="0" applyNumberFormat="1" applyFont="1" applyFill="1"/>
    <xf numFmtId="3" fontId="0" fillId="22" borderId="0" xfId="0" applyNumberFormat="1" applyFill="1"/>
    <xf numFmtId="3" fontId="1" fillId="22" borderId="0" xfId="0" applyNumberFormat="1" applyFont="1" applyFill="1"/>
    <xf numFmtId="3" fontId="0" fillId="22" borderId="17" xfId="0" applyNumberFormat="1" applyFill="1" applyBorder="1"/>
    <xf numFmtId="3" fontId="0" fillId="23" borderId="0" xfId="0" applyNumberFormat="1" applyFill="1"/>
    <xf numFmtId="3" fontId="1" fillId="23" borderId="0" xfId="0" applyNumberFormat="1" applyFont="1" applyFill="1"/>
    <xf numFmtId="3" fontId="0" fillId="23" borderId="17" xfId="0" applyNumberFormat="1" applyFill="1" applyBorder="1"/>
    <xf numFmtId="0" fontId="0" fillId="0" borderId="0" xfId="0" applyAlignment="1">
      <alignment wrapText="1"/>
    </xf>
    <xf numFmtId="3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166" fontId="0" fillId="0" borderId="0" xfId="0" applyNumberFormat="1"/>
    <xf numFmtId="0" fontId="4" fillId="0" borderId="3" xfId="0" applyFont="1" applyFill="1" applyBorder="1"/>
    <xf numFmtId="3" fontId="4" fillId="0" borderId="9" xfId="0" applyNumberFormat="1" applyFont="1" applyFill="1" applyBorder="1"/>
    <xf numFmtId="3" fontId="3" fillId="0" borderId="9" xfId="4" applyNumberFormat="1" applyFont="1" applyBorder="1" applyAlignment="1">
      <alignment horizontal="right" vertical="top"/>
    </xf>
    <xf numFmtId="3" fontId="3" fillId="0" borderId="9" xfId="4" applyNumberFormat="1" applyFont="1" applyFill="1" applyBorder="1" applyAlignment="1">
      <alignment horizontal="right" vertical="top"/>
    </xf>
    <xf numFmtId="3" fontId="3" fillId="2" borderId="5" xfId="4" applyNumberFormat="1" applyFont="1" applyFill="1" applyBorder="1" applyAlignment="1">
      <alignment horizontal="right"/>
    </xf>
    <xf numFmtId="3" fontId="3" fillId="2" borderId="5" xfId="4" applyNumberFormat="1" applyFont="1" applyFill="1" applyBorder="1"/>
    <xf numFmtId="3" fontId="3" fillId="0" borderId="9" xfId="4" applyNumberFormat="1" applyFont="1" applyFill="1" applyBorder="1" applyAlignment="1">
      <alignment horizontal="right"/>
    </xf>
    <xf numFmtId="3" fontId="3" fillId="2" borderId="9" xfId="4" applyNumberFormat="1" applyFont="1" applyFill="1" applyBorder="1"/>
    <xf numFmtId="3" fontId="3" fillId="0" borderId="9" xfId="4" applyNumberFormat="1" applyFont="1" applyFill="1" applyBorder="1"/>
    <xf numFmtId="0" fontId="3" fillId="0" borderId="0" xfId="0" applyNumberFormat="1" applyFont="1" applyFill="1" applyAlignment="1">
      <alignment horizontal="left" wrapText="1"/>
    </xf>
    <xf numFmtId="0" fontId="3" fillId="16" borderId="0" xfId="0" applyFont="1" applyFill="1" applyBorder="1"/>
    <xf numFmtId="3" fontId="3" fillId="16" borderId="0" xfId="0" applyNumberFormat="1" applyFont="1" applyFill="1" applyBorder="1"/>
    <xf numFmtId="3" fontId="7" fillId="12" borderId="9" xfId="0" applyNumberFormat="1" applyFont="1" applyFill="1" applyBorder="1" applyAlignment="1">
      <alignment horizontal="right" vertical="top"/>
    </xf>
    <xf numFmtId="3" fontId="3" fillId="12" borderId="9" xfId="4" applyNumberFormat="1" applyFont="1" applyFill="1" applyBorder="1"/>
    <xf numFmtId="3" fontId="3" fillId="17" borderId="9" xfId="0" applyNumberFormat="1" applyFont="1" applyFill="1" applyBorder="1" applyAlignment="1">
      <alignment horizontal="right"/>
    </xf>
    <xf numFmtId="3" fontId="4" fillId="17" borderId="8" xfId="0" applyNumberFormat="1" applyFont="1" applyFill="1" applyBorder="1"/>
    <xf numFmtId="3" fontId="3" fillId="17" borderId="8" xfId="0" applyNumberFormat="1" applyFont="1" applyFill="1" applyBorder="1"/>
    <xf numFmtId="3" fontId="3" fillId="17" borderId="22" xfId="0" applyNumberFormat="1" applyFont="1" applyFill="1" applyBorder="1"/>
    <xf numFmtId="3" fontId="3" fillId="17" borderId="9" xfId="0" applyNumberFormat="1" applyFont="1" applyFill="1" applyBorder="1"/>
    <xf numFmtId="0" fontId="3" fillId="0" borderId="0" xfId="0" applyNumberFormat="1" applyFont="1" applyFill="1" applyAlignment="1">
      <alignment horizontal="left" wrapText="1"/>
    </xf>
    <xf numFmtId="0" fontId="3" fillId="0" borderId="0" xfId="0" applyFont="1" applyFill="1" applyBorder="1" applyAlignment="1">
      <alignment wrapText="1"/>
    </xf>
    <xf numFmtId="0" fontId="3" fillId="0" borderId="0" xfId="0" applyNumberFormat="1" applyFont="1" applyFill="1" applyAlignment="1">
      <alignment horizontal="left" wrapText="1"/>
    </xf>
    <xf numFmtId="0" fontId="4" fillId="0" borderId="20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3" fontId="4" fillId="0" borderId="32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4" fillId="13" borderId="1" xfId="0" applyFont="1" applyFill="1" applyBorder="1" applyAlignment="1">
      <alignment horizontal="center" vertical="center" wrapText="1"/>
    </xf>
    <xf numFmtId="0" fontId="4" fillId="13" borderId="2" xfId="0" applyFont="1" applyFill="1" applyBorder="1" applyAlignment="1">
      <alignment horizontal="center" vertical="center" wrapText="1"/>
    </xf>
    <xf numFmtId="0" fontId="4" fillId="13" borderId="30" xfId="0" applyFont="1" applyFill="1" applyBorder="1" applyAlignment="1">
      <alignment horizontal="center" vertical="center" wrapText="1"/>
    </xf>
    <xf numFmtId="0" fontId="0" fillId="13" borderId="3" xfId="0" applyFill="1" applyBorder="1" applyAlignment="1">
      <alignment horizontal="center" vertical="center" wrapText="1"/>
    </xf>
    <xf numFmtId="0" fontId="0" fillId="13" borderId="0" xfId="0" applyFill="1" applyBorder="1" applyAlignment="1">
      <alignment horizontal="center" vertical="center" wrapText="1"/>
    </xf>
    <xf numFmtId="0" fontId="0" fillId="13" borderId="28" xfId="0" applyFill="1" applyBorder="1" applyAlignment="1">
      <alignment horizontal="center" vertical="center" wrapText="1"/>
    </xf>
    <xf numFmtId="0" fontId="0" fillId="13" borderId="19" xfId="0" applyFill="1" applyBorder="1" applyAlignment="1">
      <alignment horizontal="center" vertical="center" wrapText="1"/>
    </xf>
    <xf numFmtId="0" fontId="0" fillId="13" borderId="17" xfId="0" applyFill="1" applyBorder="1" applyAlignment="1">
      <alignment horizontal="center" vertical="center" wrapText="1"/>
    </xf>
    <xf numFmtId="0" fontId="0" fillId="13" borderId="31" xfId="0" applyFill="1" applyBorder="1" applyAlignment="1">
      <alignment horizontal="center" vertical="center" wrapText="1"/>
    </xf>
    <xf numFmtId="0" fontId="0" fillId="12" borderId="19" xfId="0" applyFill="1" applyBorder="1" applyAlignment="1">
      <alignment horizontal="center" vertical="center" wrapText="1"/>
    </xf>
    <xf numFmtId="0" fontId="0" fillId="12" borderId="17" xfId="0" applyFill="1" applyBorder="1" applyAlignment="1">
      <alignment horizontal="center" vertical="center" wrapText="1"/>
    </xf>
    <xf numFmtId="0" fontId="0" fillId="12" borderId="31" xfId="0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center" vertical="center" wrapText="1"/>
    </xf>
    <xf numFmtId="0" fontId="4" fillId="12" borderId="2" xfId="0" applyFont="1" applyFill="1" applyBorder="1" applyAlignment="1">
      <alignment horizontal="center" vertical="center" wrapText="1"/>
    </xf>
    <xf numFmtId="0" fontId="4" fillId="12" borderId="30" xfId="0" applyFont="1" applyFill="1" applyBorder="1" applyAlignment="1">
      <alignment horizontal="center" vertical="center" wrapText="1"/>
    </xf>
    <xf numFmtId="0" fontId="0" fillId="12" borderId="3" xfId="0" applyFill="1" applyBorder="1" applyAlignment="1">
      <alignment horizontal="center" vertical="center" wrapText="1"/>
    </xf>
    <xf numFmtId="0" fontId="0" fillId="12" borderId="0" xfId="0" applyFill="1" applyBorder="1" applyAlignment="1">
      <alignment horizontal="center" vertical="center" wrapText="1"/>
    </xf>
    <xf numFmtId="0" fontId="0" fillId="12" borderId="28" xfId="0" applyFill="1" applyBorder="1" applyAlignment="1">
      <alignment horizontal="center" vertical="center" wrapText="1"/>
    </xf>
    <xf numFmtId="3" fontId="4" fillId="24" borderId="1" xfId="0" applyNumberFormat="1" applyFont="1" applyFill="1" applyBorder="1" applyAlignment="1">
      <alignment horizontal="center" vertical="center" wrapText="1"/>
    </xf>
    <xf numFmtId="3" fontId="4" fillId="24" borderId="2" xfId="0" applyNumberFormat="1" applyFont="1" applyFill="1" applyBorder="1" applyAlignment="1">
      <alignment horizontal="center" vertical="center" wrapText="1"/>
    </xf>
    <xf numFmtId="3" fontId="4" fillId="24" borderId="30" xfId="0" applyNumberFormat="1" applyFont="1" applyFill="1" applyBorder="1" applyAlignment="1">
      <alignment horizontal="center" vertical="center" wrapText="1"/>
    </xf>
    <xf numFmtId="0" fontId="0" fillId="24" borderId="19" xfId="0" applyFill="1" applyBorder="1" applyAlignment="1">
      <alignment horizontal="center" vertical="center" wrapText="1"/>
    </xf>
    <xf numFmtId="0" fontId="0" fillId="24" borderId="17" xfId="0" applyFill="1" applyBorder="1" applyAlignment="1">
      <alignment horizontal="center" vertical="center" wrapText="1"/>
    </xf>
    <xf numFmtId="0" fontId="0" fillId="24" borderId="31" xfId="0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4" fillId="3" borderId="2" xfId="0" applyFont="1" applyFill="1" applyBorder="1" applyAlignment="1">
      <alignment wrapText="1"/>
    </xf>
    <xf numFmtId="0" fontId="0" fillId="0" borderId="2" xfId="0" applyBorder="1" applyAlignment="1">
      <alignment wrapText="1"/>
    </xf>
    <xf numFmtId="3" fontId="1" fillId="0" borderId="0" xfId="0" applyNumberFormat="1" applyFont="1" applyAlignment="1">
      <alignment horizontal="center" wrapText="1"/>
    </xf>
    <xf numFmtId="3" fontId="0" fillId="0" borderId="0" xfId="0" applyNumberFormat="1" applyAlignment="1">
      <alignment horizontal="center" wrapText="1"/>
    </xf>
    <xf numFmtId="3" fontId="4" fillId="25" borderId="1" xfId="0" applyNumberFormat="1" applyFont="1" applyFill="1" applyBorder="1" applyAlignment="1">
      <alignment horizontal="center" vertical="center" wrapText="1"/>
    </xf>
    <xf numFmtId="3" fontId="4" fillId="25" borderId="2" xfId="0" applyNumberFormat="1" applyFont="1" applyFill="1" applyBorder="1" applyAlignment="1">
      <alignment horizontal="center" vertical="center" wrapText="1"/>
    </xf>
    <xf numFmtId="3" fontId="4" fillId="25" borderId="30" xfId="0" applyNumberFormat="1" applyFont="1" applyFill="1" applyBorder="1" applyAlignment="1">
      <alignment horizontal="center" vertical="center" wrapText="1"/>
    </xf>
    <xf numFmtId="0" fontId="0" fillId="25" borderId="19" xfId="0" applyFill="1" applyBorder="1" applyAlignment="1">
      <alignment horizontal="center" vertical="center" wrapText="1"/>
    </xf>
    <xf numFmtId="0" fontId="0" fillId="25" borderId="17" xfId="0" applyFill="1" applyBorder="1" applyAlignment="1">
      <alignment horizontal="center" vertical="center" wrapText="1"/>
    </xf>
    <xf numFmtId="0" fontId="0" fillId="25" borderId="31" xfId="0" applyFill="1" applyBorder="1" applyAlignment="1">
      <alignment horizontal="center" vertical="center" wrapText="1"/>
    </xf>
  </cellXfs>
  <cellStyles count="7">
    <cellStyle name="Comma" xfId="3" builtinId="3"/>
    <cellStyle name="Comma 2" xfId="6"/>
    <cellStyle name="Currency" xfId="1" builtinId="4"/>
    <cellStyle name="Normal" xfId="0" builtinId="0"/>
    <cellStyle name="Normal 2" xfId="4"/>
    <cellStyle name="Percent" xfId="2" builtinId="5"/>
    <cellStyle name="Percent 2" xfId="5"/>
  </cellStyles>
  <dxfs count="0"/>
  <tableStyles count="0" defaultTableStyle="TableStyleMedium9" defaultPivotStyle="PivotStyleLight16"/>
  <colors>
    <mruColors>
      <color rgb="FFFF66FF"/>
      <color rgb="FFD60093"/>
      <color rgb="FFFF66CC"/>
      <color rgb="FFFF00FF"/>
      <color rgb="FFFF33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_Staff/2012%20Products/FY%2012%20Formulation/FY%2012%20Spring%20Submission/FY12%20Monster/FY%202012%20DOJ%20Proposed%20Settlement%20-%20Aug%201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rgets at OMB Guidance"/>
      <sheetName val="FY 2012 Current Service"/>
      <sheetName val="REVISED FY 2012 CS "/>
      <sheetName val="Component"/>
      <sheetName val="Other Increases"/>
      <sheetName val="Component Re-submission"/>
      <sheetName val="DOJ Pass"/>
      <sheetName val="DOJ Comp Appeal"/>
      <sheetName val="DOJ Proposed Settlement"/>
      <sheetName val="DOJ AG Decision"/>
      <sheetName val="Side by Side"/>
      <sheetName val="GROUP"/>
      <sheetName val="changes"/>
      <sheetName val="Sheet1"/>
    </sheetNames>
    <sheetDataSet>
      <sheetData sheetId="0" refreshError="1"/>
      <sheetData sheetId="1" refreshError="1">
        <row r="92">
          <cell r="N92" t="str">
            <v xml:space="preserve"> </v>
          </cell>
        </row>
      </sheetData>
      <sheetData sheetId="2" refreshError="1">
        <row r="10">
          <cell r="N10">
            <v>230709</v>
          </cell>
        </row>
        <row r="11">
          <cell r="N11">
            <v>7619</v>
          </cell>
        </row>
        <row r="12">
          <cell r="N12">
            <v>44995.397777777776</v>
          </cell>
        </row>
        <row r="13">
          <cell r="N13">
            <v>180567.28689655173</v>
          </cell>
        </row>
        <row r="14">
          <cell r="N14">
            <v>1541162.36</v>
          </cell>
        </row>
        <row r="15">
          <cell r="N15">
            <v>207861.34</v>
          </cell>
        </row>
        <row r="17">
          <cell r="N17">
            <v>333556</v>
          </cell>
        </row>
        <row r="18">
          <cell r="N18">
            <v>2815.4994144061302</v>
          </cell>
        </row>
        <row r="19">
          <cell r="N19">
            <v>90732</v>
          </cell>
        </row>
        <row r="20">
          <cell r="N20">
            <v>0</v>
          </cell>
        </row>
        <row r="21">
          <cell r="N21">
            <v>14037</v>
          </cell>
        </row>
        <row r="22">
          <cell r="N22">
            <v>99829</v>
          </cell>
        </row>
        <row r="24">
          <cell r="N24">
            <v>11151</v>
          </cell>
        </row>
        <row r="25">
          <cell r="N25">
            <v>117487</v>
          </cell>
        </row>
        <row r="26">
          <cell r="N26">
            <v>197714</v>
          </cell>
        </row>
        <row r="27">
          <cell r="N27">
            <v>345048</v>
          </cell>
        </row>
        <row r="28">
          <cell r="N28">
            <v>127494</v>
          </cell>
        </row>
        <row r="29">
          <cell r="N29">
            <v>7861</v>
          </cell>
        </row>
        <row r="30">
          <cell r="N30">
            <v>168266</v>
          </cell>
        </row>
        <row r="31">
          <cell r="N31">
            <v>37833</v>
          </cell>
        </row>
        <row r="32">
          <cell r="N32">
            <v>849</v>
          </cell>
        </row>
        <row r="33">
          <cell r="N33" t="str">
            <v>[7,833]</v>
          </cell>
        </row>
        <row r="34">
          <cell r="N34">
            <v>169105</v>
          </cell>
        </row>
        <row r="35">
          <cell r="N35">
            <v>-110000</v>
          </cell>
        </row>
        <row r="36">
          <cell r="N36">
            <v>2093947</v>
          </cell>
        </row>
        <row r="38">
          <cell r="N38">
            <v>241896</v>
          </cell>
        </row>
        <row r="39">
          <cell r="N39">
            <v>-281829</v>
          </cell>
        </row>
        <row r="40">
          <cell r="N40">
            <v>2201</v>
          </cell>
        </row>
        <row r="42">
          <cell r="N42">
            <v>1281120</v>
          </cell>
        </row>
        <row r="43">
          <cell r="N43">
            <v>26625</v>
          </cell>
        </row>
        <row r="44">
          <cell r="N44">
            <v>12704</v>
          </cell>
        </row>
        <row r="45">
          <cell r="N45">
            <v>20990</v>
          </cell>
        </row>
        <row r="46">
          <cell r="N46">
            <v>618349</v>
          </cell>
        </row>
        <row r="48">
          <cell r="N48">
            <v>8298843</v>
          </cell>
        </row>
        <row r="50">
          <cell r="N50">
            <v>131921</v>
          </cell>
        </row>
        <row r="51">
          <cell r="N51">
            <v>0</v>
          </cell>
        </row>
        <row r="53">
          <cell r="N53">
            <v>2156686</v>
          </cell>
        </row>
        <row r="54">
          <cell r="N54">
            <v>6000</v>
          </cell>
        </row>
        <row r="55">
          <cell r="N55">
            <v>1216774</v>
          </cell>
        </row>
        <row r="57">
          <cell r="N57">
            <v>0</v>
          </cell>
        </row>
        <row r="59">
          <cell r="N59">
            <v>6821364</v>
          </cell>
        </row>
        <row r="60">
          <cell r="N60">
            <v>100099</v>
          </cell>
        </row>
        <row r="61">
          <cell r="N61">
            <v>2700</v>
          </cell>
        </row>
        <row r="62">
          <cell r="N62">
            <v>0</v>
          </cell>
        </row>
        <row r="67">
          <cell r="N67">
            <v>224300</v>
          </cell>
        </row>
        <row r="68">
          <cell r="N68">
            <v>0</v>
          </cell>
        </row>
        <row r="69">
          <cell r="N69">
            <v>0</v>
          </cell>
        </row>
        <row r="71">
          <cell r="N71">
            <v>289806</v>
          </cell>
        </row>
        <row r="72">
          <cell r="N72">
            <v>0</v>
          </cell>
        </row>
        <row r="74">
          <cell r="N74">
            <v>1478500</v>
          </cell>
        </row>
        <row r="75">
          <cell r="N75">
            <v>0</v>
          </cell>
        </row>
        <row r="76">
          <cell r="N76">
            <v>0</v>
          </cell>
        </row>
        <row r="77">
          <cell r="N77">
            <v>16300</v>
          </cell>
        </row>
        <row r="78">
          <cell r="N78">
            <v>0</v>
          </cell>
        </row>
        <row r="80">
          <cell r="N80">
            <v>690000</v>
          </cell>
        </row>
        <row r="81">
          <cell r="N81">
            <v>0</v>
          </cell>
        </row>
        <row r="82">
          <cell r="N82">
            <v>0</v>
          </cell>
        </row>
        <row r="84">
          <cell r="N84">
            <v>438000</v>
          </cell>
        </row>
        <row r="85">
          <cell r="N85">
            <v>0</v>
          </cell>
        </row>
        <row r="86">
          <cell r="N86">
            <v>0</v>
          </cell>
        </row>
        <row r="88">
          <cell r="N88">
            <v>219100</v>
          </cell>
        </row>
        <row r="89">
          <cell r="N89">
            <v>42113</v>
          </cell>
        </row>
        <row r="90">
          <cell r="N90">
            <v>25604</v>
          </cell>
        </row>
        <row r="93">
          <cell r="W93">
            <v>-820000</v>
          </cell>
        </row>
        <row r="95">
          <cell r="W95">
            <v>-500000</v>
          </cell>
        </row>
        <row r="99">
          <cell r="W99">
            <v>270000</v>
          </cell>
        </row>
        <row r="100">
          <cell r="W100">
            <v>500</v>
          </cell>
        </row>
        <row r="101">
          <cell r="W101">
            <v>53200</v>
          </cell>
        </row>
        <row r="102">
          <cell r="W102">
            <v>61000</v>
          </cell>
        </row>
        <row r="103">
          <cell r="W103">
            <v>1146210</v>
          </cell>
        </row>
        <row r="104">
          <cell r="W104">
            <v>110000</v>
          </cell>
        </row>
        <row r="105">
          <cell r="W105">
            <v>281829</v>
          </cell>
        </row>
        <row r="106">
          <cell r="W106">
            <v>291832</v>
          </cell>
        </row>
        <row r="107">
          <cell r="W107">
            <v>900000</v>
          </cell>
        </row>
        <row r="111">
          <cell r="W111">
            <v>55328</v>
          </cell>
        </row>
        <row r="112">
          <cell r="W112">
            <v>126258</v>
          </cell>
        </row>
        <row r="113">
          <cell r="W113">
            <v>90003</v>
          </cell>
        </row>
      </sheetData>
      <sheetData sheetId="3" refreshError="1">
        <row r="10">
          <cell r="W10">
            <v>170962</v>
          </cell>
        </row>
        <row r="11">
          <cell r="W11">
            <v>7619</v>
          </cell>
        </row>
        <row r="12">
          <cell r="W12">
            <v>44996</v>
          </cell>
        </row>
        <row r="13">
          <cell r="W13">
            <v>286931</v>
          </cell>
        </row>
        <row r="14">
          <cell r="W14">
            <v>1623754</v>
          </cell>
        </row>
        <row r="15">
          <cell r="W15">
            <v>209334</v>
          </cell>
        </row>
        <row r="17">
          <cell r="W17">
            <v>330505</v>
          </cell>
        </row>
        <row r="18">
          <cell r="W18">
            <v>2812</v>
          </cell>
        </row>
        <row r="19">
          <cell r="W19">
            <v>90738</v>
          </cell>
        </row>
        <row r="20">
          <cell r="W20">
            <v>0</v>
          </cell>
        </row>
        <row r="21">
          <cell r="W21">
            <v>14037</v>
          </cell>
        </row>
        <row r="22">
          <cell r="W22">
            <v>99641</v>
          </cell>
        </row>
        <row r="24">
          <cell r="W24">
            <v>11575</v>
          </cell>
        </row>
        <row r="25">
          <cell r="W25">
            <v>117487</v>
          </cell>
        </row>
        <row r="26">
          <cell r="W26">
            <v>191065</v>
          </cell>
        </row>
        <row r="27">
          <cell r="W27">
            <v>351134</v>
          </cell>
        </row>
        <row r="28">
          <cell r="W28">
            <v>130240</v>
          </cell>
        </row>
        <row r="29">
          <cell r="W29">
            <v>8013</v>
          </cell>
        </row>
        <row r="30">
          <cell r="W30">
            <v>168660</v>
          </cell>
        </row>
        <row r="31">
          <cell r="W31">
            <v>37316</v>
          </cell>
        </row>
        <row r="32">
          <cell r="W32">
            <v>849</v>
          </cell>
        </row>
        <row r="33">
          <cell r="W33" t="str">
            <v>[7,833]</v>
          </cell>
        </row>
        <row r="34">
          <cell r="W34">
            <v>169164</v>
          </cell>
        </row>
        <row r="35">
          <cell r="W35">
            <v>-110000</v>
          </cell>
        </row>
        <row r="36">
          <cell r="W36">
            <v>2136270</v>
          </cell>
        </row>
        <row r="38">
          <cell r="W38">
            <v>245415</v>
          </cell>
        </row>
        <row r="39">
          <cell r="W39">
            <v>-281829</v>
          </cell>
        </row>
        <row r="40">
          <cell r="W40">
            <v>2201</v>
          </cell>
        </row>
        <row r="42">
          <cell r="W42">
            <v>1251259</v>
          </cell>
        </row>
        <row r="43">
          <cell r="W43">
            <v>26625</v>
          </cell>
        </row>
        <row r="44">
          <cell r="W44">
            <v>14784</v>
          </cell>
        </row>
        <row r="45">
          <cell r="W45">
            <v>20990</v>
          </cell>
        </row>
        <row r="46">
          <cell r="W46">
            <v>598078</v>
          </cell>
        </row>
        <row r="48">
          <cell r="W48">
            <v>8417806</v>
          </cell>
        </row>
        <row r="50">
          <cell r="W50">
            <v>257647</v>
          </cell>
        </row>
        <row r="51">
          <cell r="W51">
            <v>0</v>
          </cell>
        </row>
        <row r="53">
          <cell r="W53">
            <v>2211029</v>
          </cell>
        </row>
        <row r="54">
          <cell r="W54">
            <v>6000</v>
          </cell>
        </row>
        <row r="55">
          <cell r="W55">
            <v>1278540</v>
          </cell>
        </row>
        <row r="57">
          <cell r="W57">
            <v>0</v>
          </cell>
        </row>
        <row r="59">
          <cell r="W59">
            <v>7328989</v>
          </cell>
        </row>
        <row r="60">
          <cell r="W60">
            <v>1786049</v>
          </cell>
        </row>
        <row r="61">
          <cell r="W61">
            <v>2700</v>
          </cell>
        </row>
        <row r="62">
          <cell r="W62">
            <v>0</v>
          </cell>
        </row>
        <row r="67">
          <cell r="W67">
            <v>287850</v>
          </cell>
        </row>
        <row r="68">
          <cell r="W68">
            <v>0</v>
          </cell>
        </row>
        <row r="69">
          <cell r="W69">
            <v>0</v>
          </cell>
        </row>
        <row r="71">
          <cell r="W71">
            <v>304306</v>
          </cell>
        </row>
        <row r="72">
          <cell r="W72">
            <v>0</v>
          </cell>
        </row>
        <row r="74">
          <cell r="W74">
            <v>1451500</v>
          </cell>
        </row>
        <row r="75">
          <cell r="W75">
            <v>0</v>
          </cell>
        </row>
        <row r="76">
          <cell r="W76">
            <v>0</v>
          </cell>
        </row>
        <row r="77">
          <cell r="W77">
            <v>16300</v>
          </cell>
        </row>
        <row r="78">
          <cell r="W78">
            <v>0</v>
          </cell>
        </row>
        <row r="80">
          <cell r="W80">
            <v>1047000</v>
          </cell>
        </row>
        <row r="81">
          <cell r="W81">
            <v>0</v>
          </cell>
        </row>
        <row r="82">
          <cell r="W82">
            <v>0</v>
          </cell>
        </row>
        <row r="84">
          <cell r="W84">
            <v>548500</v>
          </cell>
        </row>
        <row r="85">
          <cell r="W85">
            <v>0</v>
          </cell>
        </row>
        <row r="86">
          <cell r="W86">
            <v>0</v>
          </cell>
        </row>
        <row r="88">
          <cell r="W88">
            <v>318276</v>
          </cell>
        </row>
        <row r="89">
          <cell r="W89">
            <v>42113</v>
          </cell>
        </row>
        <row r="90">
          <cell r="W90">
            <v>32494</v>
          </cell>
        </row>
        <row r="92">
          <cell r="W92" t="str">
            <v xml:space="preserve"> </v>
          </cell>
        </row>
        <row r="93">
          <cell r="W93">
            <v>-471000</v>
          </cell>
        </row>
        <row r="94">
          <cell r="W94">
            <v>-495000</v>
          </cell>
        </row>
        <row r="98">
          <cell r="W98">
            <v>270000</v>
          </cell>
        </row>
        <row r="99">
          <cell r="W99">
            <v>500</v>
          </cell>
        </row>
        <row r="100">
          <cell r="W100">
            <v>53200</v>
          </cell>
        </row>
        <row r="101">
          <cell r="W101">
            <v>61000</v>
          </cell>
        </row>
        <row r="102">
          <cell r="W102">
            <v>1146210</v>
          </cell>
        </row>
        <row r="103">
          <cell r="W103">
            <v>110000</v>
          </cell>
        </row>
        <row r="104">
          <cell r="W104">
            <v>281829</v>
          </cell>
        </row>
        <row r="105">
          <cell r="W105">
            <v>324693</v>
          </cell>
        </row>
        <row r="106">
          <cell r="W106">
            <v>1800000</v>
          </cell>
        </row>
        <row r="110">
          <cell r="W110">
            <v>55328</v>
          </cell>
        </row>
        <row r="111">
          <cell r="W111">
            <v>126258</v>
          </cell>
        </row>
        <row r="112">
          <cell r="W112">
            <v>90003</v>
          </cell>
        </row>
      </sheetData>
      <sheetData sheetId="4" refreshError="1"/>
      <sheetData sheetId="5" refreshError="1">
        <row r="10">
          <cell r="W10">
            <v>170962</v>
          </cell>
        </row>
        <row r="11">
          <cell r="W11">
            <v>7619</v>
          </cell>
        </row>
        <row r="12">
          <cell r="W12">
            <v>44995</v>
          </cell>
        </row>
        <row r="13">
          <cell r="W13">
            <v>286931</v>
          </cell>
        </row>
        <row r="14">
          <cell r="W14">
            <v>1534162</v>
          </cell>
        </row>
        <row r="15">
          <cell r="W15">
            <v>209334</v>
          </cell>
        </row>
        <row r="17">
          <cell r="W17">
            <v>330505</v>
          </cell>
        </row>
        <row r="18">
          <cell r="W18">
            <v>2812</v>
          </cell>
        </row>
        <row r="19">
          <cell r="W19">
            <v>90738</v>
          </cell>
        </row>
        <row r="20">
          <cell r="W20">
            <v>0</v>
          </cell>
        </row>
        <row r="21">
          <cell r="W21">
            <v>14037</v>
          </cell>
        </row>
        <row r="22">
          <cell r="W22">
            <v>98978</v>
          </cell>
        </row>
        <row r="24">
          <cell r="W24">
            <v>11572</v>
          </cell>
        </row>
        <row r="25">
          <cell r="W25">
            <v>117487</v>
          </cell>
        </row>
        <row r="26">
          <cell r="W26">
            <v>191026</v>
          </cell>
        </row>
        <row r="27">
          <cell r="W27">
            <v>351134</v>
          </cell>
        </row>
        <row r="28">
          <cell r="W28">
            <v>130240</v>
          </cell>
        </row>
        <row r="29">
          <cell r="W29">
            <v>8013</v>
          </cell>
        </row>
        <row r="30">
          <cell r="W30">
            <v>168660</v>
          </cell>
        </row>
        <row r="31">
          <cell r="W31">
            <v>37316</v>
          </cell>
        </row>
        <row r="32">
          <cell r="W32">
            <v>849</v>
          </cell>
        </row>
        <row r="33">
          <cell r="W33" t="str">
            <v>[7,833]</v>
          </cell>
        </row>
        <row r="34">
          <cell r="W34">
            <v>169146</v>
          </cell>
        </row>
        <row r="35">
          <cell r="W35">
            <v>-110000</v>
          </cell>
        </row>
        <row r="36">
          <cell r="W36">
            <v>2110082</v>
          </cell>
        </row>
        <row r="38">
          <cell r="W38">
            <v>245415</v>
          </cell>
        </row>
        <row r="39">
          <cell r="W39">
            <v>-281829</v>
          </cell>
        </row>
        <row r="40">
          <cell r="W40">
            <v>2201</v>
          </cell>
        </row>
        <row r="42">
          <cell r="W42">
            <v>1251259</v>
          </cell>
        </row>
        <row r="43">
          <cell r="W43">
            <v>26625</v>
          </cell>
        </row>
        <row r="44">
          <cell r="W44">
            <v>12690</v>
          </cell>
        </row>
        <row r="45">
          <cell r="W45">
            <v>20990</v>
          </cell>
        </row>
        <row r="46">
          <cell r="W46">
            <v>598078</v>
          </cell>
        </row>
        <row r="48">
          <cell r="W48">
            <v>8417806</v>
          </cell>
        </row>
        <row r="50">
          <cell r="W50">
            <v>257647</v>
          </cell>
        </row>
        <row r="51">
          <cell r="W51">
            <v>0</v>
          </cell>
        </row>
        <row r="53">
          <cell r="W53">
            <v>2211029</v>
          </cell>
        </row>
        <row r="54">
          <cell r="W54">
            <v>6000</v>
          </cell>
        </row>
        <row r="55">
          <cell r="W55">
            <v>1278540</v>
          </cell>
        </row>
        <row r="57">
          <cell r="W57">
            <v>0</v>
          </cell>
        </row>
        <row r="59">
          <cell r="W59">
            <v>6937024</v>
          </cell>
        </row>
        <row r="60">
          <cell r="W60">
            <v>269780</v>
          </cell>
        </row>
        <row r="61">
          <cell r="W61">
            <v>2700</v>
          </cell>
        </row>
        <row r="62">
          <cell r="W62">
            <v>0</v>
          </cell>
        </row>
        <row r="67">
          <cell r="W67">
            <v>269850</v>
          </cell>
        </row>
        <row r="68">
          <cell r="W68">
            <v>0</v>
          </cell>
        </row>
        <row r="69">
          <cell r="W69">
            <v>0</v>
          </cell>
        </row>
        <row r="71">
          <cell r="W71">
            <v>289306</v>
          </cell>
        </row>
        <row r="72">
          <cell r="W72">
            <v>0</v>
          </cell>
        </row>
        <row r="74">
          <cell r="W74">
            <v>1367400</v>
          </cell>
        </row>
        <row r="75">
          <cell r="W75">
            <v>0</v>
          </cell>
        </row>
        <row r="76">
          <cell r="W76">
            <v>0</v>
          </cell>
        </row>
        <row r="77">
          <cell r="W77">
            <v>16300</v>
          </cell>
        </row>
        <row r="78">
          <cell r="W78">
            <v>0</v>
          </cell>
        </row>
        <row r="80">
          <cell r="W80">
            <v>1047000</v>
          </cell>
        </row>
        <row r="81">
          <cell r="W81">
            <v>0</v>
          </cell>
        </row>
        <row r="82">
          <cell r="W82">
            <v>0</v>
          </cell>
        </row>
        <row r="84">
          <cell r="W84">
            <v>436989</v>
          </cell>
        </row>
        <row r="85">
          <cell r="W85">
            <v>0</v>
          </cell>
        </row>
        <row r="86">
          <cell r="W86">
            <v>0</v>
          </cell>
        </row>
        <row r="88">
          <cell r="W88">
            <v>318276</v>
          </cell>
        </row>
        <row r="89">
          <cell r="W89">
            <v>42113</v>
          </cell>
        </row>
        <row r="90">
          <cell r="W90">
            <v>26615</v>
          </cell>
        </row>
        <row r="93">
          <cell r="W93">
            <v>-471000</v>
          </cell>
        </row>
        <row r="94">
          <cell r="W94">
            <v>-495000</v>
          </cell>
        </row>
        <row r="98">
          <cell r="W98">
            <v>270000</v>
          </cell>
        </row>
        <row r="99">
          <cell r="W99">
            <v>500</v>
          </cell>
        </row>
        <row r="100">
          <cell r="W100">
            <v>53200</v>
          </cell>
        </row>
        <row r="101">
          <cell r="W101">
            <v>61000</v>
          </cell>
        </row>
        <row r="102">
          <cell r="W102">
            <v>1146210</v>
          </cell>
        </row>
        <row r="103">
          <cell r="W103">
            <v>110000</v>
          </cell>
        </row>
        <row r="104">
          <cell r="W104">
            <v>281829</v>
          </cell>
        </row>
        <row r="105">
          <cell r="W105">
            <v>324693</v>
          </cell>
        </row>
        <row r="106">
          <cell r="W106">
            <v>1800000</v>
          </cell>
        </row>
        <row r="110">
          <cell r="W110">
            <v>55328</v>
          </cell>
        </row>
        <row r="111">
          <cell r="W111">
            <v>126258</v>
          </cell>
        </row>
        <row r="112">
          <cell r="W112">
            <v>90003</v>
          </cell>
        </row>
      </sheetData>
      <sheetData sheetId="6" refreshError="1">
        <row r="10">
          <cell r="W10">
            <v>159794</v>
          </cell>
        </row>
        <row r="11">
          <cell r="W11">
            <v>12680</v>
          </cell>
        </row>
        <row r="12">
          <cell r="W12">
            <v>45090</v>
          </cell>
        </row>
        <row r="13">
          <cell r="W13">
            <v>190225</v>
          </cell>
        </row>
        <row r="14">
          <cell r="W14">
            <v>1570938</v>
          </cell>
        </row>
        <row r="15">
          <cell r="W15">
            <v>207847</v>
          </cell>
        </row>
        <row r="17">
          <cell r="W17">
            <v>342950</v>
          </cell>
        </row>
        <row r="18">
          <cell r="W18">
            <v>2811</v>
          </cell>
        </row>
        <row r="19">
          <cell r="W19">
            <v>89739</v>
          </cell>
        </row>
        <row r="20">
          <cell r="W20">
            <v>0</v>
          </cell>
        </row>
        <row r="21">
          <cell r="W21">
            <v>14875</v>
          </cell>
        </row>
        <row r="22">
          <cell r="W22">
            <v>95147</v>
          </cell>
        </row>
        <row r="24">
          <cell r="W24">
            <v>11624</v>
          </cell>
        </row>
        <row r="25">
          <cell r="W25">
            <v>120732</v>
          </cell>
        </row>
        <row r="26">
          <cell r="W26">
            <v>205073</v>
          </cell>
        </row>
        <row r="27">
          <cell r="W27">
            <v>347086</v>
          </cell>
        </row>
        <row r="28">
          <cell r="W28">
            <v>130831</v>
          </cell>
        </row>
        <row r="29">
          <cell r="W29">
            <v>8048</v>
          </cell>
        </row>
        <row r="30">
          <cell r="W30">
            <v>170527</v>
          </cell>
        </row>
        <row r="31">
          <cell r="W31">
            <v>38653</v>
          </cell>
        </row>
        <row r="32">
          <cell r="W32">
            <v>0</v>
          </cell>
        </row>
        <row r="33">
          <cell r="W33" t="str">
            <v>[7,833]</v>
          </cell>
        </row>
        <row r="34">
          <cell r="W34">
            <v>169001</v>
          </cell>
        </row>
        <row r="35">
          <cell r="W35">
            <v>-110000</v>
          </cell>
        </row>
        <row r="36">
          <cell r="W36">
            <v>2098869</v>
          </cell>
        </row>
        <row r="38">
          <cell r="W38">
            <v>245989</v>
          </cell>
        </row>
        <row r="39">
          <cell r="W39">
            <v>-274000</v>
          </cell>
        </row>
        <row r="40">
          <cell r="W40">
            <v>2198</v>
          </cell>
        </row>
        <row r="42">
          <cell r="W42">
            <v>1291808</v>
          </cell>
        </row>
        <row r="43">
          <cell r="W43">
            <v>26625</v>
          </cell>
        </row>
        <row r="44">
          <cell r="W44">
            <v>14199</v>
          </cell>
        </row>
        <row r="45">
          <cell r="W45">
            <v>20990</v>
          </cell>
        </row>
        <row r="46">
          <cell r="W46">
            <v>601124</v>
          </cell>
        </row>
        <row r="48">
          <cell r="W48">
            <v>8368272</v>
          </cell>
        </row>
        <row r="50">
          <cell r="W50">
            <v>97775</v>
          </cell>
        </row>
        <row r="51">
          <cell r="W51">
            <v>0</v>
          </cell>
        </row>
        <row r="53">
          <cell r="W53">
            <v>2149892</v>
          </cell>
        </row>
        <row r="54">
          <cell r="W54">
            <v>6000</v>
          </cell>
        </row>
        <row r="55">
          <cell r="W55">
            <v>1227232</v>
          </cell>
        </row>
        <row r="57">
          <cell r="W57">
            <v>0</v>
          </cell>
        </row>
        <row r="59">
          <cell r="W59">
            <v>6964884</v>
          </cell>
        </row>
        <row r="60">
          <cell r="W60">
            <v>100239</v>
          </cell>
        </row>
        <row r="61">
          <cell r="W61">
            <v>2700</v>
          </cell>
        </row>
        <row r="62">
          <cell r="W62">
            <v>0</v>
          </cell>
        </row>
        <row r="67">
          <cell r="W67">
            <v>225000</v>
          </cell>
        </row>
        <row r="68">
          <cell r="W68">
            <v>0</v>
          </cell>
        </row>
        <row r="69">
          <cell r="W69">
            <v>0</v>
          </cell>
        </row>
        <row r="71">
          <cell r="W71">
            <v>277306</v>
          </cell>
        </row>
        <row r="72">
          <cell r="W72">
            <v>0</v>
          </cell>
        </row>
        <row r="74">
          <cell r="W74">
            <v>1424500</v>
          </cell>
        </row>
        <row r="75">
          <cell r="W75">
            <v>0</v>
          </cell>
        </row>
        <row r="76">
          <cell r="W76">
            <v>0</v>
          </cell>
        </row>
        <row r="77">
          <cell r="W77">
            <v>16300</v>
          </cell>
        </row>
        <row r="78">
          <cell r="W78">
            <v>-11257</v>
          </cell>
        </row>
        <row r="80">
          <cell r="W80">
            <v>690000</v>
          </cell>
        </row>
        <row r="81">
          <cell r="W81">
            <v>0</v>
          </cell>
        </row>
        <row r="82">
          <cell r="W82">
            <v>0</v>
          </cell>
        </row>
        <row r="84">
          <cell r="W84">
            <v>447000</v>
          </cell>
        </row>
        <row r="85">
          <cell r="W85">
            <v>0</v>
          </cell>
        </row>
        <row r="86">
          <cell r="W86">
            <v>0</v>
          </cell>
        </row>
        <row r="88">
          <cell r="W88">
            <v>227292</v>
          </cell>
        </row>
        <row r="89">
          <cell r="W89">
            <v>42097</v>
          </cell>
        </row>
        <row r="90">
          <cell r="W90">
            <v>25911</v>
          </cell>
        </row>
        <row r="93">
          <cell r="W93">
            <v>-1400000</v>
          </cell>
        </row>
        <row r="95">
          <cell r="W95">
            <v>-500000</v>
          </cell>
        </row>
        <row r="99">
          <cell r="W99">
            <v>270000</v>
          </cell>
        </row>
        <row r="100">
          <cell r="W100">
            <v>500</v>
          </cell>
        </row>
        <row r="101">
          <cell r="W101">
            <v>53200</v>
          </cell>
        </row>
        <row r="102">
          <cell r="W102">
            <v>61000</v>
          </cell>
        </row>
        <row r="103">
          <cell r="W103">
            <v>1079010</v>
          </cell>
        </row>
        <row r="104">
          <cell r="W104">
            <v>110000</v>
          </cell>
        </row>
        <row r="105">
          <cell r="W105">
            <v>274000</v>
          </cell>
        </row>
        <row r="106">
          <cell r="W106">
            <v>296483</v>
          </cell>
        </row>
        <row r="107">
          <cell r="W107">
            <v>900000</v>
          </cell>
        </row>
        <row r="111">
          <cell r="W111">
            <v>60662</v>
          </cell>
        </row>
        <row r="112">
          <cell r="W112">
            <v>126258</v>
          </cell>
        </row>
        <row r="113">
          <cell r="W113">
            <v>96759</v>
          </cell>
        </row>
      </sheetData>
      <sheetData sheetId="7" refreshError="1">
        <row r="10">
          <cell r="W10">
            <v>163572</v>
          </cell>
        </row>
        <row r="11">
          <cell r="W11">
            <v>12680</v>
          </cell>
        </row>
        <row r="12">
          <cell r="W12">
            <v>45090</v>
          </cell>
        </row>
        <row r="13">
          <cell r="W13">
            <v>190225</v>
          </cell>
        </row>
        <row r="14">
          <cell r="W14">
            <v>1605120</v>
          </cell>
        </row>
        <row r="15">
          <cell r="W15">
            <v>207847</v>
          </cell>
        </row>
        <row r="17">
          <cell r="W17">
            <v>342950</v>
          </cell>
        </row>
        <row r="18">
          <cell r="W18">
            <v>2811</v>
          </cell>
        </row>
        <row r="19">
          <cell r="W19">
            <v>89739</v>
          </cell>
        </row>
        <row r="20">
          <cell r="W20">
            <v>0</v>
          </cell>
        </row>
        <row r="21">
          <cell r="W21">
            <v>14875</v>
          </cell>
        </row>
        <row r="22">
          <cell r="W22">
            <v>96384</v>
          </cell>
        </row>
        <row r="24">
          <cell r="W24">
            <v>11624</v>
          </cell>
        </row>
        <row r="25">
          <cell r="W25">
            <v>120732</v>
          </cell>
        </row>
        <row r="26">
          <cell r="W26">
            <v>211921</v>
          </cell>
        </row>
        <row r="27">
          <cell r="W27">
            <v>349602</v>
          </cell>
        </row>
        <row r="28">
          <cell r="W28">
            <v>130871</v>
          </cell>
        </row>
        <row r="29">
          <cell r="W29">
            <v>8048</v>
          </cell>
        </row>
        <row r="30">
          <cell r="W30">
            <v>170527</v>
          </cell>
        </row>
        <row r="31">
          <cell r="W31">
            <v>38653</v>
          </cell>
        </row>
        <row r="32">
          <cell r="W32">
            <v>911</v>
          </cell>
        </row>
        <row r="33">
          <cell r="W33" t="str">
            <v>[7,833]</v>
          </cell>
        </row>
        <row r="34">
          <cell r="W34">
            <v>169001</v>
          </cell>
        </row>
        <row r="35">
          <cell r="W35">
            <v>-110000</v>
          </cell>
        </row>
        <row r="36">
          <cell r="W36">
            <v>2098869</v>
          </cell>
        </row>
        <row r="38">
          <cell r="W38">
            <v>245989</v>
          </cell>
        </row>
        <row r="39">
          <cell r="W39">
            <v>-274000</v>
          </cell>
        </row>
        <row r="40">
          <cell r="W40">
            <v>2264</v>
          </cell>
        </row>
        <row r="42">
          <cell r="W42">
            <v>1301778</v>
          </cell>
        </row>
        <row r="43">
          <cell r="W43">
            <v>26625</v>
          </cell>
        </row>
        <row r="44">
          <cell r="W44">
            <v>14199</v>
          </cell>
        </row>
        <row r="45">
          <cell r="W45">
            <v>20990</v>
          </cell>
        </row>
        <row r="46">
          <cell r="W46">
            <v>601382</v>
          </cell>
        </row>
        <row r="48">
          <cell r="W48">
            <v>8416437</v>
          </cell>
        </row>
        <row r="50">
          <cell r="W50">
            <v>97775</v>
          </cell>
        </row>
        <row r="51">
          <cell r="W51">
            <v>0</v>
          </cell>
        </row>
        <row r="53">
          <cell r="W53">
            <v>2184470</v>
          </cell>
        </row>
        <row r="54">
          <cell r="W54">
            <v>6000</v>
          </cell>
        </row>
        <row r="55">
          <cell r="W55">
            <v>1258909</v>
          </cell>
        </row>
        <row r="57">
          <cell r="W57">
            <v>0</v>
          </cell>
        </row>
        <row r="59">
          <cell r="W59">
            <v>7128068</v>
          </cell>
        </row>
        <row r="60">
          <cell r="W60">
            <v>397215</v>
          </cell>
        </row>
        <row r="61">
          <cell r="W61">
            <v>2700</v>
          </cell>
        </row>
        <row r="62">
          <cell r="W62">
            <v>0</v>
          </cell>
        </row>
        <row r="67">
          <cell r="W67">
            <v>231300</v>
          </cell>
        </row>
        <row r="68">
          <cell r="W68">
            <v>0</v>
          </cell>
        </row>
        <row r="69">
          <cell r="W69">
            <v>0</v>
          </cell>
        </row>
        <row r="71">
          <cell r="W71">
            <v>282306</v>
          </cell>
        </row>
        <row r="72">
          <cell r="W72">
            <v>0</v>
          </cell>
        </row>
        <row r="74">
          <cell r="W74">
            <v>1429000</v>
          </cell>
        </row>
        <row r="75">
          <cell r="W75">
            <v>0</v>
          </cell>
        </row>
        <row r="76">
          <cell r="W76">
            <v>0</v>
          </cell>
        </row>
        <row r="77">
          <cell r="W77">
            <v>16300</v>
          </cell>
        </row>
        <row r="78">
          <cell r="W78">
            <v>-11257</v>
          </cell>
        </row>
        <row r="80">
          <cell r="W80">
            <v>1047000</v>
          </cell>
        </row>
        <row r="81">
          <cell r="W81">
            <v>0</v>
          </cell>
        </row>
        <row r="82">
          <cell r="W82">
            <v>0</v>
          </cell>
        </row>
        <row r="84">
          <cell r="W84">
            <v>447000</v>
          </cell>
        </row>
        <row r="85">
          <cell r="W85">
            <v>0</v>
          </cell>
        </row>
        <row r="86">
          <cell r="W86">
            <v>0</v>
          </cell>
        </row>
        <row r="88">
          <cell r="W88">
            <v>227292</v>
          </cell>
        </row>
        <row r="89">
          <cell r="W89">
            <v>42097</v>
          </cell>
        </row>
        <row r="90">
          <cell r="W90">
            <v>25911</v>
          </cell>
        </row>
        <row r="93">
          <cell r="W93">
            <v>-1400000</v>
          </cell>
        </row>
        <row r="95">
          <cell r="W95">
            <v>-500000</v>
          </cell>
        </row>
        <row r="99">
          <cell r="W99">
            <v>270000</v>
          </cell>
        </row>
        <row r="100">
          <cell r="W100">
            <v>500</v>
          </cell>
        </row>
        <row r="101">
          <cell r="W101">
            <v>53200</v>
          </cell>
        </row>
        <row r="102">
          <cell r="W102">
            <v>61000</v>
          </cell>
        </row>
        <row r="103">
          <cell r="W103">
            <v>1079010</v>
          </cell>
        </row>
        <row r="104">
          <cell r="W104">
            <v>110000</v>
          </cell>
        </row>
        <row r="105">
          <cell r="W105">
            <v>274000</v>
          </cell>
        </row>
        <row r="106">
          <cell r="W106">
            <v>296483</v>
          </cell>
        </row>
        <row r="107">
          <cell r="W107">
            <v>900000</v>
          </cell>
        </row>
        <row r="111">
          <cell r="W111">
            <v>60662</v>
          </cell>
        </row>
        <row r="112">
          <cell r="W112">
            <v>126258</v>
          </cell>
        </row>
        <row r="113">
          <cell r="W113">
            <v>96759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D60093"/>
  </sheetPr>
  <dimension ref="A1:X488"/>
  <sheetViews>
    <sheetView view="pageBreakPreview" zoomScale="80" zoomScaleNormal="100" zoomScaleSheetLayoutView="80" workbookViewId="0">
      <pane xSplit="4" ySplit="8" topLeftCell="E61" activePane="bottomRight" state="frozen"/>
      <selection activeCell="I5" sqref="I5:W6"/>
      <selection pane="topRight" activeCell="I5" sqref="I5:W6"/>
      <selection pane="bottomLeft" activeCell="I5" sqref="I5:W6"/>
      <selection pane="bottomRight" activeCell="I5" sqref="I5:W6"/>
    </sheetView>
  </sheetViews>
  <sheetFormatPr defaultRowHeight="15"/>
  <cols>
    <col min="1" max="1" width="14.140625" style="44" bestFit="1" customWidth="1"/>
    <col min="2" max="2" width="9.140625" style="44"/>
    <col min="3" max="3" width="12.5703125" style="44" customWidth="1"/>
    <col min="4" max="4" width="37" style="44" customWidth="1"/>
    <col min="5" max="5" width="12.140625" style="1" customWidth="1"/>
    <col min="6" max="6" width="12" style="1" customWidth="1"/>
    <col min="7" max="7" width="20.5703125" style="1" customWidth="1"/>
    <col min="8" max="8" width="17.7109375" style="1" customWidth="1"/>
    <col min="9" max="9" width="11.85546875" style="1" customWidth="1"/>
    <col min="10" max="10" width="13.42578125" style="1" customWidth="1"/>
    <col min="11" max="11" width="22.85546875" style="1" customWidth="1"/>
    <col min="12" max="12" width="15.28515625" style="1" customWidth="1"/>
    <col min="13" max="13" width="15" style="1" customWidth="1"/>
    <col min="14" max="14" width="23.85546875" style="1" customWidth="1"/>
    <col min="15" max="15" width="11.5703125" style="1" customWidth="1"/>
    <col min="16" max="16" width="12.140625" style="1" customWidth="1"/>
    <col min="17" max="17" width="19.28515625" style="1" customWidth="1"/>
    <col min="18" max="18" width="10.7109375" style="1" customWidth="1"/>
    <col min="19" max="19" width="9.5703125" style="1" customWidth="1"/>
    <col min="20" max="20" width="16" style="1" customWidth="1"/>
    <col min="21" max="21" width="12.85546875" style="1" customWidth="1"/>
    <col min="22" max="22" width="12.42578125" style="1" customWidth="1"/>
    <col min="23" max="23" width="19" style="1" customWidth="1"/>
    <col min="24" max="24" width="17" style="1" customWidth="1"/>
    <col min="25" max="16384" width="9.140625" style="1"/>
  </cols>
  <sheetData>
    <row r="1" spans="1:24" ht="15.75">
      <c r="A1" s="247" t="s">
        <v>0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</row>
    <row r="2" spans="1:24" ht="15.75">
      <c r="A2" s="247" t="s">
        <v>287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</row>
    <row r="3" spans="1:24" ht="15.75">
      <c r="A3" s="247" t="s">
        <v>105</v>
      </c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</row>
    <row r="4" spans="1:24" ht="16.5" thickBot="1">
      <c r="A4" s="4"/>
      <c r="B4" s="5"/>
      <c r="C4" s="6"/>
      <c r="D4" s="2"/>
      <c r="M4" s="3"/>
      <c r="V4" s="7"/>
    </row>
    <row r="5" spans="1:24" ht="16.5" customHeight="1" thickTop="1">
      <c r="A5" s="8"/>
      <c r="B5" s="9"/>
      <c r="C5" s="10"/>
      <c r="D5" s="54"/>
      <c r="E5" s="265" t="s">
        <v>289</v>
      </c>
      <c r="F5" s="266"/>
      <c r="G5" s="267"/>
      <c r="H5" s="240" t="s">
        <v>203</v>
      </c>
      <c r="I5" s="271" t="s">
        <v>288</v>
      </c>
      <c r="J5" s="272"/>
      <c r="K5" s="272"/>
      <c r="L5" s="272"/>
      <c r="M5" s="272"/>
      <c r="N5" s="272"/>
      <c r="O5" s="272"/>
      <c r="P5" s="272"/>
      <c r="Q5" s="272"/>
      <c r="R5" s="272"/>
      <c r="S5" s="272"/>
      <c r="T5" s="272"/>
      <c r="U5" s="272"/>
      <c r="V5" s="272"/>
      <c r="W5" s="273"/>
    </row>
    <row r="6" spans="1:24" ht="16.5" customHeight="1">
      <c r="A6" s="11"/>
      <c r="B6" s="1"/>
      <c r="C6" s="3"/>
      <c r="D6" s="55"/>
      <c r="E6" s="268"/>
      <c r="F6" s="269"/>
      <c r="G6" s="270"/>
      <c r="H6" s="241"/>
      <c r="I6" s="274"/>
      <c r="J6" s="275"/>
      <c r="K6" s="275"/>
      <c r="L6" s="275"/>
      <c r="M6" s="275"/>
      <c r="N6" s="275"/>
      <c r="O6" s="275"/>
      <c r="P6" s="275"/>
      <c r="Q6" s="275"/>
      <c r="R6" s="275"/>
      <c r="S6" s="275"/>
      <c r="T6" s="275"/>
      <c r="U6" s="275"/>
      <c r="V6" s="275"/>
      <c r="W6" s="276"/>
    </row>
    <row r="7" spans="1:24" ht="33.75" customHeight="1">
      <c r="A7" s="12"/>
      <c r="B7" s="1"/>
      <c r="C7" s="3"/>
      <c r="D7" s="55"/>
      <c r="E7" s="257"/>
      <c r="F7" s="258"/>
      <c r="G7" s="259"/>
      <c r="H7" s="242"/>
      <c r="I7" s="260" t="s">
        <v>2</v>
      </c>
      <c r="J7" s="261"/>
      <c r="K7" s="262"/>
      <c r="L7" s="260" t="s">
        <v>3</v>
      </c>
      <c r="M7" s="261"/>
      <c r="N7" s="262"/>
      <c r="O7" s="243" t="s">
        <v>4</v>
      </c>
      <c r="P7" s="263"/>
      <c r="Q7" s="264"/>
      <c r="R7" s="243" t="s">
        <v>5</v>
      </c>
      <c r="S7" s="244"/>
      <c r="T7" s="245"/>
      <c r="U7" s="246" t="s">
        <v>6</v>
      </c>
      <c r="V7" s="244"/>
      <c r="W7" s="245"/>
    </row>
    <row r="8" spans="1:24" ht="15.75">
      <c r="A8" s="65" t="s">
        <v>7</v>
      </c>
      <c r="B8" s="62"/>
      <c r="C8" s="62"/>
      <c r="D8" s="64"/>
      <c r="E8" s="13" t="s">
        <v>8</v>
      </c>
      <c r="F8" s="13" t="s">
        <v>9</v>
      </c>
      <c r="G8" s="13" t="s">
        <v>10</v>
      </c>
      <c r="H8" s="13" t="s">
        <v>1</v>
      </c>
      <c r="I8" s="13" t="s">
        <v>8</v>
      </c>
      <c r="J8" s="13" t="s">
        <v>9</v>
      </c>
      <c r="K8" s="13" t="s">
        <v>10</v>
      </c>
      <c r="L8" s="13" t="s">
        <v>8</v>
      </c>
      <c r="M8" s="13" t="s">
        <v>9</v>
      </c>
      <c r="N8" s="13" t="s">
        <v>10</v>
      </c>
      <c r="O8" s="13" t="s">
        <v>8</v>
      </c>
      <c r="P8" s="13" t="s">
        <v>9</v>
      </c>
      <c r="Q8" s="68" t="s">
        <v>10</v>
      </c>
      <c r="R8" s="13" t="s">
        <v>8</v>
      </c>
      <c r="S8" s="13" t="s">
        <v>9</v>
      </c>
      <c r="T8" s="68" t="s">
        <v>10</v>
      </c>
      <c r="U8" s="68" t="s">
        <v>8</v>
      </c>
      <c r="V8" s="68" t="s">
        <v>9</v>
      </c>
      <c r="W8" s="68" t="s">
        <v>10</v>
      </c>
    </row>
    <row r="9" spans="1:24" s="163" customFormat="1">
      <c r="A9" s="162" t="s">
        <v>11</v>
      </c>
      <c r="D9" s="167"/>
      <c r="E9" s="63">
        <v>561</v>
      </c>
      <c r="F9" s="63">
        <v>651</v>
      </c>
      <c r="G9" s="63">
        <v>118488</v>
      </c>
      <c r="H9" s="63">
        <v>4641</v>
      </c>
      <c r="I9" s="63">
        <f>62+2+6-3</f>
        <v>67</v>
      </c>
      <c r="J9" s="63">
        <f>67-61+9</f>
        <v>15</v>
      </c>
      <c r="K9" s="63">
        <f>13512+16+127</f>
        <v>13655</v>
      </c>
      <c r="L9" s="24">
        <f>SUM(E9,I9)</f>
        <v>628</v>
      </c>
      <c r="M9" s="24">
        <f>SUM(F9,J9)</f>
        <v>666</v>
      </c>
      <c r="N9" s="63">
        <f>SUM(G9,K9,H9)</f>
        <v>136784</v>
      </c>
      <c r="O9" s="226">
        <v>8</v>
      </c>
      <c r="P9" s="226">
        <v>5</v>
      </c>
      <c r="Q9" s="226">
        <f>848+50000+4000</f>
        <v>54848</v>
      </c>
      <c r="R9" s="226">
        <v>-14</v>
      </c>
      <c r="S9" s="226">
        <v>-14</v>
      </c>
      <c r="T9" s="226">
        <f>-7808+5430</f>
        <v>-2378</v>
      </c>
      <c r="U9" s="63">
        <f>SUM(R9,O9,L9)</f>
        <v>622</v>
      </c>
      <c r="V9" s="63">
        <f>SUM(S9,P9,M9)</f>
        <v>657</v>
      </c>
      <c r="W9" s="63">
        <f>SUM(T9,Q9,N9)</f>
        <v>189254</v>
      </c>
      <c r="X9" s="3"/>
    </row>
    <row r="10" spans="1:24">
      <c r="A10" s="30" t="s">
        <v>97</v>
      </c>
      <c r="B10" s="1"/>
      <c r="C10" s="1"/>
      <c r="D10" s="52"/>
      <c r="E10" s="71">
        <v>239</v>
      </c>
      <c r="F10" s="71">
        <v>239</v>
      </c>
      <c r="G10" s="72">
        <v>44023</v>
      </c>
      <c r="H10" s="71">
        <v>448</v>
      </c>
      <c r="I10" s="71">
        <f>-17-239+35</f>
        <v>-221</v>
      </c>
      <c r="J10" s="71">
        <f>-17+35-239</f>
        <v>-221</v>
      </c>
      <c r="K10" s="72">
        <v>-36798</v>
      </c>
      <c r="L10" s="24">
        <f t="shared" ref="L10:M15" si="0">SUM(E10,I10)</f>
        <v>18</v>
      </c>
      <c r="M10" s="24">
        <f t="shared" si="0"/>
        <v>18</v>
      </c>
      <c r="N10" s="63">
        <f t="shared" ref="N10:N15" si="1">SUM(G10,K10,H10)</f>
        <v>7673</v>
      </c>
      <c r="O10" s="226">
        <v>0</v>
      </c>
      <c r="P10" s="226">
        <v>0</v>
      </c>
      <c r="Q10" s="226">
        <v>0</v>
      </c>
      <c r="R10" s="226">
        <v>-18</v>
      </c>
      <c r="S10" s="226">
        <v>-18</v>
      </c>
      <c r="T10" s="226">
        <v>-7673</v>
      </c>
      <c r="U10" s="63">
        <f t="shared" ref="U10:W15" si="2">SUM(R10,O10,L10)</f>
        <v>0</v>
      </c>
      <c r="V10" s="63">
        <f t="shared" si="2"/>
        <v>0</v>
      </c>
      <c r="W10" s="63">
        <f t="shared" si="2"/>
        <v>0</v>
      </c>
      <c r="X10" s="3"/>
    </row>
    <row r="11" spans="1:24">
      <c r="A11" s="12" t="s">
        <v>12</v>
      </c>
      <c r="B11" s="1"/>
      <c r="C11" s="1"/>
      <c r="D11" s="52"/>
      <c r="E11" s="71">
        <v>72</v>
      </c>
      <c r="F11" s="63">
        <v>72</v>
      </c>
      <c r="G11" s="63">
        <v>88285</v>
      </c>
      <c r="H11" s="71">
        <v>5457</v>
      </c>
      <c r="I11" s="71">
        <v>0</v>
      </c>
      <c r="J11" s="63">
        <v>0</v>
      </c>
      <c r="K11" s="63">
        <v>15572</v>
      </c>
      <c r="L11" s="24">
        <f t="shared" si="0"/>
        <v>72</v>
      </c>
      <c r="M11" s="24">
        <f t="shared" si="0"/>
        <v>72</v>
      </c>
      <c r="N11" s="63">
        <f t="shared" si="1"/>
        <v>109314</v>
      </c>
      <c r="O11" s="226">
        <v>0</v>
      </c>
      <c r="P11" s="226">
        <v>0</v>
      </c>
      <c r="Q11" s="226">
        <f>20000-10000</f>
        <v>10000</v>
      </c>
      <c r="R11" s="226">
        <v>0</v>
      </c>
      <c r="S11" s="226">
        <f>-9+9</f>
        <v>0</v>
      </c>
      <c r="T11" s="226">
        <f>-6242+786</f>
        <v>-5456</v>
      </c>
      <c r="U11" s="63">
        <f t="shared" si="2"/>
        <v>72</v>
      </c>
      <c r="V11" s="63">
        <f t="shared" si="2"/>
        <v>72</v>
      </c>
      <c r="W11" s="63">
        <f t="shared" si="2"/>
        <v>113858</v>
      </c>
      <c r="X11" s="3"/>
    </row>
    <row r="12" spans="1:24">
      <c r="A12" s="151" t="s">
        <v>13</v>
      </c>
      <c r="B12" s="188"/>
      <c r="C12" s="188"/>
      <c r="D12" s="189"/>
      <c r="E12" s="190">
        <f>+E13+E14</f>
        <v>29</v>
      </c>
      <c r="F12" s="191">
        <f t="shared" ref="F12:W12" si="3">+F13+F14</f>
        <v>28</v>
      </c>
      <c r="G12" s="191">
        <f t="shared" si="3"/>
        <v>1533863</v>
      </c>
      <c r="H12" s="190">
        <f t="shared" si="3"/>
        <v>0</v>
      </c>
      <c r="I12" s="190">
        <f t="shared" si="3"/>
        <v>0</v>
      </c>
      <c r="J12" s="191">
        <f t="shared" si="3"/>
        <v>1</v>
      </c>
      <c r="K12" s="191">
        <f t="shared" si="3"/>
        <v>7764</v>
      </c>
      <c r="L12" s="192">
        <f t="shared" si="3"/>
        <v>29</v>
      </c>
      <c r="M12" s="192">
        <f t="shared" si="3"/>
        <v>29</v>
      </c>
      <c r="N12" s="191">
        <f t="shared" si="3"/>
        <v>1541627</v>
      </c>
      <c r="O12" s="191">
        <f t="shared" si="3"/>
        <v>0</v>
      </c>
      <c r="P12" s="191">
        <f t="shared" si="3"/>
        <v>0</v>
      </c>
      <c r="Q12" s="191">
        <f t="shared" si="3"/>
        <v>53840</v>
      </c>
      <c r="R12" s="191">
        <f t="shared" si="3"/>
        <v>0</v>
      </c>
      <c r="S12" s="191">
        <f>+S13+S14</f>
        <v>0</v>
      </c>
      <c r="T12" s="191">
        <f t="shared" si="3"/>
        <v>-9</v>
      </c>
      <c r="U12" s="191">
        <f t="shared" si="3"/>
        <v>29</v>
      </c>
      <c r="V12" s="191">
        <f t="shared" si="3"/>
        <v>29</v>
      </c>
      <c r="W12" s="191">
        <f t="shared" si="3"/>
        <v>1595458</v>
      </c>
      <c r="X12" s="3"/>
    </row>
    <row r="13" spans="1:24" s="163" customFormat="1" ht="16.5" customHeight="1">
      <c r="A13" s="193" t="s">
        <v>244</v>
      </c>
      <c r="B13" s="194"/>
      <c r="C13" s="194"/>
      <c r="D13" s="195"/>
      <c r="E13" s="24">
        <v>29</v>
      </c>
      <c r="F13" s="24">
        <v>28</v>
      </c>
      <c r="G13" s="24">
        <v>1533863</v>
      </c>
      <c r="H13" s="63">
        <v>0</v>
      </c>
      <c r="I13" s="63">
        <v>0</v>
      </c>
      <c r="J13" s="63">
        <v>1</v>
      </c>
      <c r="K13" s="63">
        <v>7764</v>
      </c>
      <c r="L13" s="24">
        <f t="shared" ref="L13:M14" si="4">SUM(E13,I13)</f>
        <v>29</v>
      </c>
      <c r="M13" s="24">
        <f t="shared" si="4"/>
        <v>29</v>
      </c>
      <c r="N13" s="63">
        <f t="shared" ref="N13:N14" si="5">SUM(G13,K13,H13)</f>
        <v>1541627</v>
      </c>
      <c r="O13" s="226">
        <v>0</v>
      </c>
      <c r="P13" s="226">
        <v>0</v>
      </c>
      <c r="Q13" s="226">
        <v>53840</v>
      </c>
      <c r="R13" s="226">
        <v>0</v>
      </c>
      <c r="S13" s="226">
        <v>0</v>
      </c>
      <c r="T13" s="226">
        <v>-9</v>
      </c>
      <c r="U13" s="63">
        <f t="shared" si="2"/>
        <v>29</v>
      </c>
      <c r="V13" s="63">
        <f t="shared" si="2"/>
        <v>29</v>
      </c>
      <c r="W13" s="63">
        <f t="shared" si="2"/>
        <v>1595458</v>
      </c>
      <c r="X13" s="168" t="s">
        <v>280</v>
      </c>
    </row>
    <row r="14" spans="1:24" s="163" customFormat="1" ht="16.5" customHeight="1">
      <c r="A14" s="16" t="s">
        <v>265</v>
      </c>
      <c r="B14" s="18"/>
      <c r="C14" s="18"/>
      <c r="D14" s="196"/>
      <c r="E14" s="63">
        <v>0</v>
      </c>
      <c r="F14" s="63">
        <v>0</v>
      </c>
      <c r="G14" s="63">
        <v>0</v>
      </c>
      <c r="H14" s="24">
        <v>0</v>
      </c>
      <c r="I14" s="63">
        <v>0</v>
      </c>
      <c r="J14" s="63">
        <v>0</v>
      </c>
      <c r="K14" s="63">
        <v>0</v>
      </c>
      <c r="L14" s="24">
        <f t="shared" si="4"/>
        <v>0</v>
      </c>
      <c r="M14" s="24">
        <f t="shared" si="4"/>
        <v>0</v>
      </c>
      <c r="N14" s="63">
        <f t="shared" si="5"/>
        <v>0</v>
      </c>
      <c r="O14" s="226">
        <v>0</v>
      </c>
      <c r="P14" s="226">
        <v>0</v>
      </c>
      <c r="Q14" s="226">
        <v>0</v>
      </c>
      <c r="R14" s="226">
        <v>0</v>
      </c>
      <c r="S14" s="226">
        <v>0</v>
      </c>
      <c r="T14" s="226">
        <v>0</v>
      </c>
      <c r="U14" s="63">
        <f t="shared" si="2"/>
        <v>0</v>
      </c>
      <c r="V14" s="63">
        <f t="shared" si="2"/>
        <v>0</v>
      </c>
      <c r="W14" s="63">
        <f t="shared" si="2"/>
        <v>0</v>
      </c>
      <c r="X14" s="168"/>
    </row>
    <row r="15" spans="1:24">
      <c r="A15" s="12" t="s">
        <v>109</v>
      </c>
      <c r="B15" s="1"/>
      <c r="C15" s="1"/>
      <c r="D15" s="52"/>
      <c r="E15" s="71">
        <v>35</v>
      </c>
      <c r="F15" s="71">
        <v>35</v>
      </c>
      <c r="G15" s="72">
        <v>206143</v>
      </c>
      <c r="H15" s="71">
        <v>3301</v>
      </c>
      <c r="I15" s="71">
        <v>0</v>
      </c>
      <c r="J15" s="71">
        <v>0</v>
      </c>
      <c r="K15" s="72">
        <v>21</v>
      </c>
      <c r="L15" s="24">
        <f t="shared" si="0"/>
        <v>35</v>
      </c>
      <c r="M15" s="24">
        <f t="shared" si="0"/>
        <v>35</v>
      </c>
      <c r="N15" s="63">
        <f t="shared" si="1"/>
        <v>209465</v>
      </c>
      <c r="O15" s="226">
        <v>0</v>
      </c>
      <c r="P15" s="226">
        <v>0</v>
      </c>
      <c r="Q15" s="226">
        <v>0</v>
      </c>
      <c r="R15" s="226">
        <v>0</v>
      </c>
      <c r="S15" s="226">
        <v>0</v>
      </c>
      <c r="T15" s="226">
        <v>-17</v>
      </c>
      <c r="U15" s="63">
        <f t="shared" si="2"/>
        <v>35</v>
      </c>
      <c r="V15" s="63">
        <f t="shared" si="2"/>
        <v>35</v>
      </c>
      <c r="W15" s="63">
        <f t="shared" si="2"/>
        <v>209448</v>
      </c>
      <c r="X15" s="3"/>
    </row>
    <row r="16" spans="1:24" ht="16.5" customHeight="1">
      <c r="A16" s="14" t="s">
        <v>14</v>
      </c>
      <c r="B16" s="15"/>
      <c r="C16" s="15"/>
      <c r="D16" s="51"/>
      <c r="E16" s="23">
        <f>SUM(E17,E18)</f>
        <v>1573</v>
      </c>
      <c r="F16" s="23">
        <f t="shared" ref="F16:W16" si="6">SUM(F17,F18)</f>
        <v>1525</v>
      </c>
      <c r="G16" s="23">
        <f t="shared" si="6"/>
        <v>300685</v>
      </c>
      <c r="H16" s="17">
        <f t="shared" si="6"/>
        <v>6917</v>
      </c>
      <c r="I16" s="17">
        <f t="shared" si="6"/>
        <v>24</v>
      </c>
      <c r="J16" s="17">
        <f t="shared" si="6"/>
        <v>86</v>
      </c>
      <c r="K16" s="17">
        <f t="shared" si="6"/>
        <v>27334</v>
      </c>
      <c r="L16" s="17">
        <f t="shared" si="6"/>
        <v>1597</v>
      </c>
      <c r="M16" s="17">
        <f t="shared" si="6"/>
        <v>1611</v>
      </c>
      <c r="N16" s="17">
        <f t="shared" si="6"/>
        <v>334936</v>
      </c>
      <c r="O16" s="17">
        <f t="shared" si="6"/>
        <v>0</v>
      </c>
      <c r="P16" s="17">
        <f t="shared" si="6"/>
        <v>0</v>
      </c>
      <c r="Q16" s="17">
        <f t="shared" si="6"/>
        <v>4000</v>
      </c>
      <c r="R16" s="17">
        <f t="shared" si="6"/>
        <v>0</v>
      </c>
      <c r="S16" s="17">
        <f t="shared" si="6"/>
        <v>0</v>
      </c>
      <c r="T16" s="17">
        <f t="shared" si="6"/>
        <v>-407</v>
      </c>
      <c r="U16" s="17">
        <f t="shared" si="6"/>
        <v>1597</v>
      </c>
      <c r="V16" s="17">
        <f t="shared" si="6"/>
        <v>1611</v>
      </c>
      <c r="W16" s="17">
        <f t="shared" si="6"/>
        <v>338529</v>
      </c>
      <c r="X16" s="3"/>
    </row>
    <row r="17" spans="1:24">
      <c r="A17" s="16" t="s">
        <v>15</v>
      </c>
      <c r="B17" s="1"/>
      <c r="C17" s="1"/>
      <c r="D17" s="52"/>
      <c r="E17" s="63">
        <v>1558</v>
      </c>
      <c r="F17" s="63">
        <v>1510</v>
      </c>
      <c r="G17" s="63">
        <v>297955</v>
      </c>
      <c r="H17" s="24">
        <f>6888</f>
        <v>6888</v>
      </c>
      <c r="I17" s="63">
        <v>24</v>
      </c>
      <c r="J17" s="63">
        <v>86</v>
      </c>
      <c r="K17" s="63">
        <f>27336+6</f>
        <v>27342</v>
      </c>
      <c r="L17" s="24">
        <f t="shared" ref="L17:M19" si="7">+E17+I17</f>
        <v>1582</v>
      </c>
      <c r="M17" s="24">
        <f t="shared" si="7"/>
        <v>1596</v>
      </c>
      <c r="N17" s="63">
        <f t="shared" ref="N17:N22" si="8">+G17+K17+H17</f>
        <v>332185</v>
      </c>
      <c r="O17" s="226">
        <v>0</v>
      </c>
      <c r="P17" s="226">
        <v>0</v>
      </c>
      <c r="Q17" s="226">
        <v>4000</v>
      </c>
      <c r="R17" s="226">
        <v>0</v>
      </c>
      <c r="S17" s="226">
        <v>0</v>
      </c>
      <c r="T17" s="226">
        <v>-405</v>
      </c>
      <c r="U17" s="63">
        <f t="shared" ref="U17:W19" si="9">SUM(R17,O17,L17)</f>
        <v>1582</v>
      </c>
      <c r="V17" s="63">
        <f t="shared" si="9"/>
        <v>1596</v>
      </c>
      <c r="W17" s="63">
        <f t="shared" si="9"/>
        <v>335780</v>
      </c>
      <c r="X17" s="3"/>
    </row>
    <row r="18" spans="1:24" s="228" customFormat="1">
      <c r="A18" s="193" t="s">
        <v>16</v>
      </c>
      <c r="B18" s="163"/>
      <c r="C18" s="163"/>
      <c r="D18" s="167"/>
      <c r="E18" s="123">
        <v>15</v>
      </c>
      <c r="F18" s="123">
        <v>15</v>
      </c>
      <c r="G18" s="123">
        <v>2730</v>
      </c>
      <c r="H18" s="164">
        <v>29</v>
      </c>
      <c r="I18" s="230">
        <v>0</v>
      </c>
      <c r="J18" s="123">
        <v>0</v>
      </c>
      <c r="K18" s="123">
        <v>-8</v>
      </c>
      <c r="L18" s="164">
        <f t="shared" si="7"/>
        <v>15</v>
      </c>
      <c r="M18" s="164">
        <f t="shared" si="7"/>
        <v>15</v>
      </c>
      <c r="N18" s="123">
        <f t="shared" si="8"/>
        <v>2751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-2</v>
      </c>
      <c r="U18" s="123">
        <f t="shared" si="9"/>
        <v>15</v>
      </c>
      <c r="V18" s="123">
        <f t="shared" si="9"/>
        <v>15</v>
      </c>
      <c r="W18" s="123">
        <f t="shared" si="9"/>
        <v>2749</v>
      </c>
      <c r="X18" s="229"/>
    </row>
    <row r="19" spans="1:24">
      <c r="A19" s="12" t="s">
        <v>17</v>
      </c>
      <c r="B19" s="1"/>
      <c r="C19" s="1"/>
      <c r="D19" s="52"/>
      <c r="E19" s="63">
        <v>495</v>
      </c>
      <c r="F19" s="63">
        <v>497</v>
      </c>
      <c r="G19" s="63">
        <v>84368</v>
      </c>
      <c r="H19" s="24">
        <v>2224</v>
      </c>
      <c r="I19" s="63">
        <v>0</v>
      </c>
      <c r="J19" s="63">
        <v>9</v>
      </c>
      <c r="K19" s="63">
        <f>103</f>
        <v>103</v>
      </c>
      <c r="L19" s="24">
        <f t="shared" si="7"/>
        <v>495</v>
      </c>
      <c r="M19" s="24">
        <f t="shared" si="7"/>
        <v>506</v>
      </c>
      <c r="N19" s="63">
        <f t="shared" si="8"/>
        <v>86695</v>
      </c>
      <c r="O19" s="226">
        <v>0</v>
      </c>
      <c r="P19" s="226">
        <v>0</v>
      </c>
      <c r="Q19" s="226">
        <v>0</v>
      </c>
      <c r="R19" s="226">
        <v>0</v>
      </c>
      <c r="S19" s="226">
        <v>-53</v>
      </c>
      <c r="T19" s="226">
        <v>-3347</v>
      </c>
      <c r="U19" s="63">
        <f t="shared" si="9"/>
        <v>495</v>
      </c>
      <c r="V19" s="63">
        <f t="shared" si="9"/>
        <v>453</v>
      </c>
      <c r="W19" s="63">
        <f t="shared" si="9"/>
        <v>83348</v>
      </c>
      <c r="X19" s="3"/>
    </row>
    <row r="20" spans="1:24">
      <c r="A20" s="12" t="s">
        <v>18</v>
      </c>
      <c r="B20" s="1"/>
      <c r="C20" s="1"/>
      <c r="D20" s="52"/>
      <c r="E20" s="24" t="s">
        <v>19</v>
      </c>
      <c r="F20" s="63">
        <v>723</v>
      </c>
      <c r="G20" s="63">
        <v>0</v>
      </c>
      <c r="H20" s="24">
        <v>0</v>
      </c>
      <c r="I20" s="72">
        <v>0</v>
      </c>
      <c r="J20" s="72">
        <v>0</v>
      </c>
      <c r="K20" s="72">
        <v>0</v>
      </c>
      <c r="L20" s="24" t="s">
        <v>19</v>
      </c>
      <c r="M20" s="24">
        <f>+F20+J20</f>
        <v>723</v>
      </c>
      <c r="N20" s="63">
        <f t="shared" si="8"/>
        <v>0</v>
      </c>
      <c r="O20" s="226">
        <v>0</v>
      </c>
      <c r="P20" s="226">
        <v>0</v>
      </c>
      <c r="Q20" s="226">
        <v>0</v>
      </c>
      <c r="R20" s="226">
        <v>0</v>
      </c>
      <c r="S20" s="226">
        <v>0</v>
      </c>
      <c r="T20" s="226">
        <v>0</v>
      </c>
      <c r="U20" s="24" t="s">
        <v>19</v>
      </c>
      <c r="V20" s="63">
        <f t="shared" ref="V20:W20" si="10">+S20+P20+M20</f>
        <v>723</v>
      </c>
      <c r="W20" s="63">
        <f t="shared" si="10"/>
        <v>0</v>
      </c>
      <c r="X20" s="3"/>
    </row>
    <row r="21" spans="1:24">
      <c r="A21" s="12" t="s">
        <v>20</v>
      </c>
      <c r="B21" s="1"/>
      <c r="C21" s="1"/>
      <c r="D21" s="52"/>
      <c r="E21" s="63">
        <v>85</v>
      </c>
      <c r="F21" s="63">
        <v>87</v>
      </c>
      <c r="G21" s="63">
        <v>12859</v>
      </c>
      <c r="H21" s="24">
        <v>102</v>
      </c>
      <c r="I21" s="63">
        <v>0</v>
      </c>
      <c r="J21" s="63">
        <v>0</v>
      </c>
      <c r="K21" s="63">
        <v>325</v>
      </c>
      <c r="L21" s="24">
        <f>+E21+I21</f>
        <v>85</v>
      </c>
      <c r="M21" s="24">
        <f>+F21+J21</f>
        <v>87</v>
      </c>
      <c r="N21" s="63">
        <f t="shared" si="8"/>
        <v>13286</v>
      </c>
      <c r="O21" s="226">
        <v>0</v>
      </c>
      <c r="P21" s="226">
        <v>0</v>
      </c>
      <c r="Q21" s="226">
        <v>0</v>
      </c>
      <c r="R21" s="226">
        <v>0</v>
      </c>
      <c r="S21" s="226">
        <v>-9</v>
      </c>
      <c r="T21" s="226">
        <v>-482</v>
      </c>
      <c r="U21" s="63">
        <f t="shared" ref="U21:W22" si="11">SUM(R21,O21,L21)</f>
        <v>85</v>
      </c>
      <c r="V21" s="63">
        <f t="shared" si="11"/>
        <v>78</v>
      </c>
      <c r="W21" s="63">
        <f t="shared" si="11"/>
        <v>12804</v>
      </c>
      <c r="X21" s="3" t="s">
        <v>280</v>
      </c>
    </row>
    <row r="22" spans="1:24">
      <c r="A22" s="59" t="s">
        <v>21</v>
      </c>
      <c r="B22" s="60"/>
      <c r="C22" s="60"/>
      <c r="D22" s="61"/>
      <c r="E22" s="24">
        <v>346</v>
      </c>
      <c r="F22" s="24">
        <v>346</v>
      </c>
      <c r="G22" s="63">
        <v>87938</v>
      </c>
      <c r="H22" s="24">
        <v>1102</v>
      </c>
      <c r="I22" s="63">
        <f>-3+3</f>
        <v>0</v>
      </c>
      <c r="J22" s="63">
        <v>0</v>
      </c>
      <c r="K22" s="63">
        <v>2172</v>
      </c>
      <c r="L22" s="24">
        <f>+E22+I22</f>
        <v>346</v>
      </c>
      <c r="M22" s="24">
        <f>+F22+J22</f>
        <v>346</v>
      </c>
      <c r="N22" s="63">
        <f t="shared" si="8"/>
        <v>91212</v>
      </c>
      <c r="O22" s="226">
        <v>5</v>
      </c>
      <c r="P22" s="226">
        <v>3</v>
      </c>
      <c r="Q22" s="226">
        <v>729</v>
      </c>
      <c r="R22" s="226">
        <v>13</v>
      </c>
      <c r="S22" s="226">
        <f>7-8</f>
        <v>-1</v>
      </c>
      <c r="T22" s="226">
        <v>-1919</v>
      </c>
      <c r="U22" s="63">
        <f t="shared" si="11"/>
        <v>364</v>
      </c>
      <c r="V22" s="63">
        <f t="shared" si="11"/>
        <v>348</v>
      </c>
      <c r="W22" s="63">
        <f t="shared" si="11"/>
        <v>90022</v>
      </c>
      <c r="X22" s="3"/>
    </row>
    <row r="23" spans="1:24">
      <c r="A23" s="14" t="s">
        <v>22</v>
      </c>
      <c r="B23" s="15"/>
      <c r="C23" s="15"/>
      <c r="D23" s="51"/>
      <c r="E23" s="23">
        <f t="shared" ref="E23:W23" si="12">SUM(E24:E32)</f>
        <v>4304</v>
      </c>
      <c r="F23" s="23">
        <f t="shared" si="12"/>
        <v>4578</v>
      </c>
      <c r="G23" s="23">
        <f t="shared" si="12"/>
        <v>875097</v>
      </c>
      <c r="H23" s="23">
        <f t="shared" si="12"/>
        <v>42914</v>
      </c>
      <c r="I23" s="23">
        <f t="shared" si="12"/>
        <v>165</v>
      </c>
      <c r="J23" s="23">
        <f t="shared" si="12"/>
        <v>338</v>
      </c>
      <c r="K23" s="23">
        <f t="shared" si="12"/>
        <v>46711</v>
      </c>
      <c r="L23" s="23">
        <f t="shared" si="12"/>
        <v>4469</v>
      </c>
      <c r="M23" s="23">
        <f t="shared" si="12"/>
        <v>4916</v>
      </c>
      <c r="N23" s="23">
        <f t="shared" si="12"/>
        <v>964722</v>
      </c>
      <c r="O23" s="23">
        <f>SUM(O24:O32)</f>
        <v>49</v>
      </c>
      <c r="P23" s="23">
        <f>SUM(P24:P32)</f>
        <v>45</v>
      </c>
      <c r="Q23" s="23">
        <f>SUM(Q24:Q32)</f>
        <v>16405</v>
      </c>
      <c r="R23" s="23">
        <f t="shared" si="12"/>
        <v>0</v>
      </c>
      <c r="S23" s="23">
        <f t="shared" si="12"/>
        <v>-244</v>
      </c>
      <c r="T23" s="23">
        <f t="shared" si="12"/>
        <v>-12145</v>
      </c>
      <c r="U23" s="23">
        <f t="shared" si="12"/>
        <v>4518</v>
      </c>
      <c r="V23" s="23">
        <f t="shared" si="12"/>
        <v>4717</v>
      </c>
      <c r="W23" s="23">
        <f t="shared" si="12"/>
        <v>968982</v>
      </c>
      <c r="X23" s="3"/>
    </row>
    <row r="24" spans="1:24">
      <c r="A24" s="16" t="s">
        <v>23</v>
      </c>
      <c r="B24" s="1"/>
      <c r="C24" s="1"/>
      <c r="D24" s="52"/>
      <c r="E24" s="63">
        <v>48</v>
      </c>
      <c r="F24" s="63">
        <v>49</v>
      </c>
      <c r="G24" s="63">
        <v>10809</v>
      </c>
      <c r="H24" s="63">
        <v>141</v>
      </c>
      <c r="I24" s="63">
        <v>0</v>
      </c>
      <c r="J24" s="63">
        <v>0</v>
      </c>
      <c r="K24" s="63">
        <v>-9</v>
      </c>
      <c r="L24" s="24">
        <f t="shared" ref="L24:M32" si="13">+E24+I24</f>
        <v>48</v>
      </c>
      <c r="M24" s="24">
        <f t="shared" si="13"/>
        <v>49</v>
      </c>
      <c r="N24" s="63">
        <f t="shared" ref="N24:N32" si="14">+G24+K24+H24</f>
        <v>10941</v>
      </c>
      <c r="O24" s="226">
        <v>2</v>
      </c>
      <c r="P24" s="226">
        <v>2</v>
      </c>
      <c r="Q24" s="226">
        <v>424</v>
      </c>
      <c r="R24" s="226">
        <v>0</v>
      </c>
      <c r="S24" s="226">
        <v>0</v>
      </c>
      <c r="T24" s="226">
        <v>-11</v>
      </c>
      <c r="U24" s="70">
        <f t="shared" ref="U24:W32" si="15">SUM(R24,O24,L24)</f>
        <v>50</v>
      </c>
      <c r="V24" s="70">
        <f t="shared" si="15"/>
        <v>51</v>
      </c>
      <c r="W24" s="63">
        <f t="shared" si="15"/>
        <v>11354</v>
      </c>
      <c r="X24" s="3"/>
    </row>
    <row r="25" spans="1:24">
      <c r="A25" s="16" t="s">
        <v>24</v>
      </c>
      <c r="B25" s="1"/>
      <c r="C25" s="1"/>
      <c r="D25" s="52"/>
      <c r="E25" s="63">
        <v>639</v>
      </c>
      <c r="F25" s="63">
        <v>582</v>
      </c>
      <c r="G25" s="63">
        <v>105877</v>
      </c>
      <c r="H25" s="63">
        <v>2606</v>
      </c>
      <c r="I25" s="71">
        <v>0</v>
      </c>
      <c r="J25" s="71">
        <v>0</v>
      </c>
      <c r="K25" s="72">
        <v>6277</v>
      </c>
      <c r="L25" s="24">
        <f t="shared" si="13"/>
        <v>639</v>
      </c>
      <c r="M25" s="24">
        <f t="shared" si="13"/>
        <v>582</v>
      </c>
      <c r="N25" s="63">
        <f t="shared" si="14"/>
        <v>114760</v>
      </c>
      <c r="O25" s="220">
        <v>0</v>
      </c>
      <c r="P25" s="220">
        <v>0</v>
      </c>
      <c r="Q25" s="221">
        <v>0</v>
      </c>
      <c r="R25" s="220">
        <v>0</v>
      </c>
      <c r="S25" s="220">
        <v>-42</v>
      </c>
      <c r="T25" s="221">
        <v>-1930</v>
      </c>
      <c r="U25" s="63">
        <f t="shared" si="15"/>
        <v>639</v>
      </c>
      <c r="V25" s="63">
        <f t="shared" si="15"/>
        <v>540</v>
      </c>
      <c r="W25" s="63">
        <f t="shared" si="15"/>
        <v>112830</v>
      </c>
      <c r="X25" s="3"/>
    </row>
    <row r="26" spans="1:24">
      <c r="A26" s="16" t="s">
        <v>25</v>
      </c>
      <c r="B26" s="1"/>
      <c r="C26" s="1"/>
      <c r="D26" s="52"/>
      <c r="E26" s="63">
        <v>751</v>
      </c>
      <c r="F26" s="63">
        <v>968</v>
      </c>
      <c r="G26" s="63">
        <v>176861</v>
      </c>
      <c r="H26" s="63">
        <v>5069</v>
      </c>
      <c r="I26" s="63">
        <v>26</v>
      </c>
      <c r="J26" s="63">
        <f>9+36-10</f>
        <v>35</v>
      </c>
      <c r="K26" s="63">
        <f>22498</f>
        <v>22498</v>
      </c>
      <c r="L26" s="24">
        <f t="shared" si="13"/>
        <v>777</v>
      </c>
      <c r="M26" s="24">
        <f t="shared" si="13"/>
        <v>1003</v>
      </c>
      <c r="N26" s="63">
        <f t="shared" si="14"/>
        <v>204428</v>
      </c>
      <c r="O26" s="226">
        <f>9-7+7</f>
        <v>9</v>
      </c>
      <c r="P26" s="226">
        <f>5-4+4</f>
        <v>5</v>
      </c>
      <c r="Q26" s="226">
        <f>9759-4000-2000</f>
        <v>3759</v>
      </c>
      <c r="R26" s="226">
        <v>0</v>
      </c>
      <c r="S26" s="226">
        <v>-44</v>
      </c>
      <c r="T26" s="226">
        <v>-2653</v>
      </c>
      <c r="U26" s="63">
        <f t="shared" si="15"/>
        <v>786</v>
      </c>
      <c r="V26" s="63">
        <f t="shared" si="15"/>
        <v>964</v>
      </c>
      <c r="W26" s="63">
        <f t="shared" si="15"/>
        <v>205534</v>
      </c>
      <c r="X26" s="3"/>
    </row>
    <row r="27" spans="1:24">
      <c r="A27" s="16" t="s">
        <v>26</v>
      </c>
      <c r="B27" s="1"/>
      <c r="C27" s="1"/>
      <c r="D27" s="52"/>
      <c r="E27" s="63">
        <v>1475</v>
      </c>
      <c r="F27" s="63">
        <v>1391</v>
      </c>
      <c r="G27" s="63">
        <v>287758</v>
      </c>
      <c r="H27" s="63">
        <v>20537</v>
      </c>
      <c r="I27" s="63">
        <f>175-162+1-1</f>
        <v>13</v>
      </c>
      <c r="J27" s="63">
        <f>100+13+121</f>
        <v>234</v>
      </c>
      <c r="K27" s="63">
        <f>10939</f>
        <v>10939</v>
      </c>
      <c r="L27" s="24">
        <f t="shared" si="13"/>
        <v>1488</v>
      </c>
      <c r="M27" s="24">
        <f t="shared" si="13"/>
        <v>1625</v>
      </c>
      <c r="N27" s="63">
        <f t="shared" si="14"/>
        <v>319234</v>
      </c>
      <c r="O27" s="226">
        <v>25</v>
      </c>
      <c r="P27" s="226">
        <v>25</v>
      </c>
      <c r="Q27" s="226">
        <v>8271</v>
      </c>
      <c r="R27" s="226">
        <v>0</v>
      </c>
      <c r="S27" s="226">
        <v>-106</v>
      </c>
      <c r="T27" s="226">
        <v>-4717</v>
      </c>
      <c r="U27" s="63">
        <f t="shared" si="15"/>
        <v>1513</v>
      </c>
      <c r="V27" s="63">
        <f t="shared" si="15"/>
        <v>1544</v>
      </c>
      <c r="W27" s="63">
        <f t="shared" si="15"/>
        <v>322788</v>
      </c>
      <c r="X27" s="3"/>
    </row>
    <row r="28" spans="1:24">
      <c r="A28" s="16" t="s">
        <v>108</v>
      </c>
      <c r="B28" s="1"/>
      <c r="C28" s="1"/>
      <c r="D28" s="1"/>
      <c r="E28" s="63">
        <v>459</v>
      </c>
      <c r="F28" s="63">
        <v>691</v>
      </c>
      <c r="G28" s="63">
        <v>109785</v>
      </c>
      <c r="H28" s="63">
        <v>2765</v>
      </c>
      <c r="I28" s="63">
        <v>130</v>
      </c>
      <c r="J28" s="63">
        <f>6+71-61</f>
        <v>16</v>
      </c>
      <c r="K28" s="63">
        <f>5770</f>
        <v>5770</v>
      </c>
      <c r="L28" s="24">
        <f t="shared" si="13"/>
        <v>589</v>
      </c>
      <c r="M28" s="24">
        <f t="shared" si="13"/>
        <v>707</v>
      </c>
      <c r="N28" s="63">
        <f t="shared" si="14"/>
        <v>118320</v>
      </c>
      <c r="O28" s="226">
        <v>13</v>
      </c>
      <c r="P28" s="226">
        <v>13</v>
      </c>
      <c r="Q28" s="226">
        <v>3951</v>
      </c>
      <c r="R28" s="226">
        <v>0</v>
      </c>
      <c r="S28" s="226">
        <v>-46</v>
      </c>
      <c r="T28" s="226">
        <v>-2283</v>
      </c>
      <c r="U28" s="63">
        <f t="shared" si="15"/>
        <v>602</v>
      </c>
      <c r="V28" s="63">
        <f t="shared" si="15"/>
        <v>674</v>
      </c>
      <c r="W28" s="63">
        <f t="shared" si="15"/>
        <v>119988</v>
      </c>
      <c r="X28" s="3"/>
    </row>
    <row r="29" spans="1:24">
      <c r="A29" s="16" t="s">
        <v>27</v>
      </c>
      <c r="B29" s="1"/>
      <c r="C29" s="1"/>
      <c r="D29" s="1"/>
      <c r="E29" s="63">
        <v>37</v>
      </c>
      <c r="F29" s="63">
        <v>37</v>
      </c>
      <c r="G29" s="63">
        <v>7665</v>
      </c>
      <c r="H29" s="63">
        <f>72-9</f>
        <v>63</v>
      </c>
      <c r="I29" s="63">
        <f>0-1</f>
        <v>-1</v>
      </c>
      <c r="J29" s="63">
        <f>0-1</f>
        <v>-1</v>
      </c>
      <c r="K29" s="63">
        <f>38-38+31+9</f>
        <v>40</v>
      </c>
      <c r="L29" s="24">
        <f>+E29+I29</f>
        <v>36</v>
      </c>
      <c r="M29" s="24">
        <f>+F29+J29</f>
        <v>36</v>
      </c>
      <c r="N29" s="63">
        <f>+G29+K29+H29</f>
        <v>7768</v>
      </c>
      <c r="O29" s="226">
        <v>0</v>
      </c>
      <c r="P29" s="226">
        <v>0</v>
      </c>
      <c r="Q29" s="226">
        <v>0</v>
      </c>
      <c r="R29" s="226">
        <v>0</v>
      </c>
      <c r="S29" s="226">
        <v>0</v>
      </c>
      <c r="T29" s="226">
        <v>-9</v>
      </c>
      <c r="U29" s="63">
        <f t="shared" si="15"/>
        <v>36</v>
      </c>
      <c r="V29" s="63">
        <f t="shared" si="15"/>
        <v>36</v>
      </c>
      <c r="W29" s="63">
        <f t="shared" si="15"/>
        <v>7759</v>
      </c>
      <c r="X29" s="3"/>
    </row>
    <row r="30" spans="1:24">
      <c r="A30" s="16" t="s">
        <v>28</v>
      </c>
      <c r="B30" s="1"/>
      <c r="C30" s="1"/>
      <c r="D30" s="1"/>
      <c r="E30" s="63">
        <v>815</v>
      </c>
      <c r="F30" s="63">
        <v>784</v>
      </c>
      <c r="G30" s="63">
        <v>145449</v>
      </c>
      <c r="H30" s="63">
        <v>9515</v>
      </c>
      <c r="I30" s="63">
        <v>0</v>
      </c>
      <c r="J30" s="63">
        <f>51</f>
        <v>51</v>
      </c>
      <c r="K30" s="63">
        <f>2596</f>
        <v>2596</v>
      </c>
      <c r="L30" s="24">
        <f t="shared" si="13"/>
        <v>815</v>
      </c>
      <c r="M30" s="24">
        <f t="shared" si="13"/>
        <v>835</v>
      </c>
      <c r="N30" s="63">
        <f t="shared" si="14"/>
        <v>157560</v>
      </c>
      <c r="O30" s="226">
        <v>0</v>
      </c>
      <c r="P30" s="226">
        <v>0</v>
      </c>
      <c r="Q30" s="226">
        <v>0</v>
      </c>
      <c r="R30" s="226">
        <v>0</v>
      </c>
      <c r="S30" s="226">
        <v>0</v>
      </c>
      <c r="T30" s="226">
        <v>-198</v>
      </c>
      <c r="U30" s="63">
        <f t="shared" si="15"/>
        <v>815</v>
      </c>
      <c r="V30" s="63">
        <f t="shared" si="15"/>
        <v>835</v>
      </c>
      <c r="W30" s="63">
        <f t="shared" si="15"/>
        <v>157362</v>
      </c>
      <c r="X30" s="3"/>
    </row>
    <row r="31" spans="1:24">
      <c r="A31" s="16" t="s">
        <v>29</v>
      </c>
      <c r="B31" s="1"/>
      <c r="C31" s="1"/>
      <c r="D31" s="1"/>
      <c r="E31" s="63">
        <v>77</v>
      </c>
      <c r="F31" s="63">
        <v>73</v>
      </c>
      <c r="G31" s="63">
        <v>30091</v>
      </c>
      <c r="H31" s="63">
        <v>2202</v>
      </c>
      <c r="I31" s="63">
        <v>0</v>
      </c>
      <c r="J31" s="63">
        <f>6</f>
        <v>6</v>
      </c>
      <c r="K31" s="63">
        <v>-582</v>
      </c>
      <c r="L31" s="24">
        <f t="shared" si="13"/>
        <v>77</v>
      </c>
      <c r="M31" s="24">
        <f t="shared" si="13"/>
        <v>79</v>
      </c>
      <c r="N31" s="63">
        <f t="shared" si="14"/>
        <v>31711</v>
      </c>
      <c r="O31" s="226">
        <v>0</v>
      </c>
      <c r="P31" s="226">
        <v>0</v>
      </c>
      <c r="Q31" s="226">
        <v>0</v>
      </c>
      <c r="R31" s="226">
        <v>0</v>
      </c>
      <c r="S31" s="226">
        <v>-6</v>
      </c>
      <c r="T31" s="226">
        <v>-344</v>
      </c>
      <c r="U31" s="63">
        <f t="shared" si="15"/>
        <v>77</v>
      </c>
      <c r="V31" s="63">
        <f t="shared" si="15"/>
        <v>73</v>
      </c>
      <c r="W31" s="63">
        <f t="shared" si="15"/>
        <v>31367</v>
      </c>
      <c r="X31" s="3"/>
    </row>
    <row r="32" spans="1:24">
      <c r="A32" s="16" t="s">
        <v>30</v>
      </c>
      <c r="B32" s="1"/>
      <c r="C32" s="1"/>
      <c r="D32" s="1"/>
      <c r="E32" s="63">
        <v>3</v>
      </c>
      <c r="F32" s="63">
        <v>3</v>
      </c>
      <c r="G32" s="63">
        <v>802</v>
      </c>
      <c r="H32" s="63">
        <v>16</v>
      </c>
      <c r="I32" s="63">
        <f>-1-2</f>
        <v>-3</v>
      </c>
      <c r="J32" s="63">
        <f>-1-2</f>
        <v>-3</v>
      </c>
      <c r="K32" s="63">
        <f>-802-16</f>
        <v>-818</v>
      </c>
      <c r="L32" s="24">
        <f t="shared" si="13"/>
        <v>0</v>
      </c>
      <c r="M32" s="24">
        <f t="shared" si="13"/>
        <v>0</v>
      </c>
      <c r="N32" s="63">
        <f t="shared" si="14"/>
        <v>0</v>
      </c>
      <c r="O32" s="226">
        <v>0</v>
      </c>
      <c r="P32" s="226">
        <v>0</v>
      </c>
      <c r="Q32" s="226">
        <v>0</v>
      </c>
      <c r="R32" s="226">
        <v>0</v>
      </c>
      <c r="S32" s="226">
        <v>0</v>
      </c>
      <c r="T32" s="226">
        <v>0</v>
      </c>
      <c r="U32" s="63">
        <f t="shared" si="15"/>
        <v>0</v>
      </c>
      <c r="V32" s="63">
        <f t="shared" si="15"/>
        <v>0</v>
      </c>
      <c r="W32" s="63">
        <f t="shared" si="15"/>
        <v>0</v>
      </c>
      <c r="X32" s="3"/>
    </row>
    <row r="33" spans="1:24">
      <c r="A33" s="12" t="s">
        <v>31</v>
      </c>
      <c r="B33" s="1"/>
      <c r="C33" s="1"/>
      <c r="D33" s="1"/>
      <c r="E33" s="63">
        <v>0</v>
      </c>
      <c r="F33" s="24" t="s">
        <v>32</v>
      </c>
      <c r="G33" s="24" t="s">
        <v>33</v>
      </c>
      <c r="H33" s="24">
        <v>0</v>
      </c>
      <c r="I33" s="63">
        <v>0</v>
      </c>
      <c r="J33" s="63">
        <v>0</v>
      </c>
      <c r="K33" s="24">
        <v>0</v>
      </c>
      <c r="L33" s="24">
        <f>+E33+I33</f>
        <v>0</v>
      </c>
      <c r="M33" s="24" t="str">
        <f>+F33</f>
        <v>[41]</v>
      </c>
      <c r="N33" s="24" t="s">
        <v>33</v>
      </c>
      <c r="O33" s="226">
        <v>0</v>
      </c>
      <c r="P33" s="226">
        <v>0</v>
      </c>
      <c r="Q33" s="224">
        <v>0</v>
      </c>
      <c r="R33" s="226">
        <v>0</v>
      </c>
      <c r="S33" s="226">
        <v>0</v>
      </c>
      <c r="T33" s="224">
        <v>0</v>
      </c>
      <c r="U33" s="63">
        <f>+R33+O33+L33</f>
        <v>0</v>
      </c>
      <c r="V33" s="24" t="s">
        <v>32</v>
      </c>
      <c r="W33" s="24" t="s">
        <v>33</v>
      </c>
      <c r="X33" s="3"/>
    </row>
    <row r="34" spans="1:24">
      <c r="A34" s="12" t="s">
        <v>34</v>
      </c>
      <c r="B34" s="1"/>
      <c r="C34" s="1"/>
      <c r="D34" s="1"/>
      <c r="E34" s="24" t="s">
        <v>35</v>
      </c>
      <c r="F34" s="63">
        <v>851</v>
      </c>
      <c r="G34" s="63">
        <v>163170</v>
      </c>
      <c r="H34" s="24">
        <v>1783</v>
      </c>
      <c r="I34" s="63">
        <v>0</v>
      </c>
      <c r="J34" s="63">
        <v>0</v>
      </c>
      <c r="K34" s="63">
        <v>2570</v>
      </c>
      <c r="L34" s="24" t="s">
        <v>35</v>
      </c>
      <c r="M34" s="24">
        <f>+F34+J34</f>
        <v>851</v>
      </c>
      <c r="N34" s="63">
        <f>+G34+K34+H34</f>
        <v>167523</v>
      </c>
      <c r="O34" s="226">
        <v>0</v>
      </c>
      <c r="P34" s="226">
        <v>0</v>
      </c>
      <c r="Q34" s="226">
        <v>0</v>
      </c>
      <c r="R34" s="226">
        <v>0</v>
      </c>
      <c r="S34" s="226">
        <v>-105</v>
      </c>
      <c r="T34" s="226">
        <v>-5476</v>
      </c>
      <c r="U34" s="24" t="s">
        <v>35</v>
      </c>
      <c r="V34" s="63">
        <f t="shared" ref="V34:W34" si="16">+S34+P34+M34</f>
        <v>746</v>
      </c>
      <c r="W34" s="63">
        <f t="shared" si="16"/>
        <v>162047</v>
      </c>
      <c r="X34" s="3"/>
    </row>
    <row r="35" spans="1:24">
      <c r="A35" s="12" t="s">
        <v>36</v>
      </c>
      <c r="B35" s="1"/>
      <c r="C35" s="1"/>
      <c r="D35" s="1"/>
      <c r="E35" s="63">
        <v>0</v>
      </c>
      <c r="F35" s="63">
        <v>0</v>
      </c>
      <c r="G35" s="63">
        <v>-96000</v>
      </c>
      <c r="H35" s="24">
        <v>-14000</v>
      </c>
      <c r="I35" s="63">
        <v>0</v>
      </c>
      <c r="J35" s="63">
        <v>0</v>
      </c>
      <c r="K35" s="63">
        <v>0</v>
      </c>
      <c r="L35" s="24">
        <f>+E35+I35</f>
        <v>0</v>
      </c>
      <c r="M35" s="24">
        <f>+F35+J35</f>
        <v>0</v>
      </c>
      <c r="N35" s="63">
        <f>+G35+K35+H35</f>
        <v>-110000</v>
      </c>
      <c r="O35" s="226">
        <v>0</v>
      </c>
      <c r="P35" s="226">
        <v>0</v>
      </c>
      <c r="Q35" s="226">
        <v>0</v>
      </c>
      <c r="R35" s="226">
        <v>0</v>
      </c>
      <c r="S35" s="226">
        <v>0</v>
      </c>
      <c r="T35" s="226">
        <v>0</v>
      </c>
      <c r="U35" s="63">
        <f t="shared" ref="U35:W36" si="17">SUM(R35,O35,L35)</f>
        <v>0</v>
      </c>
      <c r="V35" s="63">
        <f t="shared" si="17"/>
        <v>0</v>
      </c>
      <c r="W35" s="63">
        <f t="shared" si="17"/>
        <v>-110000</v>
      </c>
      <c r="X35" s="3"/>
    </row>
    <row r="36" spans="1:24">
      <c r="A36" s="59" t="s">
        <v>37</v>
      </c>
      <c r="B36" s="60"/>
      <c r="C36" s="60"/>
      <c r="D36" s="60"/>
      <c r="E36" s="63">
        <v>10629</v>
      </c>
      <c r="F36" s="63">
        <v>12337</v>
      </c>
      <c r="G36" s="24">
        <v>1944610</v>
      </c>
      <c r="H36" s="73">
        <v>40302</v>
      </c>
      <c r="I36" s="63">
        <f>52-6+3</f>
        <v>49</v>
      </c>
      <c r="J36" s="63">
        <f>92+49+50</f>
        <v>191</v>
      </c>
      <c r="K36" s="63">
        <f>24268</f>
        <v>24268</v>
      </c>
      <c r="L36" s="24">
        <f>+E36+I36</f>
        <v>10678</v>
      </c>
      <c r="M36" s="24">
        <f>+F36+J36</f>
        <v>12528</v>
      </c>
      <c r="N36" s="63">
        <f>+G36+K36+H36</f>
        <v>2009180</v>
      </c>
      <c r="O36" s="226">
        <v>0</v>
      </c>
      <c r="P36" s="226">
        <v>0</v>
      </c>
      <c r="Q36" s="226">
        <f>50000-50000</f>
        <v>0</v>
      </c>
      <c r="R36" s="226">
        <v>0</v>
      </c>
      <c r="S36" s="226">
        <v>-556</v>
      </c>
      <c r="T36" s="226">
        <v>-25330</v>
      </c>
      <c r="U36" s="63">
        <f t="shared" si="17"/>
        <v>10678</v>
      </c>
      <c r="V36" s="63">
        <f t="shared" si="17"/>
        <v>11972</v>
      </c>
      <c r="W36" s="63">
        <f t="shared" si="17"/>
        <v>1983850</v>
      </c>
      <c r="X36" s="3"/>
    </row>
    <row r="37" spans="1:24">
      <c r="A37" s="14" t="s">
        <v>38</v>
      </c>
      <c r="B37" s="15"/>
      <c r="C37" s="15"/>
      <c r="D37" s="51"/>
      <c r="E37" s="69" t="s">
        <v>106</v>
      </c>
      <c r="F37" s="25">
        <f t="shared" ref="F37:W37" si="18">SUM(F38:F39)</f>
        <v>1314</v>
      </c>
      <c r="G37" s="25">
        <f t="shared" si="18"/>
        <v>-58750</v>
      </c>
      <c r="H37" s="69">
        <f t="shared" si="18"/>
        <v>12229</v>
      </c>
      <c r="I37" s="25">
        <f t="shared" si="18"/>
        <v>0</v>
      </c>
      <c r="J37" s="25">
        <f t="shared" si="18"/>
        <v>9</v>
      </c>
      <c r="K37" s="25">
        <f t="shared" si="18"/>
        <v>2688</v>
      </c>
      <c r="L37" s="69" t="s">
        <v>106</v>
      </c>
      <c r="M37" s="69">
        <f t="shared" si="18"/>
        <v>1323</v>
      </c>
      <c r="N37" s="25">
        <f t="shared" si="18"/>
        <v>-43833</v>
      </c>
      <c r="O37" s="69" t="s">
        <v>127</v>
      </c>
      <c r="P37" s="25">
        <f>SUM(P38:P39)</f>
        <v>4</v>
      </c>
      <c r="Q37" s="25">
        <f>SUM(Q38:Q39)</f>
        <v>5816</v>
      </c>
      <c r="R37" s="25">
        <f t="shared" si="18"/>
        <v>0</v>
      </c>
      <c r="S37" s="25">
        <f t="shared" si="18"/>
        <v>0</v>
      </c>
      <c r="T37" s="25">
        <f t="shared" si="18"/>
        <v>-479</v>
      </c>
      <c r="U37" s="69" t="s">
        <v>128</v>
      </c>
      <c r="V37" s="25">
        <f t="shared" si="18"/>
        <v>1327</v>
      </c>
      <c r="W37" s="25">
        <f t="shared" si="18"/>
        <v>-38496</v>
      </c>
      <c r="X37" s="3"/>
    </row>
    <row r="38" spans="1:24">
      <c r="A38" s="16" t="s">
        <v>39</v>
      </c>
      <c r="B38" s="1"/>
      <c r="C38" s="1"/>
      <c r="D38" s="52"/>
      <c r="E38" s="24" t="s">
        <v>106</v>
      </c>
      <c r="F38" s="63">
        <v>1314</v>
      </c>
      <c r="G38" s="63">
        <v>219250</v>
      </c>
      <c r="H38" s="24">
        <v>8229</v>
      </c>
      <c r="I38" s="63">
        <v>0</v>
      </c>
      <c r="J38" s="63">
        <f>9</f>
        <v>9</v>
      </c>
      <c r="K38" s="63">
        <f>2688</f>
        <v>2688</v>
      </c>
      <c r="L38" s="24" t="s">
        <v>106</v>
      </c>
      <c r="M38" s="24">
        <f>+F38+J38</f>
        <v>1323</v>
      </c>
      <c r="N38" s="63">
        <f>+G38+K38+H38</f>
        <v>230167</v>
      </c>
      <c r="O38" s="224" t="s">
        <v>127</v>
      </c>
      <c r="P38" s="226">
        <v>4</v>
      </c>
      <c r="Q38" s="226">
        <v>5816</v>
      </c>
      <c r="R38" s="226">
        <v>0</v>
      </c>
      <c r="S38" s="226">
        <v>0</v>
      </c>
      <c r="T38" s="226">
        <v>-479</v>
      </c>
      <c r="U38" s="24" t="s">
        <v>128</v>
      </c>
      <c r="V38" s="63">
        <f t="shared" ref="V38:W38" si="19">+S38+P38+M38</f>
        <v>1327</v>
      </c>
      <c r="W38" s="63">
        <f t="shared" si="19"/>
        <v>235504</v>
      </c>
      <c r="X38" s="3"/>
    </row>
    <row r="39" spans="1:24">
      <c r="A39" s="16" t="s">
        <v>40</v>
      </c>
      <c r="B39" s="1"/>
      <c r="C39" s="1"/>
      <c r="D39" s="52"/>
      <c r="E39" s="63">
        <v>0</v>
      </c>
      <c r="F39" s="63">
        <v>0</v>
      </c>
      <c r="G39" s="63">
        <v>-278000</v>
      </c>
      <c r="H39" s="24">
        <v>4000</v>
      </c>
      <c r="I39" s="63">
        <v>0</v>
      </c>
      <c r="J39" s="63">
        <v>0</v>
      </c>
      <c r="K39" s="63">
        <v>0</v>
      </c>
      <c r="L39" s="24">
        <f>+E39+I39</f>
        <v>0</v>
      </c>
      <c r="M39" s="24">
        <f>+F39+J39</f>
        <v>0</v>
      </c>
      <c r="N39" s="63">
        <f>+G39+K39+H39</f>
        <v>-274000</v>
      </c>
      <c r="O39" s="226">
        <v>0</v>
      </c>
      <c r="P39" s="226">
        <v>0</v>
      </c>
      <c r="Q39" s="226">
        <v>0</v>
      </c>
      <c r="R39" s="226">
        <v>0</v>
      </c>
      <c r="S39" s="226">
        <v>0</v>
      </c>
      <c r="T39" s="226">
        <v>0</v>
      </c>
      <c r="U39" s="63">
        <f t="shared" ref="U39:W40" si="20">SUM(R39,O39,L39)</f>
        <v>0</v>
      </c>
      <c r="V39" s="63">
        <f t="shared" si="20"/>
        <v>0</v>
      </c>
      <c r="W39" s="63">
        <f t="shared" si="20"/>
        <v>-274000</v>
      </c>
      <c r="X39" s="3"/>
    </row>
    <row r="40" spans="1:24">
      <c r="A40" s="12" t="s">
        <v>41</v>
      </c>
      <c r="B40" s="1"/>
      <c r="C40" s="1"/>
      <c r="D40" s="52"/>
      <c r="E40" s="63">
        <v>11</v>
      </c>
      <c r="F40" s="63">
        <v>11</v>
      </c>
      <c r="G40" s="63">
        <v>2117</v>
      </c>
      <c r="H40" s="24">
        <v>37</v>
      </c>
      <c r="I40" s="63">
        <v>0</v>
      </c>
      <c r="J40" s="63">
        <v>0</v>
      </c>
      <c r="K40" s="63">
        <v>74</v>
      </c>
      <c r="L40" s="24">
        <f>+E40+I40</f>
        <v>11</v>
      </c>
      <c r="M40" s="24">
        <f>+F40+J40</f>
        <v>11</v>
      </c>
      <c r="N40" s="63">
        <f>+G40+K40+H40</f>
        <v>2228</v>
      </c>
      <c r="O40" s="226">
        <v>0</v>
      </c>
      <c r="P40" s="226">
        <v>0</v>
      </c>
      <c r="Q40" s="226">
        <v>0</v>
      </c>
      <c r="R40" s="226">
        <v>0</v>
      </c>
      <c r="S40" s="226">
        <v>0</v>
      </c>
      <c r="T40" s="226">
        <v>-2</v>
      </c>
      <c r="U40" s="63">
        <f t="shared" si="20"/>
        <v>11</v>
      </c>
      <c r="V40" s="63">
        <f t="shared" si="20"/>
        <v>11</v>
      </c>
      <c r="W40" s="63">
        <f t="shared" si="20"/>
        <v>2226</v>
      </c>
      <c r="X40" s="3"/>
    </row>
    <row r="41" spans="1:24">
      <c r="A41" s="14" t="s">
        <v>42</v>
      </c>
      <c r="B41" s="15"/>
      <c r="C41" s="15"/>
      <c r="D41" s="51"/>
      <c r="E41" s="23">
        <f t="shared" ref="E41:W41" si="21">SUM(E42:E43)</f>
        <v>5544</v>
      </c>
      <c r="F41" s="23">
        <f t="shared" si="21"/>
        <v>5464</v>
      </c>
      <c r="G41" s="23">
        <f t="shared" si="21"/>
        <v>1152388</v>
      </c>
      <c r="H41" s="17">
        <f t="shared" si="21"/>
        <v>24827</v>
      </c>
      <c r="I41" s="17">
        <f t="shared" si="21"/>
        <v>122</v>
      </c>
      <c r="J41" s="17">
        <f t="shared" si="21"/>
        <v>479</v>
      </c>
      <c r="K41" s="17">
        <f t="shared" si="21"/>
        <v>117767</v>
      </c>
      <c r="L41" s="17">
        <f t="shared" si="21"/>
        <v>5666</v>
      </c>
      <c r="M41" s="17">
        <f t="shared" si="21"/>
        <v>5943</v>
      </c>
      <c r="N41" s="17">
        <f t="shared" si="21"/>
        <v>1294982</v>
      </c>
      <c r="O41" s="17">
        <f t="shared" si="21"/>
        <v>8</v>
      </c>
      <c r="P41" s="17">
        <f t="shared" si="21"/>
        <v>50</v>
      </c>
      <c r="Q41" s="17">
        <f t="shared" si="21"/>
        <v>11886</v>
      </c>
      <c r="R41" s="17">
        <f t="shared" si="21"/>
        <v>0</v>
      </c>
      <c r="S41" s="17">
        <f t="shared" si="21"/>
        <v>-182</v>
      </c>
      <c r="T41" s="17">
        <f t="shared" si="21"/>
        <v>-4504</v>
      </c>
      <c r="U41" s="17">
        <f t="shared" si="21"/>
        <v>5674</v>
      </c>
      <c r="V41" s="17">
        <f t="shared" si="21"/>
        <v>5811</v>
      </c>
      <c r="W41" s="17">
        <f t="shared" si="21"/>
        <v>1302364</v>
      </c>
      <c r="X41" s="3"/>
    </row>
    <row r="42" spans="1:24">
      <c r="A42" s="16" t="s">
        <v>43</v>
      </c>
      <c r="B42" s="1"/>
      <c r="C42" s="1"/>
      <c r="D42" s="52"/>
      <c r="E42" s="63">
        <v>5544</v>
      </c>
      <c r="F42" s="63">
        <v>5464</v>
      </c>
      <c r="G42" s="24">
        <v>1125763</v>
      </c>
      <c r="H42" s="24">
        <v>24827</v>
      </c>
      <c r="I42" s="63">
        <v>122</v>
      </c>
      <c r="J42" s="63">
        <f>350+122+7</f>
        <v>479</v>
      </c>
      <c r="K42" s="63">
        <f>117767</f>
        <v>117767</v>
      </c>
      <c r="L42" s="24">
        <f t="shared" ref="L42:M45" si="22">+E42+I42</f>
        <v>5666</v>
      </c>
      <c r="M42" s="24">
        <f t="shared" si="22"/>
        <v>5943</v>
      </c>
      <c r="N42" s="63">
        <f>+G42+K42+H42</f>
        <v>1268357</v>
      </c>
      <c r="O42" s="226">
        <v>8</v>
      </c>
      <c r="P42" s="226">
        <f>4+46</f>
        <v>50</v>
      </c>
      <c r="Q42" s="226">
        <v>11886</v>
      </c>
      <c r="R42" s="226">
        <v>0</v>
      </c>
      <c r="S42" s="226">
        <v>-182</v>
      </c>
      <c r="T42" s="226">
        <v>-4504</v>
      </c>
      <c r="U42" s="63">
        <f t="shared" ref="U42:W45" si="23">SUM(R42,O42,L42)</f>
        <v>5674</v>
      </c>
      <c r="V42" s="63">
        <f t="shared" si="23"/>
        <v>5811</v>
      </c>
      <c r="W42" s="63">
        <f t="shared" si="23"/>
        <v>1275739</v>
      </c>
      <c r="X42" s="3" t="s">
        <v>280</v>
      </c>
    </row>
    <row r="43" spans="1:24">
      <c r="A43" s="16" t="s">
        <v>44</v>
      </c>
      <c r="B43" s="1"/>
      <c r="C43" s="1"/>
      <c r="D43" s="52"/>
      <c r="E43" s="63">
        <v>0</v>
      </c>
      <c r="F43" s="63">
        <v>0</v>
      </c>
      <c r="G43" s="63">
        <v>26625</v>
      </c>
      <c r="H43" s="24">
        <v>0</v>
      </c>
      <c r="I43" s="63">
        <v>0</v>
      </c>
      <c r="J43" s="63">
        <v>0</v>
      </c>
      <c r="K43" s="63">
        <v>0</v>
      </c>
      <c r="L43" s="24">
        <f t="shared" si="22"/>
        <v>0</v>
      </c>
      <c r="M43" s="24">
        <f t="shared" si="22"/>
        <v>0</v>
      </c>
      <c r="N43" s="63">
        <f>+G43+K43+H43</f>
        <v>26625</v>
      </c>
      <c r="O43" s="226">
        <v>0</v>
      </c>
      <c r="P43" s="226">
        <v>0</v>
      </c>
      <c r="Q43" s="226">
        <v>0</v>
      </c>
      <c r="R43" s="226">
        <v>0</v>
      </c>
      <c r="S43" s="226">
        <v>0</v>
      </c>
      <c r="T43" s="226">
        <v>0</v>
      </c>
      <c r="U43" s="63">
        <f t="shared" si="23"/>
        <v>0</v>
      </c>
      <c r="V43" s="63">
        <f t="shared" si="23"/>
        <v>0</v>
      </c>
      <c r="W43" s="63">
        <f t="shared" si="23"/>
        <v>26625</v>
      </c>
      <c r="X43" s="3" t="s">
        <v>280</v>
      </c>
    </row>
    <row r="44" spans="1:24">
      <c r="A44" s="12" t="s">
        <v>45</v>
      </c>
      <c r="B44" s="1"/>
      <c r="C44" s="1"/>
      <c r="D44" s="52"/>
      <c r="E44" s="63">
        <v>56</v>
      </c>
      <c r="F44" s="63">
        <v>56</v>
      </c>
      <c r="G44" s="63">
        <v>11479</v>
      </c>
      <c r="H44" s="24">
        <v>25</v>
      </c>
      <c r="I44" s="63">
        <v>0</v>
      </c>
      <c r="J44" s="63">
        <v>0</v>
      </c>
      <c r="K44" s="63">
        <v>-35</v>
      </c>
      <c r="L44" s="24">
        <f t="shared" si="22"/>
        <v>56</v>
      </c>
      <c r="M44" s="24">
        <f t="shared" si="22"/>
        <v>56</v>
      </c>
      <c r="N44" s="63">
        <f>+G44+K44+H44</f>
        <v>11469</v>
      </c>
      <c r="O44" s="226">
        <v>8</v>
      </c>
      <c r="P44" s="226">
        <v>4</v>
      </c>
      <c r="Q44" s="226">
        <v>1454</v>
      </c>
      <c r="R44" s="226">
        <v>0</v>
      </c>
      <c r="S44" s="226">
        <v>0</v>
      </c>
      <c r="T44" s="226">
        <v>-12</v>
      </c>
      <c r="U44" s="63">
        <f t="shared" si="23"/>
        <v>64</v>
      </c>
      <c r="V44" s="63">
        <f t="shared" si="23"/>
        <v>60</v>
      </c>
      <c r="W44" s="63">
        <f t="shared" si="23"/>
        <v>12911</v>
      </c>
      <c r="X44" s="3"/>
    </row>
    <row r="45" spans="1:24">
      <c r="A45" s="12" t="s">
        <v>46</v>
      </c>
      <c r="B45" s="1"/>
      <c r="C45" s="1"/>
      <c r="D45" s="52"/>
      <c r="E45" s="63">
        <v>0</v>
      </c>
      <c r="F45" s="63">
        <v>0</v>
      </c>
      <c r="G45" s="63">
        <v>20990</v>
      </c>
      <c r="H45" s="24">
        <v>0</v>
      </c>
      <c r="I45" s="63">
        <v>0</v>
      </c>
      <c r="J45" s="63">
        <v>0</v>
      </c>
      <c r="K45" s="63">
        <v>0</v>
      </c>
      <c r="L45" s="24">
        <f t="shared" si="22"/>
        <v>0</v>
      </c>
      <c r="M45" s="24">
        <f t="shared" si="22"/>
        <v>0</v>
      </c>
      <c r="N45" s="63">
        <f>+G45+K45+H45</f>
        <v>20990</v>
      </c>
      <c r="O45" s="226">
        <v>0</v>
      </c>
      <c r="P45" s="226">
        <v>0</v>
      </c>
      <c r="Q45" s="226">
        <v>0</v>
      </c>
      <c r="R45" s="226">
        <v>0</v>
      </c>
      <c r="S45" s="226">
        <v>0</v>
      </c>
      <c r="T45" s="226">
        <v>0</v>
      </c>
      <c r="U45" s="63">
        <f t="shared" si="23"/>
        <v>0</v>
      </c>
      <c r="V45" s="63">
        <f t="shared" si="23"/>
        <v>0</v>
      </c>
      <c r="W45" s="63">
        <f t="shared" si="23"/>
        <v>20990</v>
      </c>
      <c r="X45" s="3"/>
    </row>
    <row r="46" spans="1:24">
      <c r="A46" s="12" t="s">
        <v>47</v>
      </c>
      <c r="B46" s="1"/>
      <c r="C46" s="1"/>
      <c r="D46" s="52"/>
      <c r="E46" s="24" t="s">
        <v>281</v>
      </c>
      <c r="F46" s="24" t="s">
        <v>282</v>
      </c>
      <c r="G46" s="63">
        <v>528569</v>
      </c>
      <c r="H46" s="24">
        <v>8280</v>
      </c>
      <c r="I46" s="24" t="s">
        <v>192</v>
      </c>
      <c r="J46" s="24" t="s">
        <v>192</v>
      </c>
      <c r="K46" s="63">
        <f>3907-1699</f>
        <v>2208</v>
      </c>
      <c r="L46" s="24" t="s">
        <v>283</v>
      </c>
      <c r="M46" s="24" t="s">
        <v>284</v>
      </c>
      <c r="N46" s="123">
        <f>+G46+K46+H46</f>
        <v>539057</v>
      </c>
      <c r="O46" s="224">
        <v>0</v>
      </c>
      <c r="P46" s="224">
        <v>0</v>
      </c>
      <c r="Q46" s="226">
        <v>0</v>
      </c>
      <c r="R46" s="224">
        <v>0</v>
      </c>
      <c r="S46" s="224">
        <v>0</v>
      </c>
      <c r="T46" s="226">
        <v>-536</v>
      </c>
      <c r="U46" s="24" t="s">
        <v>283</v>
      </c>
      <c r="V46" s="24" t="s">
        <v>284</v>
      </c>
      <c r="W46" s="63">
        <f>+T46+Q46+N46</f>
        <v>538521</v>
      </c>
      <c r="X46" s="3"/>
    </row>
    <row r="47" spans="1:24">
      <c r="A47" s="14" t="s">
        <v>48</v>
      </c>
      <c r="B47" s="15"/>
      <c r="C47" s="15"/>
      <c r="D47" s="51"/>
      <c r="E47" s="23">
        <f t="shared" ref="E47:W47" si="24">SUM(E48:E51)</f>
        <v>32998</v>
      </c>
      <c r="F47" s="23">
        <f t="shared" si="24"/>
        <v>35797</v>
      </c>
      <c r="G47" s="23">
        <f t="shared" si="24"/>
        <v>7810697</v>
      </c>
      <c r="H47" s="23">
        <f t="shared" si="24"/>
        <v>100785</v>
      </c>
      <c r="I47" s="23">
        <f t="shared" si="24"/>
        <v>85</v>
      </c>
      <c r="J47" s="23">
        <f t="shared" si="24"/>
        <v>150</v>
      </c>
      <c r="K47" s="23">
        <f t="shared" si="24"/>
        <v>164726</v>
      </c>
      <c r="L47" s="23">
        <f t="shared" si="24"/>
        <v>33083</v>
      </c>
      <c r="M47" s="23">
        <f t="shared" si="24"/>
        <v>35947</v>
      </c>
      <c r="N47" s="23">
        <f t="shared" si="24"/>
        <v>8076208</v>
      </c>
      <c r="O47" s="223">
        <f t="shared" si="24"/>
        <v>250</v>
      </c>
      <c r="P47" s="223">
        <f t="shared" si="24"/>
        <v>125</v>
      </c>
      <c r="Q47" s="223">
        <f t="shared" si="24"/>
        <v>286820</v>
      </c>
      <c r="R47" s="223">
        <f t="shared" si="24"/>
        <v>-6</v>
      </c>
      <c r="S47" s="223">
        <f t="shared" si="24"/>
        <v>-610</v>
      </c>
      <c r="T47" s="223">
        <f t="shared" si="24"/>
        <v>-101155</v>
      </c>
      <c r="U47" s="23">
        <f t="shared" si="24"/>
        <v>33327</v>
      </c>
      <c r="V47" s="23">
        <f t="shared" si="24"/>
        <v>35462</v>
      </c>
      <c r="W47" s="23">
        <f t="shared" si="24"/>
        <v>8261873</v>
      </c>
      <c r="X47" s="3"/>
    </row>
    <row r="48" spans="1:24">
      <c r="A48" s="16" t="s">
        <v>49</v>
      </c>
      <c r="B48" s="1"/>
      <c r="C48" s="1"/>
      <c r="D48" s="52"/>
      <c r="E48" s="63">
        <v>32998</v>
      </c>
      <c r="F48" s="63">
        <v>35797</v>
      </c>
      <c r="G48" s="63">
        <v>7703387</v>
      </c>
      <c r="H48" s="24">
        <v>100785</v>
      </c>
      <c r="I48" s="63">
        <v>85</v>
      </c>
      <c r="J48" s="63">
        <f>85+65</f>
        <v>150</v>
      </c>
      <c r="K48" s="63">
        <v>164726</v>
      </c>
      <c r="L48" s="24">
        <f t="shared" ref="L48:M51" si="25">+E48+I48</f>
        <v>33083</v>
      </c>
      <c r="M48" s="24">
        <f>+F48+J48</f>
        <v>35947</v>
      </c>
      <c r="N48" s="63">
        <f>+G48+K48+H48</f>
        <v>7968898</v>
      </c>
      <c r="O48" s="226">
        <v>250</v>
      </c>
      <c r="P48" s="226">
        <v>125</v>
      </c>
      <c r="Q48" s="226">
        <v>145820</v>
      </c>
      <c r="R48" s="226">
        <v>-6</v>
      </c>
      <c r="S48" s="226">
        <v>-610</v>
      </c>
      <c r="T48" s="226">
        <v>-51827</v>
      </c>
      <c r="U48" s="63">
        <f t="shared" ref="U48:W51" si="26">SUM(R48,O48,L48)</f>
        <v>33327</v>
      </c>
      <c r="V48" s="63">
        <f t="shared" si="26"/>
        <v>35462</v>
      </c>
      <c r="W48" s="63">
        <f t="shared" si="26"/>
        <v>8062891</v>
      </c>
      <c r="X48" s="3" t="s">
        <v>279</v>
      </c>
    </row>
    <row r="49" spans="1:24" ht="15" customHeight="1">
      <c r="A49" s="16" t="s">
        <v>278</v>
      </c>
      <c r="B49" s="1"/>
      <c r="C49" s="1"/>
      <c r="D49" s="52"/>
      <c r="E49" s="63">
        <v>0</v>
      </c>
      <c r="F49" s="63">
        <v>0</v>
      </c>
      <c r="G49" s="63">
        <v>0</v>
      </c>
      <c r="H49" s="24">
        <v>0</v>
      </c>
      <c r="I49" s="63">
        <v>0</v>
      </c>
      <c r="J49" s="63">
        <v>0</v>
      </c>
      <c r="K49" s="63">
        <v>0</v>
      </c>
      <c r="L49" s="24">
        <f t="shared" si="25"/>
        <v>0</v>
      </c>
      <c r="M49" s="24">
        <f>+F49+J49</f>
        <v>0</v>
      </c>
      <c r="N49" s="63">
        <f>+G49+K49+H49</f>
        <v>0</v>
      </c>
      <c r="O49" s="226">
        <v>0</v>
      </c>
      <c r="P49" s="226">
        <v>0</v>
      </c>
      <c r="Q49" s="226">
        <v>0</v>
      </c>
      <c r="R49" s="226">
        <v>0</v>
      </c>
      <c r="S49" s="226">
        <v>0</v>
      </c>
      <c r="T49" s="226">
        <f>-23000-20000+20000</f>
        <v>-23000</v>
      </c>
      <c r="U49" s="63">
        <f t="shared" si="26"/>
        <v>0</v>
      </c>
      <c r="V49" s="63">
        <f t="shared" si="26"/>
        <v>0</v>
      </c>
      <c r="W49" s="63">
        <f t="shared" si="26"/>
        <v>-23000</v>
      </c>
      <c r="X49" s="3"/>
    </row>
    <row r="50" spans="1:24">
      <c r="A50" s="16" t="s">
        <v>50</v>
      </c>
      <c r="B50" s="1"/>
      <c r="C50" s="1"/>
      <c r="D50" s="52"/>
      <c r="E50" s="63">
        <v>0</v>
      </c>
      <c r="F50" s="63">
        <v>0</v>
      </c>
      <c r="G50" s="63">
        <v>107310</v>
      </c>
      <c r="H50" s="24">
        <v>0</v>
      </c>
      <c r="I50" s="63">
        <v>0</v>
      </c>
      <c r="J50" s="63">
        <v>0</v>
      </c>
      <c r="K50" s="63">
        <v>0</v>
      </c>
      <c r="L50" s="24">
        <f t="shared" si="25"/>
        <v>0</v>
      </c>
      <c r="M50" s="24">
        <f t="shared" si="25"/>
        <v>0</v>
      </c>
      <c r="N50" s="63">
        <f>+G50+K50+H50</f>
        <v>107310</v>
      </c>
      <c r="O50" s="226">
        <v>0</v>
      </c>
      <c r="P50" s="226">
        <v>0</v>
      </c>
      <c r="Q50" s="226">
        <v>141000</v>
      </c>
      <c r="R50" s="226">
        <v>0</v>
      </c>
      <c r="S50" s="226">
        <v>0</v>
      </c>
      <c r="T50" s="226">
        <v>-26328</v>
      </c>
      <c r="U50" s="63">
        <f t="shared" si="26"/>
        <v>0</v>
      </c>
      <c r="V50" s="63">
        <f t="shared" si="26"/>
        <v>0</v>
      </c>
      <c r="W50" s="63">
        <f t="shared" si="26"/>
        <v>221982</v>
      </c>
      <c r="X50" s="3"/>
    </row>
    <row r="51" spans="1:24">
      <c r="A51" s="12" t="s">
        <v>66</v>
      </c>
      <c r="B51" s="1"/>
      <c r="C51" s="1"/>
      <c r="D51" s="52"/>
      <c r="E51" s="63">
        <v>0</v>
      </c>
      <c r="F51" s="63">
        <v>0</v>
      </c>
      <c r="G51" s="63">
        <v>0</v>
      </c>
      <c r="H51" s="24">
        <v>0</v>
      </c>
      <c r="I51" s="63">
        <v>0</v>
      </c>
      <c r="J51" s="63">
        <v>0</v>
      </c>
      <c r="K51" s="63">
        <v>0</v>
      </c>
      <c r="L51" s="24">
        <f t="shared" si="25"/>
        <v>0</v>
      </c>
      <c r="M51" s="24">
        <f t="shared" si="25"/>
        <v>0</v>
      </c>
      <c r="N51" s="63">
        <f>+G51+K51+H51</f>
        <v>0</v>
      </c>
      <c r="O51" s="226">
        <v>0</v>
      </c>
      <c r="P51" s="226">
        <v>0</v>
      </c>
      <c r="Q51" s="226">
        <v>0</v>
      </c>
      <c r="R51" s="226">
        <v>0</v>
      </c>
      <c r="S51" s="226">
        <v>0</v>
      </c>
      <c r="T51" s="226">
        <v>0</v>
      </c>
      <c r="U51" s="63">
        <f t="shared" si="26"/>
        <v>0</v>
      </c>
      <c r="V51" s="63">
        <f t="shared" si="26"/>
        <v>0</v>
      </c>
      <c r="W51" s="63">
        <f t="shared" si="26"/>
        <v>0</v>
      </c>
      <c r="X51" s="3"/>
    </row>
    <row r="52" spans="1:24">
      <c r="A52" s="14" t="s">
        <v>51</v>
      </c>
      <c r="B52" s="15"/>
      <c r="C52" s="15"/>
      <c r="D52" s="51"/>
      <c r="E52" s="25">
        <f>SUM(E53:E55)</f>
        <v>8399</v>
      </c>
      <c r="F52" s="25">
        <f t="shared" ref="F52:W52" si="27">SUM(F53:F55)</f>
        <v>9552</v>
      </c>
      <c r="G52" s="69">
        <f t="shared" si="27"/>
        <v>2030488</v>
      </c>
      <c r="H52" s="69">
        <f t="shared" si="27"/>
        <v>28900</v>
      </c>
      <c r="I52" s="25">
        <f t="shared" si="27"/>
        <v>289</v>
      </c>
      <c r="J52" s="25">
        <f t="shared" si="27"/>
        <v>362</v>
      </c>
      <c r="K52" s="25">
        <f t="shared" si="27"/>
        <v>81981</v>
      </c>
      <c r="L52" s="69">
        <f t="shared" si="27"/>
        <v>8688</v>
      </c>
      <c r="M52" s="69">
        <f t="shared" si="27"/>
        <v>9914</v>
      </c>
      <c r="N52" s="25">
        <f t="shared" si="27"/>
        <v>2141369</v>
      </c>
      <c r="O52" s="225">
        <f t="shared" si="27"/>
        <v>8</v>
      </c>
      <c r="P52" s="225">
        <f t="shared" si="27"/>
        <v>4</v>
      </c>
      <c r="Q52" s="225">
        <f t="shared" si="27"/>
        <v>1519</v>
      </c>
      <c r="R52" s="225">
        <f t="shared" si="27"/>
        <v>0</v>
      </c>
      <c r="S52" s="225">
        <f t="shared" si="27"/>
        <v>-211</v>
      </c>
      <c r="T52" s="225">
        <f t="shared" si="27"/>
        <v>-13927</v>
      </c>
      <c r="U52" s="25">
        <f t="shared" si="27"/>
        <v>8696</v>
      </c>
      <c r="V52" s="25">
        <f t="shared" si="27"/>
        <v>9707</v>
      </c>
      <c r="W52" s="25">
        <f t="shared" si="27"/>
        <v>2128961</v>
      </c>
      <c r="X52" s="3"/>
    </row>
    <row r="53" spans="1:24">
      <c r="A53" s="16" t="s">
        <v>49</v>
      </c>
      <c r="B53" s="1"/>
      <c r="C53" s="1"/>
      <c r="D53" s="52"/>
      <c r="E53" s="63">
        <v>8399</v>
      </c>
      <c r="F53" s="63">
        <v>9552</v>
      </c>
      <c r="G53" s="24">
        <v>2030488</v>
      </c>
      <c r="H53" s="24">
        <v>28900</v>
      </c>
      <c r="I53" s="24">
        <v>289</v>
      </c>
      <c r="J53" s="24">
        <f>73+289</f>
        <v>362</v>
      </c>
      <c r="K53" s="24">
        <f>81981</f>
        <v>81981</v>
      </c>
      <c r="L53" s="24">
        <f t="shared" ref="L53:M58" si="28">+E53+I53</f>
        <v>8688</v>
      </c>
      <c r="M53" s="24">
        <f t="shared" si="28"/>
        <v>9914</v>
      </c>
      <c r="N53" s="63">
        <f>+G53+K53+H53</f>
        <v>2141369</v>
      </c>
      <c r="O53" s="224">
        <v>8</v>
      </c>
      <c r="P53" s="224">
        <v>4</v>
      </c>
      <c r="Q53" s="224">
        <v>1519</v>
      </c>
      <c r="R53" s="224">
        <v>0</v>
      </c>
      <c r="S53" s="224">
        <v>-211</v>
      </c>
      <c r="T53" s="224">
        <v>-13927</v>
      </c>
      <c r="U53" s="63">
        <f t="shared" ref="U53:W58" si="29">SUM(R53,O53,L53)</f>
        <v>8696</v>
      </c>
      <c r="V53" s="63">
        <f t="shared" si="29"/>
        <v>9707</v>
      </c>
      <c r="W53" s="63">
        <f t="shared" si="29"/>
        <v>2128961</v>
      </c>
      <c r="X53" s="3" t="s">
        <v>280</v>
      </c>
    </row>
    <row r="54" spans="1:24">
      <c r="A54" s="16" t="s">
        <v>278</v>
      </c>
      <c r="B54" s="1"/>
      <c r="C54" s="1"/>
      <c r="D54" s="52"/>
      <c r="E54" s="63">
        <v>0</v>
      </c>
      <c r="F54" s="63">
        <v>0</v>
      </c>
      <c r="G54" s="24">
        <v>0</v>
      </c>
      <c r="H54" s="24">
        <v>0</v>
      </c>
      <c r="I54" s="24"/>
      <c r="J54" s="24"/>
      <c r="K54" s="24">
        <v>0</v>
      </c>
      <c r="L54" s="24">
        <f t="shared" si="28"/>
        <v>0</v>
      </c>
      <c r="M54" s="24">
        <f t="shared" si="28"/>
        <v>0</v>
      </c>
      <c r="N54" s="63">
        <f>+G54+K54+H54</f>
        <v>0</v>
      </c>
      <c r="O54" s="224"/>
      <c r="P54" s="224"/>
      <c r="Q54" s="224"/>
      <c r="R54" s="224"/>
      <c r="S54" s="224"/>
      <c r="T54" s="224">
        <f>-30000+30000</f>
        <v>0</v>
      </c>
      <c r="U54" s="63">
        <f t="shared" si="29"/>
        <v>0</v>
      </c>
      <c r="V54" s="63">
        <f t="shared" si="29"/>
        <v>0</v>
      </c>
      <c r="W54" s="63">
        <f t="shared" si="29"/>
        <v>0</v>
      </c>
      <c r="X54" s="3"/>
    </row>
    <row r="55" spans="1:24">
      <c r="A55" s="16" t="s">
        <v>50</v>
      </c>
      <c r="B55" s="1"/>
      <c r="C55" s="1"/>
      <c r="D55" s="52"/>
      <c r="E55" s="63">
        <v>0</v>
      </c>
      <c r="F55" s="63">
        <v>0</v>
      </c>
      <c r="G55" s="24">
        <v>0</v>
      </c>
      <c r="H55" s="24">
        <v>0</v>
      </c>
      <c r="I55" s="63">
        <v>0</v>
      </c>
      <c r="J55" s="63">
        <v>0</v>
      </c>
      <c r="K55" s="63">
        <v>0</v>
      </c>
      <c r="L55" s="24">
        <f t="shared" si="28"/>
        <v>0</v>
      </c>
      <c r="M55" s="24">
        <f t="shared" si="28"/>
        <v>0</v>
      </c>
      <c r="N55" s="63">
        <f>+G55+K55+H55</f>
        <v>0</v>
      </c>
      <c r="O55" s="226">
        <v>0</v>
      </c>
      <c r="P55" s="226">
        <v>0</v>
      </c>
      <c r="Q55" s="226">
        <v>0</v>
      </c>
      <c r="R55" s="226">
        <v>0</v>
      </c>
      <c r="S55" s="226">
        <v>0</v>
      </c>
      <c r="T55" s="226">
        <v>0</v>
      </c>
      <c r="U55" s="63">
        <f t="shared" si="29"/>
        <v>0</v>
      </c>
      <c r="V55" s="63">
        <f t="shared" si="29"/>
        <v>0</v>
      </c>
      <c r="W55" s="63">
        <f t="shared" si="29"/>
        <v>0</v>
      </c>
      <c r="X55" s="3"/>
    </row>
    <row r="56" spans="1:24">
      <c r="A56" s="59" t="s">
        <v>52</v>
      </c>
      <c r="B56" s="60"/>
      <c r="C56" s="60"/>
      <c r="D56" s="61"/>
      <c r="E56" s="63">
        <v>5138</v>
      </c>
      <c r="F56" s="63">
        <v>5117</v>
      </c>
      <c r="G56" s="63">
        <v>1126587</v>
      </c>
      <c r="H56" s="24">
        <v>20041</v>
      </c>
      <c r="I56" s="63">
        <f>108</f>
        <v>108</v>
      </c>
      <c r="J56" s="63">
        <f>46+108</f>
        <v>154</v>
      </c>
      <c r="K56" s="63">
        <v>61289</v>
      </c>
      <c r="L56" s="24">
        <f t="shared" si="28"/>
        <v>5246</v>
      </c>
      <c r="M56" s="24">
        <f t="shared" si="28"/>
        <v>5271</v>
      </c>
      <c r="N56" s="63">
        <f>+G56+K56+H56</f>
        <v>1207917</v>
      </c>
      <c r="O56" s="226">
        <v>15</v>
      </c>
      <c r="P56" s="226">
        <v>7</v>
      </c>
      <c r="Q56" s="226">
        <v>2747</v>
      </c>
      <c r="R56" s="226">
        <v>0</v>
      </c>
      <c r="S56" s="226">
        <v>-110</v>
      </c>
      <c r="T56" s="226">
        <v>-9741</v>
      </c>
      <c r="U56" s="63">
        <f t="shared" si="29"/>
        <v>5261</v>
      </c>
      <c r="V56" s="63">
        <f t="shared" si="29"/>
        <v>5168</v>
      </c>
      <c r="W56" s="63">
        <f t="shared" si="29"/>
        <v>1200923</v>
      </c>
      <c r="X56" s="3"/>
    </row>
    <row r="57" spans="1:24" ht="15" hidden="1" customHeight="1">
      <c r="A57" s="59"/>
      <c r="B57" s="60"/>
      <c r="C57" s="60"/>
      <c r="D57" s="61"/>
      <c r="E57" s="63"/>
      <c r="F57" s="63"/>
      <c r="G57" s="63"/>
      <c r="H57" s="24"/>
      <c r="I57" s="63">
        <v>0</v>
      </c>
      <c r="J57" s="63">
        <v>0</v>
      </c>
      <c r="K57" s="63"/>
      <c r="L57" s="24"/>
      <c r="M57" s="24"/>
      <c r="N57" s="63"/>
      <c r="O57" s="226"/>
      <c r="P57" s="226"/>
      <c r="Q57" s="226"/>
      <c r="R57" s="226"/>
      <c r="S57" s="226"/>
      <c r="T57" s="226"/>
      <c r="U57" s="63">
        <f t="shared" si="29"/>
        <v>0</v>
      </c>
      <c r="V57" s="63">
        <f t="shared" si="29"/>
        <v>0</v>
      </c>
      <c r="W57" s="63">
        <f t="shared" si="29"/>
        <v>0</v>
      </c>
      <c r="X57" s="3"/>
    </row>
    <row r="58" spans="1:24">
      <c r="A58" s="12" t="s">
        <v>116</v>
      </c>
      <c r="B58" s="1"/>
      <c r="C58" s="1"/>
      <c r="D58" s="52"/>
      <c r="E58" s="63">
        <v>0</v>
      </c>
      <c r="F58" s="63">
        <v>0</v>
      </c>
      <c r="G58" s="63">
        <v>0</v>
      </c>
      <c r="H58" s="24">
        <v>0</v>
      </c>
      <c r="I58" s="63">
        <v>0</v>
      </c>
      <c r="J58" s="63">
        <v>0</v>
      </c>
      <c r="K58" s="63">
        <v>0</v>
      </c>
      <c r="L58" s="24">
        <f t="shared" si="28"/>
        <v>0</v>
      </c>
      <c r="M58" s="24">
        <f t="shared" si="28"/>
        <v>0</v>
      </c>
      <c r="N58" s="63">
        <f>+G58+K58+H58</f>
        <v>0</v>
      </c>
      <c r="O58" s="226">
        <v>0</v>
      </c>
      <c r="P58" s="226">
        <v>0</v>
      </c>
      <c r="Q58" s="226">
        <v>0</v>
      </c>
      <c r="R58" s="226">
        <v>0</v>
      </c>
      <c r="S58" s="226">
        <v>0</v>
      </c>
      <c r="T58" s="226">
        <v>0</v>
      </c>
      <c r="U58" s="63">
        <f t="shared" si="29"/>
        <v>0</v>
      </c>
      <c r="V58" s="63">
        <f t="shared" si="29"/>
        <v>0</v>
      </c>
      <c r="W58" s="74">
        <f t="shared" si="29"/>
        <v>0</v>
      </c>
      <c r="X58" s="3"/>
    </row>
    <row r="59" spans="1:24">
      <c r="A59" s="14" t="s">
        <v>53</v>
      </c>
      <c r="B59" s="15"/>
      <c r="C59" s="15"/>
      <c r="D59" s="51"/>
      <c r="E59" s="23">
        <f t="shared" ref="E59:W59" si="30">SUM(E60:E61)</f>
        <v>41840</v>
      </c>
      <c r="F59" s="23">
        <f t="shared" si="30"/>
        <v>38862</v>
      </c>
      <c r="G59" s="17">
        <f t="shared" si="30"/>
        <v>6666881</v>
      </c>
      <c r="H59" s="17">
        <f t="shared" si="30"/>
        <v>417</v>
      </c>
      <c r="I59" s="17">
        <f t="shared" si="30"/>
        <v>-12</v>
      </c>
      <c r="J59" s="17">
        <f t="shared" si="30"/>
        <v>478</v>
      </c>
      <c r="K59" s="17">
        <f t="shared" si="30"/>
        <v>247014</v>
      </c>
      <c r="L59" s="17">
        <f t="shared" si="30"/>
        <v>41828</v>
      </c>
      <c r="M59" s="17">
        <f t="shared" si="30"/>
        <v>39340</v>
      </c>
      <c r="N59" s="17">
        <f t="shared" si="30"/>
        <v>6914312</v>
      </c>
      <c r="O59" s="222">
        <f t="shared" si="30"/>
        <v>378</v>
      </c>
      <c r="P59" s="222">
        <f t="shared" si="30"/>
        <v>189</v>
      </c>
      <c r="Q59" s="222">
        <f t="shared" si="30"/>
        <v>85739</v>
      </c>
      <c r="R59" s="222">
        <f t="shared" si="30"/>
        <v>0</v>
      </c>
      <c r="S59" s="222">
        <f t="shared" si="30"/>
        <v>0</v>
      </c>
      <c r="T59" s="222">
        <f t="shared" si="30"/>
        <v>-41491</v>
      </c>
      <c r="U59" s="17">
        <f t="shared" si="30"/>
        <v>42206</v>
      </c>
      <c r="V59" s="17">
        <f t="shared" si="30"/>
        <v>39529</v>
      </c>
      <c r="W59" s="17">
        <f t="shared" si="30"/>
        <v>6958560</v>
      </c>
      <c r="X59" s="3"/>
    </row>
    <row r="60" spans="1:24">
      <c r="A60" s="16" t="s">
        <v>54</v>
      </c>
      <c r="B60" s="1"/>
      <c r="C60" s="1"/>
      <c r="D60" s="52"/>
      <c r="E60" s="63">
        <v>41553</v>
      </c>
      <c r="F60" s="63">
        <v>38594</v>
      </c>
      <c r="G60" s="24">
        <v>6472726</v>
      </c>
      <c r="H60" s="24">
        <v>0</v>
      </c>
      <c r="I60" s="63">
        <v>0</v>
      </c>
      <c r="J60" s="63">
        <v>490</v>
      </c>
      <c r="K60" s="63">
        <v>341951</v>
      </c>
      <c r="L60" s="24">
        <f>+E60+I60</f>
        <v>41553</v>
      </c>
      <c r="M60" s="24">
        <f>+F60+J60</f>
        <v>39084</v>
      </c>
      <c r="N60" s="63">
        <f>+G60+K60+H60</f>
        <v>6814677</v>
      </c>
      <c r="O60" s="226">
        <v>378</v>
      </c>
      <c r="P60" s="226">
        <v>189</v>
      </c>
      <c r="Q60" s="226">
        <v>85739</v>
      </c>
      <c r="R60" s="226">
        <v>0</v>
      </c>
      <c r="S60" s="226">
        <v>0</v>
      </c>
      <c r="T60" s="226">
        <v>-41491</v>
      </c>
      <c r="U60" s="63">
        <f t="shared" ref="U60:W61" si="31">SUM(R60,O60,L60)</f>
        <v>41931</v>
      </c>
      <c r="V60" s="63">
        <f t="shared" si="31"/>
        <v>39273</v>
      </c>
      <c r="W60" s="63">
        <f t="shared" si="31"/>
        <v>6858925</v>
      </c>
      <c r="X60" s="3" t="s">
        <v>280</v>
      </c>
    </row>
    <row r="61" spans="1:24">
      <c r="A61" s="16" t="s">
        <v>55</v>
      </c>
      <c r="B61" s="1"/>
      <c r="C61" s="1"/>
      <c r="D61" s="1"/>
      <c r="E61" s="63">
        <v>287</v>
      </c>
      <c r="F61" s="63">
        <v>268</v>
      </c>
      <c r="G61" s="24">
        <v>194155</v>
      </c>
      <c r="H61" s="24">
        <v>417</v>
      </c>
      <c r="I61" s="63">
        <v>-12</v>
      </c>
      <c r="J61" s="63">
        <v>-12</v>
      </c>
      <c r="K61" s="63">
        <v>-94937</v>
      </c>
      <c r="L61" s="24">
        <f>+E61+I61</f>
        <v>275</v>
      </c>
      <c r="M61" s="24">
        <f>+F61+J61</f>
        <v>256</v>
      </c>
      <c r="N61" s="63">
        <f>+G61+K61+H61</f>
        <v>99635</v>
      </c>
      <c r="O61" s="226">
        <v>0</v>
      </c>
      <c r="P61" s="226">
        <v>0</v>
      </c>
      <c r="Q61" s="226">
        <v>0</v>
      </c>
      <c r="R61" s="226">
        <v>0</v>
      </c>
      <c r="S61" s="226">
        <v>0</v>
      </c>
      <c r="T61" s="226">
        <f>-16070+16070</f>
        <v>0</v>
      </c>
      <c r="U61" s="63">
        <f t="shared" si="31"/>
        <v>275</v>
      </c>
      <c r="V61" s="63">
        <f t="shared" si="31"/>
        <v>256</v>
      </c>
      <c r="W61" s="63">
        <f t="shared" si="31"/>
        <v>99635</v>
      </c>
      <c r="X61" s="3" t="s">
        <v>280</v>
      </c>
    </row>
    <row r="62" spans="1:24">
      <c r="A62" s="12" t="s">
        <v>56</v>
      </c>
      <c r="B62" s="18"/>
      <c r="C62" s="18"/>
      <c r="D62" s="18"/>
      <c r="E62" s="24" t="s">
        <v>124</v>
      </c>
      <c r="F62" s="63">
        <v>1806</v>
      </c>
      <c r="G62" s="63">
        <v>2700</v>
      </c>
      <c r="H62" s="24">
        <v>0</v>
      </c>
      <c r="I62" s="24">
        <v>0</v>
      </c>
      <c r="J62" s="63">
        <v>0</v>
      </c>
      <c r="K62" s="63">
        <v>0</v>
      </c>
      <c r="L62" s="24" t="s">
        <v>124</v>
      </c>
      <c r="M62" s="24">
        <f>+F62+J62</f>
        <v>1806</v>
      </c>
      <c r="N62" s="63">
        <f>+G62+K62+H62</f>
        <v>2700</v>
      </c>
      <c r="O62" s="224">
        <v>0</v>
      </c>
      <c r="P62" s="226">
        <v>0</v>
      </c>
      <c r="Q62" s="226">
        <v>0</v>
      </c>
      <c r="R62" s="224">
        <v>0</v>
      </c>
      <c r="S62" s="226">
        <v>0</v>
      </c>
      <c r="T62" s="226">
        <v>0</v>
      </c>
      <c r="U62" s="24" t="s">
        <v>124</v>
      </c>
      <c r="V62" s="63">
        <f>+S62+P62+M62</f>
        <v>1806</v>
      </c>
      <c r="W62" s="63">
        <f>+T62+Q62+N62</f>
        <v>2700</v>
      </c>
      <c r="X62" s="3"/>
    </row>
    <row r="63" spans="1:24" ht="15.75" thickBot="1">
      <c r="A63" s="12" t="s">
        <v>57</v>
      </c>
      <c r="B63" s="1"/>
      <c r="C63" s="1"/>
      <c r="D63" s="1"/>
      <c r="E63" s="24" t="s">
        <v>107</v>
      </c>
      <c r="F63" s="63">
        <v>723</v>
      </c>
      <c r="G63" s="63">
        <v>0</v>
      </c>
      <c r="H63" s="24">
        <v>0</v>
      </c>
      <c r="I63" s="63">
        <v>0</v>
      </c>
      <c r="J63" s="63">
        <v>4</v>
      </c>
      <c r="K63" s="63">
        <v>0</v>
      </c>
      <c r="L63" s="24" t="s">
        <v>107</v>
      </c>
      <c r="M63" s="24">
        <f>+F63+J63</f>
        <v>727</v>
      </c>
      <c r="N63" s="63">
        <f>+G63+K63+H63</f>
        <v>0</v>
      </c>
      <c r="O63" s="224" t="s">
        <v>194</v>
      </c>
      <c r="P63" s="226">
        <v>3</v>
      </c>
      <c r="Q63" s="226">
        <v>0</v>
      </c>
      <c r="R63" s="226">
        <v>0</v>
      </c>
      <c r="S63" s="226">
        <v>0</v>
      </c>
      <c r="T63" s="226">
        <v>0</v>
      </c>
      <c r="U63" s="24" t="s">
        <v>195</v>
      </c>
      <c r="V63" s="63">
        <f>+S63+P63+M63</f>
        <v>730</v>
      </c>
      <c r="W63" s="63">
        <f>+T63+Q63+N63</f>
        <v>0</v>
      </c>
      <c r="X63" s="3"/>
    </row>
    <row r="64" spans="1:24" ht="17.25" thickTop="1" thickBot="1">
      <c r="A64" s="19" t="s">
        <v>58</v>
      </c>
      <c r="B64" s="20"/>
      <c r="C64" s="20"/>
      <c r="D64" s="20"/>
      <c r="E64" s="21">
        <f t="shared" ref="E64:F64" si="32">SUM(E9:E12,E15,E16,E19:E20,E21,E22,E23,E33,E34,E35,E36,E37,E40,E41,E44:E45,E46:E46,E47,E52,E56,E58,E59,E62,E63)</f>
        <v>112354</v>
      </c>
      <c r="F64" s="21">
        <f t="shared" si="32"/>
        <v>120671</v>
      </c>
      <c r="G64" s="21">
        <f>SUM(G9:G12,G15,G16,G19:G20,G21,G22,G23,G33,G34,G35,G36,G37,G40,G41,G44:G45,G46:G46,G47,G52,G56,G58,G59,G62,G63)</f>
        <v>24657675</v>
      </c>
      <c r="H64" s="21">
        <f t="shared" ref="H64:W64" si="33">SUM(H9:H12,H15,H16,H19:H20,H21,H22,H23,H33,H34,H35,H36,H37,H40,H41,H44:H45,H46:H46,H47,H52,H56,H58,H59,H62,H63)</f>
        <v>290732</v>
      </c>
      <c r="I64" s="21">
        <f t="shared" si="33"/>
        <v>676</v>
      </c>
      <c r="J64" s="21">
        <f t="shared" si="33"/>
        <v>2055</v>
      </c>
      <c r="K64" s="21">
        <f t="shared" si="33"/>
        <v>781409</v>
      </c>
      <c r="L64" s="21">
        <f t="shared" si="33"/>
        <v>113030</v>
      </c>
      <c r="M64" s="21">
        <f t="shared" si="33"/>
        <v>122726</v>
      </c>
      <c r="N64" s="21">
        <f t="shared" si="33"/>
        <v>25729816</v>
      </c>
      <c r="O64" s="21">
        <f t="shared" si="33"/>
        <v>729</v>
      </c>
      <c r="P64" s="21">
        <f t="shared" si="33"/>
        <v>439</v>
      </c>
      <c r="Q64" s="21">
        <f t="shared" si="33"/>
        <v>535803</v>
      </c>
      <c r="R64" s="21">
        <f t="shared" si="33"/>
        <v>-25</v>
      </c>
      <c r="S64" s="21">
        <f t="shared" si="33"/>
        <v>-2113</v>
      </c>
      <c r="T64" s="21">
        <f t="shared" si="33"/>
        <v>-236486</v>
      </c>
      <c r="U64" s="21">
        <f t="shared" si="33"/>
        <v>113734</v>
      </c>
      <c r="V64" s="21">
        <f t="shared" si="33"/>
        <v>121052</v>
      </c>
      <c r="W64" s="21">
        <f t="shared" si="33"/>
        <v>26029133</v>
      </c>
      <c r="X64" s="3" t="s">
        <v>1</v>
      </c>
    </row>
    <row r="65" spans="1:24" ht="16.5" thickTop="1" thickBot="1">
      <c r="A65" s="14" t="s">
        <v>59</v>
      </c>
      <c r="B65" s="15"/>
      <c r="C65" s="15"/>
      <c r="D65" s="15"/>
      <c r="E65" s="58">
        <f>SUM(E66,E80,E84)</f>
        <v>977</v>
      </c>
      <c r="F65" s="58">
        <f t="shared" ref="F65:W65" si="34">SUM(F66,F80,F84)</f>
        <v>920</v>
      </c>
      <c r="G65" s="58">
        <f t="shared" si="34"/>
        <v>3175488</v>
      </c>
      <c r="H65" s="58">
        <f t="shared" si="34"/>
        <v>1462</v>
      </c>
      <c r="I65" s="75">
        <f t="shared" si="34"/>
        <v>0</v>
      </c>
      <c r="J65" s="75">
        <f t="shared" si="34"/>
        <v>0</v>
      </c>
      <c r="K65" s="75">
        <f t="shared" si="34"/>
        <v>15994</v>
      </c>
      <c r="L65" s="75">
        <f t="shared" si="34"/>
        <v>977</v>
      </c>
      <c r="M65" s="75">
        <f t="shared" si="34"/>
        <v>920</v>
      </c>
      <c r="N65" s="75">
        <f t="shared" si="34"/>
        <v>3192944</v>
      </c>
      <c r="O65" s="75">
        <f t="shared" si="34"/>
        <v>0</v>
      </c>
      <c r="P65" s="75">
        <f t="shared" si="34"/>
        <v>0</v>
      </c>
      <c r="Q65" s="75">
        <f t="shared" si="34"/>
        <v>112500</v>
      </c>
      <c r="R65" s="75">
        <f t="shared" si="34"/>
        <v>0</v>
      </c>
      <c r="S65" s="75">
        <f t="shared" si="34"/>
        <v>-85</v>
      </c>
      <c r="T65" s="75">
        <f t="shared" si="34"/>
        <v>-533197</v>
      </c>
      <c r="U65" s="75">
        <f t="shared" si="34"/>
        <v>977</v>
      </c>
      <c r="V65" s="75">
        <f t="shared" si="34"/>
        <v>835</v>
      </c>
      <c r="W65" s="75">
        <f t="shared" si="34"/>
        <v>2772247</v>
      </c>
      <c r="X65" s="3"/>
    </row>
    <row r="66" spans="1:24" ht="15.75" thickTop="1">
      <c r="A66" s="14" t="s">
        <v>60</v>
      </c>
      <c r="B66" s="15"/>
      <c r="C66" s="15"/>
      <c r="D66" s="15"/>
      <c r="E66" s="75">
        <f>SUM(E67,E70,E71,E74,E77,E78,E79)</f>
        <v>702</v>
      </c>
      <c r="F66" s="75">
        <f t="shared" ref="F66:W66" si="35">SUM(F67,F70,F71,F74,F77,F78,F79)</f>
        <v>680</v>
      </c>
      <c r="G66" s="75">
        <f t="shared" si="35"/>
        <v>2106318</v>
      </c>
      <c r="H66" s="75">
        <f t="shared" si="35"/>
        <v>1122</v>
      </c>
      <c r="I66" s="75">
        <f t="shared" si="35"/>
        <v>0</v>
      </c>
      <c r="J66" s="75">
        <f t="shared" si="35"/>
        <v>0</v>
      </c>
      <c r="K66" s="75">
        <f t="shared" si="35"/>
        <v>16496</v>
      </c>
      <c r="L66" s="75">
        <f t="shared" si="35"/>
        <v>702</v>
      </c>
      <c r="M66" s="75">
        <f t="shared" si="35"/>
        <v>680</v>
      </c>
      <c r="N66" s="75">
        <f t="shared" si="35"/>
        <v>2123936</v>
      </c>
      <c r="O66" s="75">
        <f t="shared" si="35"/>
        <v>0</v>
      </c>
      <c r="P66" s="75">
        <f t="shared" si="35"/>
        <v>0</v>
      </c>
      <c r="Q66" s="75">
        <f t="shared" si="35"/>
        <v>112000</v>
      </c>
      <c r="R66" s="75">
        <f t="shared" si="35"/>
        <v>0</v>
      </c>
      <c r="S66" s="75">
        <f t="shared" si="35"/>
        <v>-71</v>
      </c>
      <c r="T66" s="75">
        <f t="shared" si="35"/>
        <v>-520597</v>
      </c>
      <c r="U66" s="75">
        <f t="shared" si="35"/>
        <v>702</v>
      </c>
      <c r="V66" s="75">
        <f t="shared" si="35"/>
        <v>609</v>
      </c>
      <c r="W66" s="75">
        <f t="shared" si="35"/>
        <v>1715339</v>
      </c>
      <c r="X66" s="3"/>
    </row>
    <row r="67" spans="1:24">
      <c r="A67" s="14" t="s">
        <v>61</v>
      </c>
      <c r="B67" s="15"/>
      <c r="C67" s="15"/>
      <c r="D67" s="15"/>
      <c r="E67" s="25">
        <f t="shared" ref="E67:W67" si="36">+E68+E69</f>
        <v>0</v>
      </c>
      <c r="F67" s="25">
        <f t="shared" si="36"/>
        <v>0</v>
      </c>
      <c r="G67" s="25">
        <f t="shared" si="36"/>
        <v>235000</v>
      </c>
      <c r="H67" s="25">
        <f t="shared" si="36"/>
        <v>0</v>
      </c>
      <c r="I67" s="25">
        <f t="shared" si="36"/>
        <v>0</v>
      </c>
      <c r="J67" s="25">
        <f t="shared" si="36"/>
        <v>0</v>
      </c>
      <c r="K67" s="25">
        <f t="shared" si="36"/>
        <v>0</v>
      </c>
      <c r="L67" s="25">
        <f t="shared" si="36"/>
        <v>0</v>
      </c>
      <c r="M67" s="25">
        <f t="shared" si="36"/>
        <v>0</v>
      </c>
      <c r="N67" s="25">
        <f t="shared" si="36"/>
        <v>235000</v>
      </c>
      <c r="O67" s="25">
        <f>+O68+O69</f>
        <v>0</v>
      </c>
      <c r="P67" s="25">
        <f>+P68+P69</f>
        <v>0</v>
      </c>
      <c r="Q67" s="25">
        <f>+Q68+Q69</f>
        <v>0</v>
      </c>
      <c r="R67" s="25">
        <f t="shared" si="36"/>
        <v>0</v>
      </c>
      <c r="S67" s="25">
        <f t="shared" si="36"/>
        <v>0</v>
      </c>
      <c r="T67" s="25">
        <f t="shared" si="36"/>
        <v>-32000</v>
      </c>
      <c r="U67" s="25">
        <f t="shared" si="36"/>
        <v>0</v>
      </c>
      <c r="V67" s="25">
        <f t="shared" si="36"/>
        <v>0</v>
      </c>
      <c r="W67" s="25">
        <f t="shared" si="36"/>
        <v>203000</v>
      </c>
      <c r="X67" s="3"/>
    </row>
    <row r="68" spans="1:24">
      <c r="A68" s="16" t="s">
        <v>62</v>
      </c>
      <c r="B68" s="1"/>
      <c r="C68" s="1"/>
      <c r="D68" s="1"/>
      <c r="E68" s="63">
        <v>0</v>
      </c>
      <c r="F68" s="63">
        <v>0</v>
      </c>
      <c r="G68" s="24">
        <v>235000</v>
      </c>
      <c r="H68" s="24">
        <v>0</v>
      </c>
      <c r="I68" s="63">
        <v>0</v>
      </c>
      <c r="J68" s="63">
        <v>0</v>
      </c>
      <c r="K68" s="63">
        <v>0</v>
      </c>
      <c r="L68" s="24">
        <f t="shared" ref="L68:M69" si="37">+E68+I68</f>
        <v>0</v>
      </c>
      <c r="M68" s="24">
        <f t="shared" si="37"/>
        <v>0</v>
      </c>
      <c r="N68" s="63">
        <f>+G68+K68+H68</f>
        <v>235000</v>
      </c>
      <c r="O68" s="63">
        <v>0</v>
      </c>
      <c r="P68" s="63">
        <v>0</v>
      </c>
      <c r="Q68" s="63">
        <v>0</v>
      </c>
      <c r="R68" s="63">
        <v>0</v>
      </c>
      <c r="S68" s="63">
        <v>0</v>
      </c>
      <c r="T68" s="63">
        <v>-32000</v>
      </c>
      <c r="U68" s="63">
        <f t="shared" ref="U68:W70" si="38">SUM(R68,O68,L68)</f>
        <v>0</v>
      </c>
      <c r="V68" s="63">
        <f t="shared" si="38"/>
        <v>0</v>
      </c>
      <c r="W68" s="63">
        <f t="shared" si="38"/>
        <v>203000</v>
      </c>
      <c r="X68" s="3"/>
    </row>
    <row r="69" spans="1:24">
      <c r="A69" s="12" t="s">
        <v>63</v>
      </c>
      <c r="B69" s="1"/>
      <c r="C69" s="1"/>
      <c r="D69" s="1"/>
      <c r="E69" s="63">
        <v>0</v>
      </c>
      <c r="F69" s="63">
        <v>0</v>
      </c>
      <c r="G69" s="63">
        <v>0</v>
      </c>
      <c r="H69" s="24">
        <v>0</v>
      </c>
      <c r="I69" s="63">
        <v>0</v>
      </c>
      <c r="J69" s="63">
        <v>0</v>
      </c>
      <c r="K69" s="63">
        <v>0</v>
      </c>
      <c r="L69" s="24">
        <f t="shared" si="37"/>
        <v>0</v>
      </c>
      <c r="M69" s="24">
        <f t="shared" si="37"/>
        <v>0</v>
      </c>
      <c r="N69" s="63">
        <f>+G69+K69+H69</f>
        <v>0</v>
      </c>
      <c r="O69" s="63">
        <v>0</v>
      </c>
      <c r="P69" s="63">
        <v>0</v>
      </c>
      <c r="Q69" s="63">
        <v>0</v>
      </c>
      <c r="R69" s="63">
        <v>0</v>
      </c>
      <c r="S69" s="63">
        <v>0</v>
      </c>
      <c r="T69" s="63">
        <v>0</v>
      </c>
      <c r="U69" s="63">
        <f t="shared" si="38"/>
        <v>0</v>
      </c>
      <c r="V69" s="63">
        <f t="shared" si="38"/>
        <v>0</v>
      </c>
      <c r="W69" s="63">
        <f t="shared" si="38"/>
        <v>0</v>
      </c>
      <c r="X69" s="3"/>
    </row>
    <row r="70" spans="1:24">
      <c r="A70" s="12" t="s">
        <v>236</v>
      </c>
      <c r="B70" s="1"/>
      <c r="C70" s="1"/>
      <c r="D70" s="1"/>
      <c r="E70" s="63">
        <v>702</v>
      </c>
      <c r="F70" s="63">
        <v>680</v>
      </c>
      <c r="G70" s="63">
        <v>160218</v>
      </c>
      <c r="H70" s="24">
        <v>1122</v>
      </c>
      <c r="I70" s="63">
        <v>0</v>
      </c>
      <c r="J70" s="63">
        <f>1312-1312</f>
        <v>0</v>
      </c>
      <c r="K70" s="63">
        <v>16496</v>
      </c>
      <c r="L70" s="24">
        <f>SUM(E70,I70)</f>
        <v>702</v>
      </c>
      <c r="M70" s="24">
        <f>SUM(F70,J70)</f>
        <v>680</v>
      </c>
      <c r="N70" s="63">
        <f>SUM(G70,K70,H70)</f>
        <v>177836</v>
      </c>
      <c r="O70" s="63">
        <v>0</v>
      </c>
      <c r="P70" s="63">
        <v>0</v>
      </c>
      <c r="Q70" s="63">
        <v>0</v>
      </c>
      <c r="R70" s="63">
        <v>0</v>
      </c>
      <c r="S70" s="63">
        <f>-1312-71+1312</f>
        <v>-71</v>
      </c>
      <c r="T70" s="63">
        <v>-4797</v>
      </c>
      <c r="U70" s="63">
        <f t="shared" si="38"/>
        <v>702</v>
      </c>
      <c r="V70" s="63">
        <f t="shared" si="38"/>
        <v>609</v>
      </c>
      <c r="W70" s="63">
        <f t="shared" si="38"/>
        <v>173039</v>
      </c>
      <c r="X70" s="3"/>
    </row>
    <row r="71" spans="1:24">
      <c r="A71" s="22" t="s">
        <v>64</v>
      </c>
      <c r="B71" s="15"/>
      <c r="C71" s="15"/>
      <c r="D71" s="15"/>
      <c r="E71" s="23">
        <f t="shared" ref="E71:W71" si="39">+E72+E73</f>
        <v>0</v>
      </c>
      <c r="F71" s="23">
        <f t="shared" si="39"/>
        <v>0</v>
      </c>
      <c r="G71" s="23">
        <f t="shared" si="39"/>
        <v>332500</v>
      </c>
      <c r="H71" s="23">
        <f t="shared" si="39"/>
        <v>0</v>
      </c>
      <c r="I71" s="23">
        <f t="shared" si="39"/>
        <v>0</v>
      </c>
      <c r="J71" s="23">
        <f t="shared" si="39"/>
        <v>0</v>
      </c>
      <c r="K71" s="23">
        <f t="shared" si="39"/>
        <v>0</v>
      </c>
      <c r="L71" s="23">
        <f t="shared" si="39"/>
        <v>0</v>
      </c>
      <c r="M71" s="23">
        <f t="shared" si="39"/>
        <v>0</v>
      </c>
      <c r="N71" s="23">
        <f t="shared" si="39"/>
        <v>332500</v>
      </c>
      <c r="O71" s="23">
        <f>+O72+O73</f>
        <v>0</v>
      </c>
      <c r="P71" s="23">
        <f>+P72+P73</f>
        <v>0</v>
      </c>
      <c r="Q71" s="23">
        <f>+Q72+Q73</f>
        <v>0</v>
      </c>
      <c r="R71" s="23">
        <f t="shared" si="39"/>
        <v>0</v>
      </c>
      <c r="S71" s="23">
        <f t="shared" si="39"/>
        <v>0</v>
      </c>
      <c r="T71" s="23">
        <f t="shared" si="39"/>
        <v>-97500</v>
      </c>
      <c r="U71" s="23">
        <f t="shared" si="39"/>
        <v>0</v>
      </c>
      <c r="V71" s="23">
        <f t="shared" si="39"/>
        <v>0</v>
      </c>
      <c r="W71" s="23">
        <f t="shared" si="39"/>
        <v>235000</v>
      </c>
      <c r="X71" s="3"/>
    </row>
    <row r="72" spans="1:24">
      <c r="A72" s="16" t="s">
        <v>65</v>
      </c>
      <c r="B72" s="1"/>
      <c r="C72" s="1"/>
      <c r="D72" s="1"/>
      <c r="E72" s="63">
        <v>0</v>
      </c>
      <c r="F72" s="63">
        <v>0</v>
      </c>
      <c r="G72" s="63">
        <v>332500</v>
      </c>
      <c r="H72" s="24">
        <v>0</v>
      </c>
      <c r="I72" s="63">
        <v>0</v>
      </c>
      <c r="J72" s="70">
        <v>0</v>
      </c>
      <c r="K72" s="70">
        <v>0</v>
      </c>
      <c r="L72" s="24">
        <f>+E72+I72</f>
        <v>0</v>
      </c>
      <c r="M72" s="24">
        <f>+F72+J72</f>
        <v>0</v>
      </c>
      <c r="N72" s="63">
        <f>+G72+K72+H72</f>
        <v>332500</v>
      </c>
      <c r="O72" s="63">
        <v>0</v>
      </c>
      <c r="P72" s="63">
        <v>0</v>
      </c>
      <c r="Q72" s="63">
        <v>0</v>
      </c>
      <c r="R72" s="63">
        <v>0</v>
      </c>
      <c r="S72" s="63">
        <v>0</v>
      </c>
      <c r="T72" s="63">
        <v>-97500</v>
      </c>
      <c r="U72" s="63">
        <f t="shared" ref="U72:W73" si="40">SUM(R72,O72,L72)</f>
        <v>0</v>
      </c>
      <c r="V72" s="63">
        <f t="shared" si="40"/>
        <v>0</v>
      </c>
      <c r="W72" s="63">
        <f t="shared" si="40"/>
        <v>235000</v>
      </c>
      <c r="X72" s="3"/>
    </row>
    <row r="73" spans="1:24">
      <c r="A73" s="12" t="s">
        <v>66</v>
      </c>
      <c r="B73" s="1"/>
      <c r="C73" s="1"/>
      <c r="D73" s="1"/>
      <c r="E73" s="63">
        <v>0</v>
      </c>
      <c r="F73" s="63">
        <v>0</v>
      </c>
      <c r="G73" s="63">
        <v>0</v>
      </c>
      <c r="H73" s="24">
        <v>0</v>
      </c>
      <c r="I73" s="63">
        <v>0</v>
      </c>
      <c r="J73" s="63">
        <v>0</v>
      </c>
      <c r="K73" s="63">
        <v>0</v>
      </c>
      <c r="L73" s="24">
        <f>+E73+I73</f>
        <v>0</v>
      </c>
      <c r="M73" s="24">
        <f>+F73+J73</f>
        <v>0</v>
      </c>
      <c r="N73" s="63">
        <f>+G73+K73+H73</f>
        <v>0</v>
      </c>
      <c r="O73" s="63">
        <v>0</v>
      </c>
      <c r="P73" s="63">
        <v>0</v>
      </c>
      <c r="Q73" s="63">
        <v>0</v>
      </c>
      <c r="R73" s="63">
        <v>0</v>
      </c>
      <c r="S73" s="63">
        <v>0</v>
      </c>
      <c r="T73" s="63">
        <v>0</v>
      </c>
      <c r="U73" s="63">
        <f t="shared" si="40"/>
        <v>0</v>
      </c>
      <c r="V73" s="63">
        <f t="shared" si="40"/>
        <v>0</v>
      </c>
      <c r="W73" s="63">
        <f t="shared" si="40"/>
        <v>0</v>
      </c>
      <c r="X73" s="3"/>
    </row>
    <row r="74" spans="1:24">
      <c r="A74" s="22" t="s">
        <v>67</v>
      </c>
      <c r="B74" s="15"/>
      <c r="C74" s="15"/>
      <c r="D74" s="15"/>
      <c r="E74" s="25">
        <f t="shared" ref="E74:W74" si="41">+E75+E76</f>
        <v>0</v>
      </c>
      <c r="F74" s="25">
        <f t="shared" si="41"/>
        <v>0</v>
      </c>
      <c r="G74" s="25">
        <f t="shared" si="41"/>
        <v>1349500</v>
      </c>
      <c r="H74" s="25">
        <f t="shared" si="41"/>
        <v>0</v>
      </c>
      <c r="I74" s="25">
        <f t="shared" si="41"/>
        <v>0</v>
      </c>
      <c r="J74" s="25">
        <f t="shared" si="41"/>
        <v>0</v>
      </c>
      <c r="K74" s="25">
        <f t="shared" si="41"/>
        <v>0</v>
      </c>
      <c r="L74" s="25">
        <f t="shared" si="41"/>
        <v>0</v>
      </c>
      <c r="M74" s="25">
        <f t="shared" si="41"/>
        <v>0</v>
      </c>
      <c r="N74" s="25">
        <f t="shared" si="41"/>
        <v>1349500</v>
      </c>
      <c r="O74" s="25">
        <f>+O75+O76</f>
        <v>0</v>
      </c>
      <c r="P74" s="25">
        <f>+P75+P76</f>
        <v>0</v>
      </c>
      <c r="Q74" s="25">
        <f>+Q75+Q76</f>
        <v>112000</v>
      </c>
      <c r="R74" s="25">
        <f t="shared" si="41"/>
        <v>0</v>
      </c>
      <c r="S74" s="25">
        <f t="shared" si="41"/>
        <v>0</v>
      </c>
      <c r="T74" s="25">
        <f t="shared" si="41"/>
        <v>-331500</v>
      </c>
      <c r="U74" s="25">
        <f t="shared" si="41"/>
        <v>0</v>
      </c>
      <c r="V74" s="25">
        <f t="shared" si="41"/>
        <v>0</v>
      </c>
      <c r="W74" s="25">
        <f t="shared" si="41"/>
        <v>1130000</v>
      </c>
      <c r="X74" s="3"/>
    </row>
    <row r="75" spans="1:24">
      <c r="A75" s="16" t="s">
        <v>68</v>
      </c>
      <c r="B75" s="1"/>
      <c r="C75" s="1"/>
      <c r="D75" s="1"/>
      <c r="E75" s="63">
        <v>0</v>
      </c>
      <c r="F75" s="63">
        <v>0</v>
      </c>
      <c r="G75" s="63">
        <v>1349500</v>
      </c>
      <c r="H75" s="24">
        <v>0</v>
      </c>
      <c r="I75" s="63">
        <v>0</v>
      </c>
      <c r="J75" s="63">
        <v>0</v>
      </c>
      <c r="K75" s="63">
        <v>0</v>
      </c>
      <c r="L75" s="24">
        <f t="shared" ref="L75:M79" si="42">+E75+I75</f>
        <v>0</v>
      </c>
      <c r="M75" s="24">
        <f t="shared" si="42"/>
        <v>0</v>
      </c>
      <c r="N75" s="63">
        <f>+G75+K75+H75</f>
        <v>1349500</v>
      </c>
      <c r="O75" s="63">
        <v>0</v>
      </c>
      <c r="P75" s="63">
        <v>0</v>
      </c>
      <c r="Q75" s="63">
        <v>112000</v>
      </c>
      <c r="R75" s="63">
        <v>0</v>
      </c>
      <c r="S75" s="63">
        <v>0</v>
      </c>
      <c r="T75" s="63">
        <f>-219500+219500-331500</f>
        <v>-331500</v>
      </c>
      <c r="U75" s="63">
        <f t="shared" ref="U75:W79" si="43">SUM(R75,O75,L75)</f>
        <v>0</v>
      </c>
      <c r="V75" s="63">
        <f t="shared" si="43"/>
        <v>0</v>
      </c>
      <c r="W75" s="63">
        <f t="shared" si="43"/>
        <v>1130000</v>
      </c>
      <c r="X75" s="3"/>
    </row>
    <row r="76" spans="1:24">
      <c r="A76" s="12" t="s">
        <v>66</v>
      </c>
      <c r="B76" s="1"/>
      <c r="C76" s="1"/>
      <c r="D76" s="1"/>
      <c r="E76" s="63">
        <v>0</v>
      </c>
      <c r="F76" s="63">
        <v>0</v>
      </c>
      <c r="G76" s="63">
        <v>0</v>
      </c>
      <c r="H76" s="24">
        <v>0</v>
      </c>
      <c r="I76" s="63">
        <v>0</v>
      </c>
      <c r="J76" s="63">
        <v>0</v>
      </c>
      <c r="K76" s="63">
        <v>0</v>
      </c>
      <c r="L76" s="24">
        <f t="shared" si="42"/>
        <v>0</v>
      </c>
      <c r="M76" s="24">
        <f t="shared" si="42"/>
        <v>0</v>
      </c>
      <c r="N76" s="63">
        <f>+G76+K76+H76</f>
        <v>0</v>
      </c>
      <c r="O76" s="63">
        <v>0</v>
      </c>
      <c r="P76" s="63">
        <v>0</v>
      </c>
      <c r="Q76" s="63">
        <v>0</v>
      </c>
      <c r="R76" s="63">
        <v>0</v>
      </c>
      <c r="S76" s="63">
        <v>0</v>
      </c>
      <c r="T76" s="63">
        <v>0</v>
      </c>
      <c r="U76" s="63">
        <f t="shared" si="43"/>
        <v>0</v>
      </c>
      <c r="V76" s="63">
        <f t="shared" si="43"/>
        <v>0</v>
      </c>
      <c r="W76" s="63">
        <f t="shared" si="43"/>
        <v>0</v>
      </c>
      <c r="X76" s="3"/>
    </row>
    <row r="77" spans="1:24">
      <c r="A77" s="16" t="s">
        <v>69</v>
      </c>
      <c r="B77" s="1"/>
      <c r="C77" s="1"/>
      <c r="D77" s="1"/>
      <c r="E77" s="63">
        <v>0</v>
      </c>
      <c r="F77" s="63">
        <v>0</v>
      </c>
      <c r="G77" s="63">
        <v>20000</v>
      </c>
      <c r="H77" s="24">
        <v>0</v>
      </c>
      <c r="I77" s="63">
        <v>0</v>
      </c>
      <c r="J77" s="63">
        <v>0</v>
      </c>
      <c r="K77" s="63">
        <v>0</v>
      </c>
      <c r="L77" s="24">
        <f t="shared" si="42"/>
        <v>0</v>
      </c>
      <c r="M77" s="24">
        <f t="shared" si="42"/>
        <v>0</v>
      </c>
      <c r="N77" s="63">
        <f>+G77+K77+H77</f>
        <v>20000</v>
      </c>
      <c r="O77" s="63">
        <v>0</v>
      </c>
      <c r="P77" s="63">
        <v>0</v>
      </c>
      <c r="Q77" s="63">
        <v>0</v>
      </c>
      <c r="R77" s="63">
        <v>0</v>
      </c>
      <c r="S77" s="63">
        <v>0</v>
      </c>
      <c r="T77" s="63">
        <v>-20000</v>
      </c>
      <c r="U77" s="63">
        <f t="shared" si="43"/>
        <v>0</v>
      </c>
      <c r="V77" s="63">
        <f t="shared" si="43"/>
        <v>0</v>
      </c>
      <c r="W77" s="63">
        <f t="shared" si="43"/>
        <v>0</v>
      </c>
      <c r="X77" s="3"/>
    </row>
    <row r="78" spans="1:24">
      <c r="A78" s="12" t="s">
        <v>70</v>
      </c>
      <c r="B78" s="1"/>
      <c r="C78" s="1"/>
      <c r="D78" s="1"/>
      <c r="E78" s="63">
        <v>0</v>
      </c>
      <c r="F78" s="63">
        <v>0</v>
      </c>
      <c r="G78" s="63">
        <v>9100</v>
      </c>
      <c r="H78" s="24">
        <v>0</v>
      </c>
      <c r="I78" s="63">
        <v>0</v>
      </c>
      <c r="J78" s="63">
        <v>0</v>
      </c>
      <c r="K78" s="63">
        <v>0</v>
      </c>
      <c r="L78" s="24">
        <f t="shared" si="42"/>
        <v>0</v>
      </c>
      <c r="M78" s="24">
        <f t="shared" si="42"/>
        <v>0</v>
      </c>
      <c r="N78" s="63">
        <f>+G78+K78+H78</f>
        <v>9100</v>
      </c>
      <c r="O78" s="63">
        <v>0</v>
      </c>
      <c r="P78" s="63">
        <v>0</v>
      </c>
      <c r="Q78" s="63">
        <v>0</v>
      </c>
      <c r="R78" s="63">
        <v>0</v>
      </c>
      <c r="S78" s="63">
        <v>0</v>
      </c>
      <c r="T78" s="63">
        <v>7200</v>
      </c>
      <c r="U78" s="63">
        <f t="shared" si="43"/>
        <v>0</v>
      </c>
      <c r="V78" s="63">
        <f t="shared" si="43"/>
        <v>0</v>
      </c>
      <c r="W78" s="63">
        <f t="shared" si="43"/>
        <v>16300</v>
      </c>
      <c r="X78" s="3"/>
    </row>
    <row r="79" spans="1:24">
      <c r="A79" s="12" t="s">
        <v>71</v>
      </c>
      <c r="B79" s="1"/>
      <c r="C79" s="1"/>
      <c r="D79" s="1"/>
      <c r="E79" s="63">
        <v>0</v>
      </c>
      <c r="F79" s="63">
        <v>0</v>
      </c>
      <c r="G79" s="63">
        <v>0</v>
      </c>
      <c r="H79" s="24">
        <v>0</v>
      </c>
      <c r="I79" s="63">
        <v>0</v>
      </c>
      <c r="J79" s="63">
        <v>0</v>
      </c>
      <c r="K79" s="63">
        <v>0</v>
      </c>
      <c r="L79" s="24">
        <f t="shared" si="42"/>
        <v>0</v>
      </c>
      <c r="M79" s="24">
        <f t="shared" si="42"/>
        <v>0</v>
      </c>
      <c r="N79" s="63">
        <f>+G79+K79+H79</f>
        <v>0</v>
      </c>
      <c r="O79" s="63">
        <v>0</v>
      </c>
      <c r="P79" s="63">
        <v>0</v>
      </c>
      <c r="Q79" s="63">
        <v>0</v>
      </c>
      <c r="R79" s="63">
        <v>0</v>
      </c>
      <c r="S79" s="63">
        <v>0</v>
      </c>
      <c r="T79" s="63">
        <v>-42000</v>
      </c>
      <c r="U79" s="63">
        <f t="shared" si="43"/>
        <v>0</v>
      </c>
      <c r="V79" s="63">
        <f t="shared" si="43"/>
        <v>0</v>
      </c>
      <c r="W79" s="63">
        <f t="shared" si="43"/>
        <v>-42000</v>
      </c>
      <c r="X79" s="3"/>
    </row>
    <row r="80" spans="1:24">
      <c r="A80" s="22" t="s">
        <v>72</v>
      </c>
      <c r="B80" s="15"/>
      <c r="C80" s="15"/>
      <c r="D80" s="15"/>
      <c r="E80" s="23">
        <f t="shared" ref="E80:W80" si="44">E81+E82+E83</f>
        <v>210</v>
      </c>
      <c r="F80" s="23">
        <f t="shared" si="44"/>
        <v>175</v>
      </c>
      <c r="G80" s="23">
        <f t="shared" si="44"/>
        <v>634962</v>
      </c>
      <c r="H80" s="23">
        <f t="shared" si="44"/>
        <v>121</v>
      </c>
      <c r="I80" s="23">
        <f t="shared" si="44"/>
        <v>0</v>
      </c>
      <c r="J80" s="23">
        <f t="shared" si="44"/>
        <v>0</v>
      </c>
      <c r="K80" s="23">
        <f t="shared" si="44"/>
        <v>-576</v>
      </c>
      <c r="L80" s="23">
        <f t="shared" si="44"/>
        <v>210</v>
      </c>
      <c r="M80" s="23">
        <f t="shared" si="44"/>
        <v>175</v>
      </c>
      <c r="N80" s="23">
        <f t="shared" si="44"/>
        <v>634507</v>
      </c>
      <c r="O80" s="23">
        <f>O81+O82+O83</f>
        <v>0</v>
      </c>
      <c r="P80" s="23">
        <f>P81+P82+P83</f>
        <v>0</v>
      </c>
      <c r="Q80" s="23">
        <f>Q81+Q82+Q83</f>
        <v>0</v>
      </c>
      <c r="R80" s="23">
        <f t="shared" si="44"/>
        <v>0</v>
      </c>
      <c r="S80" s="23">
        <f t="shared" si="44"/>
        <v>-13</v>
      </c>
      <c r="T80" s="23">
        <f t="shared" si="44"/>
        <v>-12514</v>
      </c>
      <c r="U80" s="23">
        <f t="shared" si="44"/>
        <v>210</v>
      </c>
      <c r="V80" s="23">
        <f t="shared" si="44"/>
        <v>162</v>
      </c>
      <c r="W80" s="23">
        <f t="shared" si="44"/>
        <v>621993</v>
      </c>
      <c r="X80" s="3"/>
    </row>
    <row r="81" spans="1:24">
      <c r="A81" s="16" t="s">
        <v>73</v>
      </c>
      <c r="B81" s="1"/>
      <c r="C81" s="1"/>
      <c r="D81" s="1"/>
      <c r="E81" s="63">
        <v>0</v>
      </c>
      <c r="F81" s="63">
        <v>0</v>
      </c>
      <c r="G81" s="63">
        <v>597500</v>
      </c>
      <c r="H81" s="24">
        <v>0</v>
      </c>
      <c r="I81" s="63">
        <v>0</v>
      </c>
      <c r="J81" s="63">
        <v>0</v>
      </c>
      <c r="K81" s="63">
        <v>0</v>
      </c>
      <c r="L81" s="24">
        <f>+E81+I81</f>
        <v>0</v>
      </c>
      <c r="M81" s="24">
        <f>+F81+J81</f>
        <v>0</v>
      </c>
      <c r="N81" s="63">
        <f>+G81+K81+H81</f>
        <v>597500</v>
      </c>
      <c r="O81" s="63">
        <v>0</v>
      </c>
      <c r="P81" s="63">
        <v>0</v>
      </c>
      <c r="Q81" s="63">
        <f>302000-302000</f>
        <v>0</v>
      </c>
      <c r="R81" s="63">
        <v>0</v>
      </c>
      <c r="S81" s="63">
        <v>0</v>
      </c>
      <c r="T81" s="63">
        <v>-1500</v>
      </c>
      <c r="U81" s="63">
        <f t="shared" ref="U81:W83" si="45">SUM(R81,O81,L81)</f>
        <v>0</v>
      </c>
      <c r="V81" s="63">
        <f t="shared" si="45"/>
        <v>0</v>
      </c>
      <c r="W81" s="63">
        <f t="shared" si="45"/>
        <v>596000</v>
      </c>
      <c r="X81" s="3"/>
    </row>
    <row r="82" spans="1:24">
      <c r="A82" s="12" t="s">
        <v>237</v>
      </c>
      <c r="B82" s="1"/>
      <c r="C82" s="1"/>
      <c r="D82" s="1"/>
      <c r="E82" s="63">
        <v>210</v>
      </c>
      <c r="F82" s="63">
        <v>175</v>
      </c>
      <c r="G82" s="63">
        <v>37462</v>
      </c>
      <c r="H82" s="24">
        <v>121</v>
      </c>
      <c r="I82" s="63">
        <v>0</v>
      </c>
      <c r="J82" s="63">
        <v>0</v>
      </c>
      <c r="K82" s="63">
        <f>-569-7</f>
        <v>-576</v>
      </c>
      <c r="L82" s="24">
        <f>SUM(E82,I82)</f>
        <v>210</v>
      </c>
      <c r="M82" s="24">
        <f>SUM(F82,J82)</f>
        <v>175</v>
      </c>
      <c r="N82" s="63">
        <f>SUM(G82,K82,H82)</f>
        <v>37007</v>
      </c>
      <c r="O82" s="63">
        <v>0</v>
      </c>
      <c r="P82" s="63">
        <v>0</v>
      </c>
      <c r="Q82" s="63">
        <v>0</v>
      </c>
      <c r="R82" s="63">
        <v>0</v>
      </c>
      <c r="S82" s="63">
        <v>-13</v>
      </c>
      <c r="T82" s="63">
        <v>-814</v>
      </c>
      <c r="U82" s="63">
        <f t="shared" si="45"/>
        <v>210</v>
      </c>
      <c r="V82" s="63">
        <f t="shared" si="45"/>
        <v>162</v>
      </c>
      <c r="W82" s="63">
        <f t="shared" si="45"/>
        <v>36193</v>
      </c>
      <c r="X82" s="3" t="s">
        <v>280</v>
      </c>
    </row>
    <row r="83" spans="1:24">
      <c r="A83" s="12" t="s">
        <v>74</v>
      </c>
      <c r="B83" s="1"/>
      <c r="C83" s="1"/>
      <c r="D83" s="1"/>
      <c r="E83" s="63">
        <v>0</v>
      </c>
      <c r="F83" s="63">
        <v>0</v>
      </c>
      <c r="G83" s="63">
        <v>0</v>
      </c>
      <c r="H83" s="24">
        <v>0</v>
      </c>
      <c r="I83" s="63">
        <v>0</v>
      </c>
      <c r="J83" s="63">
        <v>0</v>
      </c>
      <c r="K83" s="63">
        <v>0</v>
      </c>
      <c r="L83" s="24">
        <f>+E83+I83</f>
        <v>0</v>
      </c>
      <c r="M83" s="24">
        <f>+F83+J83</f>
        <v>0</v>
      </c>
      <c r="N83" s="63">
        <f>+G83+K83+H83</f>
        <v>0</v>
      </c>
      <c r="O83" s="63">
        <v>0</v>
      </c>
      <c r="P83" s="63">
        <v>0</v>
      </c>
      <c r="Q83" s="63">
        <v>0</v>
      </c>
      <c r="R83" s="63">
        <v>0</v>
      </c>
      <c r="S83" s="63">
        <v>0</v>
      </c>
      <c r="T83" s="63">
        <v>-10200</v>
      </c>
      <c r="U83" s="63">
        <f t="shared" si="45"/>
        <v>0</v>
      </c>
      <c r="V83" s="63">
        <f t="shared" si="45"/>
        <v>0</v>
      </c>
      <c r="W83" s="63">
        <f t="shared" si="45"/>
        <v>-10200</v>
      </c>
      <c r="X83" s="3"/>
    </row>
    <row r="84" spans="1:24">
      <c r="A84" s="14" t="s">
        <v>75</v>
      </c>
      <c r="B84" s="15"/>
      <c r="C84" s="15"/>
      <c r="D84" s="15"/>
      <c r="E84" s="25">
        <f t="shared" ref="E84:W84" si="46">SUM(E85:E86)</f>
        <v>65</v>
      </c>
      <c r="F84" s="25">
        <f t="shared" si="46"/>
        <v>65</v>
      </c>
      <c r="G84" s="25">
        <f t="shared" si="46"/>
        <v>434208</v>
      </c>
      <c r="H84" s="69">
        <f t="shared" si="46"/>
        <v>219</v>
      </c>
      <c r="I84" s="25">
        <f t="shared" si="46"/>
        <v>0</v>
      </c>
      <c r="J84" s="25">
        <f t="shared" si="46"/>
        <v>0</v>
      </c>
      <c r="K84" s="25">
        <f t="shared" si="46"/>
        <v>74</v>
      </c>
      <c r="L84" s="69">
        <f t="shared" si="46"/>
        <v>65</v>
      </c>
      <c r="M84" s="69">
        <f t="shared" si="46"/>
        <v>65</v>
      </c>
      <c r="N84" s="25">
        <f t="shared" si="46"/>
        <v>434501</v>
      </c>
      <c r="O84" s="25">
        <f t="shared" si="46"/>
        <v>0</v>
      </c>
      <c r="P84" s="25">
        <f t="shared" si="46"/>
        <v>0</v>
      </c>
      <c r="Q84" s="25">
        <f t="shared" si="46"/>
        <v>500</v>
      </c>
      <c r="R84" s="25">
        <f t="shared" si="46"/>
        <v>0</v>
      </c>
      <c r="S84" s="25">
        <f t="shared" si="46"/>
        <v>-1</v>
      </c>
      <c r="T84" s="25">
        <f t="shared" si="46"/>
        <v>-86</v>
      </c>
      <c r="U84" s="25">
        <f t="shared" si="46"/>
        <v>65</v>
      </c>
      <c r="V84" s="25">
        <f t="shared" si="46"/>
        <v>64</v>
      </c>
      <c r="W84" s="25">
        <f t="shared" si="46"/>
        <v>434915</v>
      </c>
      <c r="X84" s="3"/>
    </row>
    <row r="85" spans="1:24">
      <c r="A85" s="12" t="s">
        <v>76</v>
      </c>
      <c r="B85" s="1"/>
      <c r="C85" s="1"/>
      <c r="D85" s="1"/>
      <c r="E85" s="63">
        <v>0</v>
      </c>
      <c r="F85" s="63">
        <v>0</v>
      </c>
      <c r="G85" s="63">
        <v>418500</v>
      </c>
      <c r="H85" s="24">
        <v>0</v>
      </c>
      <c r="I85" s="63">
        <v>0</v>
      </c>
      <c r="J85" s="63">
        <v>0</v>
      </c>
      <c r="K85" s="63">
        <v>0</v>
      </c>
      <c r="L85" s="24">
        <f t="shared" ref="L85:M85" si="47">+E85+I85</f>
        <v>0</v>
      </c>
      <c r="M85" s="24">
        <f t="shared" si="47"/>
        <v>0</v>
      </c>
      <c r="N85" s="63">
        <f>+G85+K85+H85</f>
        <v>418500</v>
      </c>
      <c r="O85" s="63">
        <v>0</v>
      </c>
      <c r="P85" s="63">
        <v>0</v>
      </c>
      <c r="Q85" s="63">
        <v>500</v>
      </c>
      <c r="R85" s="63">
        <v>0</v>
      </c>
      <c r="S85" s="63">
        <v>0</v>
      </c>
      <c r="T85" s="63">
        <v>0</v>
      </c>
      <c r="U85" s="63">
        <f t="shared" ref="U85:W86" si="48">SUM(R85,O85,L85)</f>
        <v>0</v>
      </c>
      <c r="V85" s="63">
        <f t="shared" si="48"/>
        <v>0</v>
      </c>
      <c r="W85" s="63">
        <f t="shared" si="48"/>
        <v>419000</v>
      </c>
      <c r="X85" s="3"/>
    </row>
    <row r="86" spans="1:24">
      <c r="A86" s="12" t="s">
        <v>238</v>
      </c>
      <c r="B86" s="1"/>
      <c r="C86" s="1"/>
      <c r="D86" s="1"/>
      <c r="E86" s="63">
        <v>65</v>
      </c>
      <c r="F86" s="63">
        <v>65</v>
      </c>
      <c r="G86" s="63">
        <v>15708</v>
      </c>
      <c r="H86" s="24">
        <v>219</v>
      </c>
      <c r="I86" s="63">
        <v>0</v>
      </c>
      <c r="J86" s="63">
        <v>0</v>
      </c>
      <c r="K86" s="63">
        <v>74</v>
      </c>
      <c r="L86" s="24">
        <f>SUM(E86,I86)</f>
        <v>65</v>
      </c>
      <c r="M86" s="24">
        <f>SUM(F86,J86)</f>
        <v>65</v>
      </c>
      <c r="N86" s="63">
        <f>SUM(G86,K86,H86)</f>
        <v>16001</v>
      </c>
      <c r="O86" s="63">
        <v>0</v>
      </c>
      <c r="P86" s="63">
        <v>0</v>
      </c>
      <c r="Q86" s="63">
        <v>0</v>
      </c>
      <c r="R86" s="63">
        <v>0</v>
      </c>
      <c r="S86" s="63">
        <v>-1</v>
      </c>
      <c r="T86" s="63">
        <v>-86</v>
      </c>
      <c r="U86" s="63">
        <f t="shared" si="48"/>
        <v>65</v>
      </c>
      <c r="V86" s="63">
        <f t="shared" si="48"/>
        <v>64</v>
      </c>
      <c r="W86" s="63">
        <f t="shared" si="48"/>
        <v>15915</v>
      </c>
      <c r="X86" s="3"/>
    </row>
    <row r="87" spans="1:24">
      <c r="A87" s="14" t="s">
        <v>239</v>
      </c>
      <c r="B87" s="15"/>
      <c r="C87" s="15"/>
      <c r="D87" s="15"/>
      <c r="E87" s="23">
        <f>SUM(E70,E82,E86)</f>
        <v>977</v>
      </c>
      <c r="F87" s="23">
        <f t="shared" ref="F87:W87" si="49">SUM(F70,F82,F86)</f>
        <v>920</v>
      </c>
      <c r="G87" s="23">
        <f t="shared" si="49"/>
        <v>213388</v>
      </c>
      <c r="H87" s="17">
        <f t="shared" si="49"/>
        <v>1462</v>
      </c>
      <c r="I87" s="23">
        <f t="shared" si="49"/>
        <v>0</v>
      </c>
      <c r="J87" s="23">
        <f t="shared" si="49"/>
        <v>0</v>
      </c>
      <c r="K87" s="23">
        <f t="shared" si="49"/>
        <v>15994</v>
      </c>
      <c r="L87" s="17">
        <f t="shared" si="49"/>
        <v>977</v>
      </c>
      <c r="M87" s="17">
        <f t="shared" si="49"/>
        <v>920</v>
      </c>
      <c r="N87" s="23">
        <f t="shared" si="49"/>
        <v>230844</v>
      </c>
      <c r="O87" s="23">
        <f t="shared" si="49"/>
        <v>0</v>
      </c>
      <c r="P87" s="23">
        <f t="shared" si="49"/>
        <v>0</v>
      </c>
      <c r="Q87" s="23">
        <f t="shared" si="49"/>
        <v>0</v>
      </c>
      <c r="R87" s="23">
        <f t="shared" si="49"/>
        <v>0</v>
      </c>
      <c r="S87" s="23">
        <f t="shared" si="49"/>
        <v>-85</v>
      </c>
      <c r="T87" s="23">
        <f t="shared" si="49"/>
        <v>-5697</v>
      </c>
      <c r="U87" s="23">
        <f t="shared" si="49"/>
        <v>977</v>
      </c>
      <c r="V87" s="23">
        <f t="shared" si="49"/>
        <v>835</v>
      </c>
      <c r="W87" s="23">
        <f t="shared" si="49"/>
        <v>225147</v>
      </c>
      <c r="X87" s="3"/>
    </row>
    <row r="88" spans="1:24" hidden="1">
      <c r="A88" s="16" t="s">
        <v>99</v>
      </c>
      <c r="B88" s="1"/>
      <c r="C88" s="1"/>
      <c r="D88" s="1"/>
      <c r="E88" s="63">
        <v>0</v>
      </c>
      <c r="F88" s="63">
        <v>0</v>
      </c>
      <c r="G88" s="63">
        <v>0</v>
      </c>
      <c r="H88" s="24">
        <v>0</v>
      </c>
      <c r="I88" s="63">
        <v>0</v>
      </c>
      <c r="J88" s="63">
        <v>0</v>
      </c>
      <c r="K88" s="63">
        <v>0</v>
      </c>
      <c r="L88" s="24">
        <f t="shared" ref="L88:M90" si="50">+E88+I88</f>
        <v>0</v>
      </c>
      <c r="M88" s="24">
        <f t="shared" si="50"/>
        <v>0</v>
      </c>
      <c r="N88" s="63">
        <f>+G88+K88+H88</f>
        <v>0</v>
      </c>
      <c r="O88" s="63">
        <v>0</v>
      </c>
      <c r="P88" s="63">
        <v>0</v>
      </c>
      <c r="Q88" s="63">
        <v>0</v>
      </c>
      <c r="R88" s="63">
        <v>0</v>
      </c>
      <c r="S88" s="63">
        <v>0</v>
      </c>
      <c r="T88" s="63">
        <v>0</v>
      </c>
      <c r="U88" s="63">
        <f t="shared" ref="U88:W90" si="51">+R88+O88+L88</f>
        <v>0</v>
      </c>
      <c r="V88" s="63">
        <f t="shared" si="51"/>
        <v>0</v>
      </c>
      <c r="W88" s="63">
        <f t="shared" si="51"/>
        <v>0</v>
      </c>
      <c r="X88" s="3"/>
    </row>
    <row r="89" spans="1:24" hidden="1">
      <c r="A89" s="16" t="s">
        <v>100</v>
      </c>
      <c r="B89" s="1"/>
      <c r="C89" s="1"/>
      <c r="D89" s="1"/>
      <c r="E89" s="63">
        <v>0</v>
      </c>
      <c r="F89" s="63">
        <v>0</v>
      </c>
      <c r="G89" s="63">
        <v>0</v>
      </c>
      <c r="H89" s="24">
        <v>0</v>
      </c>
      <c r="I89" s="63">
        <v>0</v>
      </c>
      <c r="J89" s="63">
        <v>0</v>
      </c>
      <c r="K89" s="63">
        <v>0</v>
      </c>
      <c r="L89" s="24">
        <f t="shared" si="50"/>
        <v>0</v>
      </c>
      <c r="M89" s="24">
        <f t="shared" si="50"/>
        <v>0</v>
      </c>
      <c r="N89" s="63">
        <f>+G89+K89+H89</f>
        <v>0</v>
      </c>
      <c r="O89" s="63">
        <v>0</v>
      </c>
      <c r="P89" s="63">
        <v>0</v>
      </c>
      <c r="Q89" s="63">
        <v>0</v>
      </c>
      <c r="R89" s="63">
        <v>0</v>
      </c>
      <c r="S89" s="63">
        <v>0</v>
      </c>
      <c r="T89" s="63">
        <v>0</v>
      </c>
      <c r="U89" s="63">
        <f t="shared" si="51"/>
        <v>0</v>
      </c>
      <c r="V89" s="63">
        <f t="shared" si="51"/>
        <v>0</v>
      </c>
      <c r="W89" s="63">
        <f t="shared" si="51"/>
        <v>0</v>
      </c>
      <c r="X89" s="3"/>
    </row>
    <row r="90" spans="1:24" hidden="1">
      <c r="A90" s="16" t="s">
        <v>101</v>
      </c>
      <c r="B90" s="1"/>
      <c r="C90" s="1"/>
      <c r="D90" s="1"/>
      <c r="E90" s="63">
        <v>0</v>
      </c>
      <c r="F90" s="63">
        <v>0</v>
      </c>
      <c r="G90" s="63">
        <v>0</v>
      </c>
      <c r="H90" s="24">
        <v>0</v>
      </c>
      <c r="I90" s="63">
        <v>0</v>
      </c>
      <c r="J90" s="63">
        <v>0</v>
      </c>
      <c r="K90" s="63">
        <v>0</v>
      </c>
      <c r="L90" s="24">
        <f t="shared" si="50"/>
        <v>0</v>
      </c>
      <c r="M90" s="24">
        <f t="shared" si="50"/>
        <v>0</v>
      </c>
      <c r="N90" s="63">
        <f>+G90+K90+H90</f>
        <v>0</v>
      </c>
      <c r="O90" s="63">
        <v>0</v>
      </c>
      <c r="P90" s="63">
        <v>0</v>
      </c>
      <c r="Q90" s="63">
        <v>0</v>
      </c>
      <c r="R90" s="63">
        <v>0</v>
      </c>
      <c r="S90" s="63">
        <v>0</v>
      </c>
      <c r="T90" s="63">
        <v>0</v>
      </c>
      <c r="U90" s="63">
        <f t="shared" si="51"/>
        <v>0</v>
      </c>
      <c r="V90" s="63">
        <f t="shared" si="51"/>
        <v>0</v>
      </c>
      <c r="W90" s="63">
        <f t="shared" si="51"/>
        <v>0</v>
      </c>
      <c r="X90" s="3"/>
    </row>
    <row r="91" spans="1:24" ht="16.5" thickBot="1">
      <c r="A91" s="218" t="s">
        <v>286</v>
      </c>
      <c r="B91" s="1"/>
      <c r="C91" s="1"/>
      <c r="D91" s="1"/>
      <c r="E91" s="63"/>
      <c r="F91" s="63"/>
      <c r="G91" s="63"/>
      <c r="H91" s="24"/>
      <c r="I91" s="63"/>
      <c r="J91" s="63"/>
      <c r="K91" s="63"/>
      <c r="L91" s="24"/>
      <c r="M91" s="24"/>
      <c r="N91" s="63"/>
      <c r="O91" s="63"/>
      <c r="P91" s="63"/>
      <c r="Q91" s="63"/>
      <c r="R91" s="63"/>
      <c r="S91" s="63"/>
      <c r="T91" s="63"/>
      <c r="U91" s="63"/>
      <c r="V91" s="63"/>
      <c r="W91" s="219">
        <v>0</v>
      </c>
      <c r="X91" s="3"/>
    </row>
    <row r="92" spans="1:24" ht="17.25" thickTop="1" thickBot="1">
      <c r="A92" s="19" t="s">
        <v>118</v>
      </c>
      <c r="B92" s="20"/>
      <c r="C92" s="20"/>
      <c r="D92" s="20"/>
      <c r="E92" s="21">
        <f t="shared" ref="E92:V92" si="52">+E64+E65</f>
        <v>113331</v>
      </c>
      <c r="F92" s="21">
        <f t="shared" si="52"/>
        <v>121591</v>
      </c>
      <c r="G92" s="67">
        <f t="shared" si="52"/>
        <v>27833163</v>
      </c>
      <c r="H92" s="67">
        <f t="shared" si="52"/>
        <v>292194</v>
      </c>
      <c r="I92" s="67">
        <f t="shared" si="52"/>
        <v>676</v>
      </c>
      <c r="J92" s="67">
        <f t="shared" si="52"/>
        <v>2055</v>
      </c>
      <c r="K92" s="67">
        <f t="shared" si="52"/>
        <v>797403</v>
      </c>
      <c r="L92" s="67">
        <f t="shared" si="52"/>
        <v>114007</v>
      </c>
      <c r="M92" s="67">
        <f t="shared" si="52"/>
        <v>123646</v>
      </c>
      <c r="N92" s="67">
        <f t="shared" si="52"/>
        <v>28922760</v>
      </c>
      <c r="O92" s="26">
        <f t="shared" si="52"/>
        <v>729</v>
      </c>
      <c r="P92" s="26">
        <f t="shared" si="52"/>
        <v>439</v>
      </c>
      <c r="Q92" s="26">
        <f t="shared" si="52"/>
        <v>648303</v>
      </c>
      <c r="R92" s="26">
        <f t="shared" si="52"/>
        <v>-25</v>
      </c>
      <c r="S92" s="26">
        <f t="shared" si="52"/>
        <v>-2198</v>
      </c>
      <c r="T92" s="26">
        <f t="shared" si="52"/>
        <v>-769683</v>
      </c>
      <c r="U92" s="26">
        <f t="shared" si="52"/>
        <v>114711</v>
      </c>
      <c r="V92" s="26">
        <f t="shared" si="52"/>
        <v>121887</v>
      </c>
      <c r="W92" s="26">
        <f>+W64+W65+W91</f>
        <v>28801380</v>
      </c>
      <c r="X92" s="3" t="s">
        <v>1</v>
      </c>
    </row>
    <row r="93" spans="1:24" ht="15.75" thickTop="1">
      <c r="A93" s="27" t="s">
        <v>77</v>
      </c>
      <c r="B93" s="9"/>
      <c r="C93" s="9"/>
      <c r="D93" s="56"/>
      <c r="E93" s="63" t="s">
        <v>1</v>
      </c>
      <c r="F93" s="63" t="s">
        <v>1</v>
      </c>
      <c r="G93" s="63" t="s">
        <v>1</v>
      </c>
      <c r="H93" s="76" t="s">
        <v>1</v>
      </c>
      <c r="I93" s="63" t="s">
        <v>1</v>
      </c>
      <c r="J93" s="63" t="s">
        <v>1</v>
      </c>
      <c r="K93" s="63" t="s">
        <v>196</v>
      </c>
      <c r="L93" s="24" t="s">
        <v>1</v>
      </c>
      <c r="M93" s="24" t="s">
        <v>1</v>
      </c>
      <c r="N93" s="77" t="s">
        <v>1</v>
      </c>
      <c r="O93" s="63" t="s">
        <v>1</v>
      </c>
      <c r="P93" s="63" t="s">
        <v>1</v>
      </c>
      <c r="Q93" s="63" t="s">
        <v>1</v>
      </c>
      <c r="R93" s="63" t="s">
        <v>1</v>
      </c>
      <c r="S93" s="63" t="s">
        <v>1</v>
      </c>
      <c r="T93" s="63" t="s">
        <v>1</v>
      </c>
      <c r="U93" s="63" t="s">
        <v>1</v>
      </c>
      <c r="V93" s="63" t="s">
        <v>1</v>
      </c>
      <c r="W93" s="63" t="s">
        <v>1</v>
      </c>
      <c r="X93" s="3" t="s">
        <v>1</v>
      </c>
    </row>
    <row r="94" spans="1:24">
      <c r="A94" s="12" t="s">
        <v>78</v>
      </c>
      <c r="B94" s="1"/>
      <c r="C94" s="1"/>
      <c r="D94" s="119"/>
      <c r="E94" s="119">
        <v>0</v>
      </c>
      <c r="F94" s="63">
        <v>0</v>
      </c>
      <c r="G94" s="63">
        <v>-4900000</v>
      </c>
      <c r="H94" s="24">
        <v>4900000</v>
      </c>
      <c r="I94" s="63">
        <v>0</v>
      </c>
      <c r="J94" s="63">
        <v>0</v>
      </c>
      <c r="K94" s="63">
        <v>0</v>
      </c>
      <c r="L94" s="24">
        <f t="shared" ref="L94:M96" si="53">+E94+I94</f>
        <v>0</v>
      </c>
      <c r="M94" s="24">
        <f t="shared" si="53"/>
        <v>0</v>
      </c>
      <c r="N94" s="63">
        <f>+G94+K94+H94</f>
        <v>0</v>
      </c>
      <c r="O94" s="63">
        <v>0</v>
      </c>
      <c r="P94" s="63">
        <v>0</v>
      </c>
      <c r="Q94" s="63">
        <v>0</v>
      </c>
      <c r="R94" s="63">
        <v>0</v>
      </c>
      <c r="S94" s="63">
        <v>0</v>
      </c>
      <c r="T94" s="63">
        <f>-1400000-50000</f>
        <v>-1450000</v>
      </c>
      <c r="U94" s="63">
        <f t="shared" ref="U94:W96" si="54">+R94+O94+L94</f>
        <v>0</v>
      </c>
      <c r="V94" s="63">
        <f t="shared" si="54"/>
        <v>0</v>
      </c>
      <c r="W94" s="63">
        <f t="shared" si="54"/>
        <v>-1450000</v>
      </c>
      <c r="X94" s="3"/>
    </row>
    <row r="95" spans="1:24" hidden="1">
      <c r="A95" s="12" t="s">
        <v>189</v>
      </c>
      <c r="B95" s="1"/>
      <c r="C95" s="1"/>
      <c r="D95" s="119"/>
      <c r="E95" s="119">
        <v>0</v>
      </c>
      <c r="F95" s="63">
        <v>0</v>
      </c>
      <c r="G95" s="63">
        <v>0</v>
      </c>
      <c r="H95" s="24"/>
      <c r="I95" s="63">
        <v>0</v>
      </c>
      <c r="J95" s="63">
        <v>0</v>
      </c>
      <c r="K95" s="63">
        <v>0</v>
      </c>
      <c r="L95" s="24">
        <f t="shared" si="53"/>
        <v>0</v>
      </c>
      <c r="M95" s="24">
        <f t="shared" si="53"/>
        <v>0</v>
      </c>
      <c r="N95" s="63">
        <f>+G95+K95+H95</f>
        <v>0</v>
      </c>
      <c r="O95" s="63">
        <v>0</v>
      </c>
      <c r="P95" s="63">
        <v>0</v>
      </c>
      <c r="Q95" s="63">
        <v>0</v>
      </c>
      <c r="R95" s="63">
        <v>0</v>
      </c>
      <c r="S95" s="63">
        <v>0</v>
      </c>
      <c r="T95" s="63">
        <v>0</v>
      </c>
      <c r="U95" s="63">
        <f>+R95+O95+L95</f>
        <v>0</v>
      </c>
      <c r="V95" s="63">
        <f>+S95+P95+M95</f>
        <v>0</v>
      </c>
      <c r="W95" s="63">
        <f>+T95+Q95+N95</f>
        <v>0</v>
      </c>
      <c r="X95" s="3"/>
    </row>
    <row r="96" spans="1:24" ht="15.75" thickBot="1">
      <c r="A96" s="12" t="s">
        <v>95</v>
      </c>
      <c r="B96" s="1"/>
      <c r="C96" s="1"/>
      <c r="D96" s="52"/>
      <c r="E96" s="63">
        <v>0</v>
      </c>
      <c r="F96" s="63">
        <v>0</v>
      </c>
      <c r="G96" s="63">
        <v>-500000</v>
      </c>
      <c r="H96" s="78">
        <v>500000</v>
      </c>
      <c r="I96" s="63">
        <v>0</v>
      </c>
      <c r="J96" s="63">
        <v>0</v>
      </c>
      <c r="K96" s="63">
        <v>0</v>
      </c>
      <c r="L96" s="24">
        <f t="shared" si="53"/>
        <v>0</v>
      </c>
      <c r="M96" s="24">
        <f t="shared" si="53"/>
        <v>0</v>
      </c>
      <c r="N96" s="79">
        <f>+G96+K96+H96</f>
        <v>0</v>
      </c>
      <c r="O96" s="63">
        <v>0</v>
      </c>
      <c r="P96" s="63">
        <v>0</v>
      </c>
      <c r="Q96" s="63">
        <v>0</v>
      </c>
      <c r="R96" s="63">
        <v>0</v>
      </c>
      <c r="S96" s="63">
        <v>0</v>
      </c>
      <c r="T96" s="63">
        <v>-500000</v>
      </c>
      <c r="U96" s="63">
        <f t="shared" si="54"/>
        <v>0</v>
      </c>
      <c r="V96" s="63">
        <f t="shared" si="54"/>
        <v>0</v>
      </c>
      <c r="W96" s="63">
        <f t="shared" si="54"/>
        <v>-500000</v>
      </c>
      <c r="X96" s="3"/>
    </row>
    <row r="97" spans="1:24" ht="17.25" thickTop="1" thickBot="1">
      <c r="A97" s="19" t="s">
        <v>79</v>
      </c>
      <c r="B97" s="28"/>
      <c r="C97" s="28"/>
      <c r="D97" s="57"/>
      <c r="E97" s="80">
        <f>SUM(E96:E96)</f>
        <v>0</v>
      </c>
      <c r="F97" s="80">
        <f t="shared" ref="F97:W97" si="55">SUM(F94:F96)</f>
        <v>0</v>
      </c>
      <c r="G97" s="80">
        <f t="shared" si="55"/>
        <v>-5400000</v>
      </c>
      <c r="H97" s="80">
        <f t="shared" si="55"/>
        <v>5400000</v>
      </c>
      <c r="I97" s="80">
        <f>SUM(I94:I96)</f>
        <v>0</v>
      </c>
      <c r="J97" s="80">
        <f>SUM(J94:J96)</f>
        <v>0</v>
      </c>
      <c r="K97" s="80">
        <f>SUM(K94:K96)</f>
        <v>0</v>
      </c>
      <c r="L97" s="80">
        <f t="shared" si="55"/>
        <v>0</v>
      </c>
      <c r="M97" s="80">
        <f t="shared" si="55"/>
        <v>0</v>
      </c>
      <c r="N97" s="80">
        <f t="shared" si="55"/>
        <v>0</v>
      </c>
      <c r="O97" s="80">
        <f>SUM(O94:O96)</f>
        <v>0</v>
      </c>
      <c r="P97" s="80">
        <f>SUM(P94:P96)</f>
        <v>0</v>
      </c>
      <c r="Q97" s="80">
        <f>SUM(Q94:Q96)</f>
        <v>0</v>
      </c>
      <c r="R97" s="80">
        <f t="shared" si="55"/>
        <v>0</v>
      </c>
      <c r="S97" s="80">
        <f t="shared" si="55"/>
        <v>0</v>
      </c>
      <c r="T97" s="80">
        <f t="shared" si="55"/>
        <v>-1950000</v>
      </c>
      <c r="U97" s="80">
        <f t="shared" si="55"/>
        <v>0</v>
      </c>
      <c r="V97" s="80">
        <f t="shared" si="55"/>
        <v>0</v>
      </c>
      <c r="W97" s="80">
        <f t="shared" si="55"/>
        <v>-1950000</v>
      </c>
      <c r="X97" s="3"/>
    </row>
    <row r="98" spans="1:24" ht="17.25" thickTop="1" thickBot="1">
      <c r="A98" s="19" t="s">
        <v>112</v>
      </c>
      <c r="B98" s="28"/>
      <c r="C98" s="28"/>
      <c r="D98" s="57"/>
      <c r="E98" s="26">
        <f t="shared" ref="E98:W98" si="56">+E97+E92</f>
        <v>113331</v>
      </c>
      <c r="F98" s="26">
        <f t="shared" si="56"/>
        <v>121591</v>
      </c>
      <c r="G98" s="26">
        <f t="shared" si="56"/>
        <v>22433163</v>
      </c>
      <c r="H98" s="26">
        <f t="shared" si="56"/>
        <v>5692194</v>
      </c>
      <c r="I98" s="26">
        <f t="shared" si="56"/>
        <v>676</v>
      </c>
      <c r="J98" s="26">
        <f t="shared" si="56"/>
        <v>2055</v>
      </c>
      <c r="K98" s="26">
        <f t="shared" si="56"/>
        <v>797403</v>
      </c>
      <c r="L98" s="26">
        <f t="shared" si="56"/>
        <v>114007</v>
      </c>
      <c r="M98" s="26">
        <f t="shared" si="56"/>
        <v>123646</v>
      </c>
      <c r="N98" s="26">
        <f t="shared" si="56"/>
        <v>28922760</v>
      </c>
      <c r="O98" s="26">
        <f t="shared" si="56"/>
        <v>729</v>
      </c>
      <c r="P98" s="26">
        <f t="shared" si="56"/>
        <v>439</v>
      </c>
      <c r="Q98" s="26">
        <f t="shared" si="56"/>
        <v>648303</v>
      </c>
      <c r="R98" s="26">
        <f t="shared" si="56"/>
        <v>-25</v>
      </c>
      <c r="S98" s="26">
        <f t="shared" si="56"/>
        <v>-2198</v>
      </c>
      <c r="T98" s="26">
        <f t="shared" si="56"/>
        <v>-2719683</v>
      </c>
      <c r="U98" s="26">
        <f t="shared" si="56"/>
        <v>114711</v>
      </c>
      <c r="V98" s="26">
        <f t="shared" si="56"/>
        <v>121887</v>
      </c>
      <c r="W98" s="26">
        <f t="shared" si="56"/>
        <v>26851380</v>
      </c>
      <c r="X98" s="3"/>
    </row>
    <row r="99" spans="1:24" ht="15.75" thickTop="1">
      <c r="A99" s="12" t="s">
        <v>80</v>
      </c>
      <c r="B99" s="1"/>
      <c r="C99" s="1"/>
      <c r="D99" s="52"/>
      <c r="E99" s="63"/>
      <c r="F99" s="63"/>
      <c r="G99" s="63"/>
      <c r="H99" s="24"/>
      <c r="I99" s="63"/>
      <c r="J99" s="63"/>
      <c r="K99" s="63"/>
      <c r="L99" s="24"/>
      <c r="M99" s="24" t="s">
        <v>1</v>
      </c>
      <c r="N99" s="63" t="s">
        <v>1</v>
      </c>
      <c r="O99" s="63"/>
      <c r="P99" s="63"/>
      <c r="Q99" s="63"/>
      <c r="R99" s="63"/>
      <c r="S99" s="63"/>
      <c r="T99" s="63"/>
      <c r="U99" s="63"/>
      <c r="V99" s="63"/>
      <c r="W99" s="63"/>
      <c r="X99" s="3"/>
    </row>
    <row r="100" spans="1:24">
      <c r="A100" s="12" t="s">
        <v>81</v>
      </c>
      <c r="B100" s="1"/>
      <c r="C100" s="1"/>
      <c r="D100" s="52"/>
      <c r="E100" s="63">
        <v>0</v>
      </c>
      <c r="F100" s="63">
        <v>0</v>
      </c>
      <c r="G100" s="63">
        <v>270000</v>
      </c>
      <c r="H100" s="24">
        <v>0</v>
      </c>
      <c r="I100" s="63">
        <v>0</v>
      </c>
      <c r="J100" s="63">
        <v>0</v>
      </c>
      <c r="K100" s="63">
        <v>0</v>
      </c>
      <c r="L100" s="24">
        <f t="shared" ref="L100:M107" si="57">+E100+I100</f>
        <v>0</v>
      </c>
      <c r="M100" s="24">
        <f t="shared" si="57"/>
        <v>0</v>
      </c>
      <c r="N100" s="63">
        <f t="shared" ref="N100:N108" si="58">+G100+K100+H100</f>
        <v>270000</v>
      </c>
      <c r="O100" s="63">
        <v>0</v>
      </c>
      <c r="P100" s="63">
        <v>0</v>
      </c>
      <c r="Q100" s="63">
        <v>0</v>
      </c>
      <c r="R100" s="63">
        <v>0</v>
      </c>
      <c r="S100" s="63">
        <v>0</v>
      </c>
      <c r="T100" s="63">
        <v>0</v>
      </c>
      <c r="U100" s="63">
        <f t="shared" ref="U100:W108" si="59">+R100+O100+L100</f>
        <v>0</v>
      </c>
      <c r="V100" s="63">
        <f t="shared" si="59"/>
        <v>0</v>
      </c>
      <c r="W100" s="63">
        <f t="shared" si="59"/>
        <v>270000</v>
      </c>
      <c r="X100" s="3"/>
    </row>
    <row r="101" spans="1:24">
      <c r="A101" s="12" t="s">
        <v>82</v>
      </c>
      <c r="B101" s="1"/>
      <c r="C101" s="1"/>
      <c r="D101" s="52"/>
      <c r="E101" s="63">
        <v>0</v>
      </c>
      <c r="F101" s="63">
        <v>0</v>
      </c>
      <c r="G101" s="63">
        <v>500</v>
      </c>
      <c r="H101" s="24">
        <v>0</v>
      </c>
      <c r="I101" s="63">
        <v>0</v>
      </c>
      <c r="J101" s="63">
        <v>0</v>
      </c>
      <c r="K101" s="63">
        <v>0</v>
      </c>
      <c r="L101" s="24">
        <f t="shared" si="57"/>
        <v>0</v>
      </c>
      <c r="M101" s="24">
        <f t="shared" si="57"/>
        <v>0</v>
      </c>
      <c r="N101" s="63">
        <f t="shared" si="58"/>
        <v>500</v>
      </c>
      <c r="O101" s="63">
        <v>0</v>
      </c>
      <c r="P101" s="63">
        <v>0</v>
      </c>
      <c r="Q101" s="63">
        <v>0</v>
      </c>
      <c r="R101" s="63">
        <v>0</v>
      </c>
      <c r="S101" s="63">
        <v>0</v>
      </c>
      <c r="T101" s="63">
        <v>0</v>
      </c>
      <c r="U101" s="63">
        <f t="shared" si="59"/>
        <v>0</v>
      </c>
      <c r="V101" s="63">
        <f t="shared" si="59"/>
        <v>0</v>
      </c>
      <c r="W101" s="63">
        <f t="shared" si="59"/>
        <v>500</v>
      </c>
      <c r="X101" s="3"/>
    </row>
    <row r="102" spans="1:24">
      <c r="A102" s="12" t="s">
        <v>83</v>
      </c>
      <c r="B102" s="1"/>
      <c r="C102" s="1"/>
      <c r="D102" s="52"/>
      <c r="E102" s="63">
        <v>0</v>
      </c>
      <c r="F102" s="63">
        <v>0</v>
      </c>
      <c r="G102" s="63">
        <v>53200</v>
      </c>
      <c r="H102" s="24">
        <v>0</v>
      </c>
      <c r="I102" s="63">
        <v>0</v>
      </c>
      <c r="J102" s="63">
        <v>0</v>
      </c>
      <c r="K102" s="63">
        <v>6800</v>
      </c>
      <c r="L102" s="24">
        <f t="shared" si="57"/>
        <v>0</v>
      </c>
      <c r="M102" s="24">
        <f t="shared" si="57"/>
        <v>0</v>
      </c>
      <c r="N102" s="63">
        <f t="shared" si="58"/>
        <v>60000</v>
      </c>
      <c r="O102" s="63">
        <v>0</v>
      </c>
      <c r="P102" s="63">
        <v>0</v>
      </c>
      <c r="Q102" s="63">
        <v>0</v>
      </c>
      <c r="R102" s="63">
        <v>0</v>
      </c>
      <c r="S102" s="63">
        <v>0</v>
      </c>
      <c r="T102" s="63">
        <v>0</v>
      </c>
      <c r="U102" s="63">
        <f t="shared" si="59"/>
        <v>0</v>
      </c>
      <c r="V102" s="63">
        <f t="shared" si="59"/>
        <v>0</v>
      </c>
      <c r="W102" s="63">
        <f t="shared" si="59"/>
        <v>60000</v>
      </c>
      <c r="X102" s="3"/>
    </row>
    <row r="103" spans="1:24">
      <c r="A103" s="12" t="s">
        <v>84</v>
      </c>
      <c r="B103" s="1"/>
      <c r="C103" s="1"/>
      <c r="D103" s="52"/>
      <c r="E103" s="63">
        <v>0</v>
      </c>
      <c r="F103" s="63">
        <v>0</v>
      </c>
      <c r="G103" s="63">
        <v>61000</v>
      </c>
      <c r="H103" s="24">
        <v>0</v>
      </c>
      <c r="I103" s="63">
        <v>0</v>
      </c>
      <c r="J103" s="63">
        <v>0</v>
      </c>
      <c r="K103" s="63">
        <v>0</v>
      </c>
      <c r="L103" s="24">
        <f t="shared" si="57"/>
        <v>0</v>
      </c>
      <c r="M103" s="24">
        <f t="shared" si="57"/>
        <v>0</v>
      </c>
      <c r="N103" s="63">
        <f t="shared" si="58"/>
        <v>61000</v>
      </c>
      <c r="O103" s="63">
        <v>0</v>
      </c>
      <c r="P103" s="63">
        <v>0</v>
      </c>
      <c r="Q103" s="63">
        <v>0</v>
      </c>
      <c r="R103" s="63">
        <v>0</v>
      </c>
      <c r="S103" s="63">
        <v>0</v>
      </c>
      <c r="T103" s="63">
        <v>0</v>
      </c>
      <c r="U103" s="63">
        <f t="shared" si="59"/>
        <v>0</v>
      </c>
      <c r="V103" s="63">
        <f t="shared" si="59"/>
        <v>0</v>
      </c>
      <c r="W103" s="63">
        <f t="shared" si="59"/>
        <v>61000</v>
      </c>
      <c r="X103" s="3"/>
    </row>
    <row r="104" spans="1:24">
      <c r="A104" s="12" t="s">
        <v>85</v>
      </c>
      <c r="B104" s="1"/>
      <c r="C104" s="1"/>
      <c r="D104" s="52"/>
      <c r="E104" s="63">
        <v>0</v>
      </c>
      <c r="F104" s="63">
        <v>0</v>
      </c>
      <c r="G104" s="63">
        <v>1146210</v>
      </c>
      <c r="H104" s="63">
        <v>0</v>
      </c>
      <c r="I104" s="63">
        <v>0</v>
      </c>
      <c r="J104" s="63">
        <v>0</v>
      </c>
      <c r="K104" s="63">
        <v>-67200</v>
      </c>
      <c r="L104" s="24">
        <f t="shared" si="57"/>
        <v>0</v>
      </c>
      <c r="M104" s="24">
        <f t="shared" si="57"/>
        <v>0</v>
      </c>
      <c r="N104" s="63">
        <f t="shared" si="58"/>
        <v>1079010</v>
      </c>
      <c r="O104" s="63">
        <v>0</v>
      </c>
      <c r="P104" s="63">
        <v>0</v>
      </c>
      <c r="Q104" s="63">
        <v>0</v>
      </c>
      <c r="R104" s="63">
        <v>0</v>
      </c>
      <c r="S104" s="63">
        <v>0</v>
      </c>
      <c r="T104" s="63">
        <v>0</v>
      </c>
      <c r="U104" s="63">
        <f t="shared" si="59"/>
        <v>0</v>
      </c>
      <c r="V104" s="63">
        <f t="shared" si="59"/>
        <v>0</v>
      </c>
      <c r="W104" s="63">
        <f t="shared" si="59"/>
        <v>1079010</v>
      </c>
      <c r="X104" s="3"/>
    </row>
    <row r="105" spans="1:24">
      <c r="A105" s="12" t="s">
        <v>86</v>
      </c>
      <c r="B105" s="1"/>
      <c r="C105" s="1"/>
      <c r="D105" s="52"/>
      <c r="E105" s="63">
        <v>0</v>
      </c>
      <c r="F105" s="63">
        <v>0</v>
      </c>
      <c r="G105" s="63">
        <v>110000</v>
      </c>
      <c r="H105" s="24">
        <f>-H35</f>
        <v>14000</v>
      </c>
      <c r="I105" s="63">
        <v>0</v>
      </c>
      <c r="J105" s="63">
        <v>0</v>
      </c>
      <c r="K105" s="63">
        <v>0</v>
      </c>
      <c r="L105" s="24">
        <f t="shared" si="57"/>
        <v>0</v>
      </c>
      <c r="M105" s="24">
        <f t="shared" si="57"/>
        <v>0</v>
      </c>
      <c r="N105" s="63">
        <f t="shared" si="58"/>
        <v>124000</v>
      </c>
      <c r="O105" s="63">
        <v>0</v>
      </c>
      <c r="P105" s="63">
        <v>0</v>
      </c>
      <c r="Q105" s="63">
        <v>0</v>
      </c>
      <c r="R105" s="63">
        <v>0</v>
      </c>
      <c r="S105" s="63">
        <v>0</v>
      </c>
      <c r="T105" s="63">
        <v>0</v>
      </c>
      <c r="U105" s="63">
        <f t="shared" si="59"/>
        <v>0</v>
      </c>
      <c r="V105" s="63">
        <f t="shared" si="59"/>
        <v>0</v>
      </c>
      <c r="W105" s="63">
        <f t="shared" si="59"/>
        <v>124000</v>
      </c>
      <c r="X105" s="3"/>
    </row>
    <row r="106" spans="1:24">
      <c r="A106" s="12" t="s">
        <v>87</v>
      </c>
      <c r="B106" s="1"/>
      <c r="C106" s="1"/>
      <c r="D106" s="52"/>
      <c r="E106" s="63">
        <v>0</v>
      </c>
      <c r="F106" s="63">
        <v>0</v>
      </c>
      <c r="G106" s="63">
        <v>281829</v>
      </c>
      <c r="H106" s="24">
        <f>-H39</f>
        <v>-4000</v>
      </c>
      <c r="I106" s="63">
        <v>0</v>
      </c>
      <c r="J106" s="63">
        <v>0</v>
      </c>
      <c r="K106" s="63">
        <v>0</v>
      </c>
      <c r="L106" s="24">
        <f t="shared" si="57"/>
        <v>0</v>
      </c>
      <c r="M106" s="24">
        <f t="shared" si="57"/>
        <v>0</v>
      </c>
      <c r="N106" s="63">
        <f t="shared" si="58"/>
        <v>277829</v>
      </c>
      <c r="O106" s="63">
        <v>0</v>
      </c>
      <c r="P106" s="63">
        <v>0</v>
      </c>
      <c r="Q106" s="63">
        <v>0</v>
      </c>
      <c r="R106" s="63">
        <v>0</v>
      </c>
      <c r="S106" s="63">
        <v>0</v>
      </c>
      <c r="T106" s="63">
        <v>0</v>
      </c>
      <c r="U106" s="63">
        <f t="shared" si="59"/>
        <v>0</v>
      </c>
      <c r="V106" s="63">
        <f t="shared" si="59"/>
        <v>0</v>
      </c>
      <c r="W106" s="63">
        <f t="shared" si="59"/>
        <v>277829</v>
      </c>
      <c r="X106" s="3"/>
    </row>
    <row r="107" spans="1:24">
      <c r="A107" s="12" t="s">
        <v>88</v>
      </c>
      <c r="B107" s="1"/>
      <c r="C107" s="1"/>
      <c r="D107" s="52"/>
      <c r="E107" s="24" t="s">
        <v>96</v>
      </c>
      <c r="F107" s="63">
        <v>1190</v>
      </c>
      <c r="G107" s="63">
        <v>251790</v>
      </c>
      <c r="H107" s="24">
        <v>984</v>
      </c>
      <c r="I107" s="24">
        <v>0</v>
      </c>
      <c r="J107" s="63">
        <f>87+5</f>
        <v>92</v>
      </c>
      <c r="K107" s="63">
        <v>3268</v>
      </c>
      <c r="L107" s="24" t="s">
        <v>96</v>
      </c>
      <c r="M107" s="24">
        <f t="shared" si="57"/>
        <v>1282</v>
      </c>
      <c r="N107" s="63">
        <f t="shared" si="58"/>
        <v>256042</v>
      </c>
      <c r="O107" s="24" t="s">
        <v>120</v>
      </c>
      <c r="P107" s="63">
        <v>62</v>
      </c>
      <c r="Q107" s="63">
        <v>29522</v>
      </c>
      <c r="R107" s="24">
        <v>0</v>
      </c>
      <c r="S107" s="63">
        <v>0</v>
      </c>
      <c r="T107" s="63">
        <v>0</v>
      </c>
      <c r="U107" s="24" t="s">
        <v>285</v>
      </c>
      <c r="V107" s="63">
        <f>+S107+P107+M107</f>
        <v>1344</v>
      </c>
      <c r="W107" s="63">
        <f t="shared" si="59"/>
        <v>285564</v>
      </c>
      <c r="X107" s="3"/>
    </row>
    <row r="108" spans="1:24" ht="15.75" thickBot="1">
      <c r="A108" s="12" t="s">
        <v>89</v>
      </c>
      <c r="B108" s="1"/>
      <c r="C108" s="1"/>
      <c r="D108" s="50"/>
      <c r="E108" s="63">
        <v>0</v>
      </c>
      <c r="F108" s="63">
        <v>0</v>
      </c>
      <c r="G108" s="63">
        <v>705000</v>
      </c>
      <c r="H108" s="24">
        <v>0</v>
      </c>
      <c r="I108" s="63">
        <v>0</v>
      </c>
      <c r="J108" s="63">
        <v>0</v>
      </c>
      <c r="K108" s="63">
        <v>0</v>
      </c>
      <c r="L108" s="24">
        <f>+E108+I108</f>
        <v>0</v>
      </c>
      <c r="M108" s="24">
        <f>+F108+J108</f>
        <v>0</v>
      </c>
      <c r="N108" s="63">
        <f t="shared" si="58"/>
        <v>705000</v>
      </c>
      <c r="O108" s="63">
        <v>0</v>
      </c>
      <c r="P108" s="63">
        <v>0</v>
      </c>
      <c r="Q108" s="63">
        <f>145000-95000</f>
        <v>50000</v>
      </c>
      <c r="R108" s="63">
        <v>0</v>
      </c>
      <c r="S108" s="63">
        <v>0</v>
      </c>
      <c r="T108" s="63">
        <v>0</v>
      </c>
      <c r="U108" s="63">
        <f>+R108+O108+L108</f>
        <v>0</v>
      </c>
      <c r="V108" s="63">
        <f>+S108+P108+M108</f>
        <v>0</v>
      </c>
      <c r="W108" s="63">
        <f t="shared" si="59"/>
        <v>755000</v>
      </c>
      <c r="X108" s="3"/>
    </row>
    <row r="109" spans="1:24" ht="17.25" thickTop="1" thickBot="1">
      <c r="A109" s="19" t="s">
        <v>90</v>
      </c>
      <c r="B109" s="28"/>
      <c r="C109" s="28"/>
      <c r="D109" s="28"/>
      <c r="E109" s="80" t="s">
        <v>96</v>
      </c>
      <c r="F109" s="80">
        <f t="shared" ref="F109:W109" si="60">SUM(F100:F108)</f>
        <v>1190</v>
      </c>
      <c r="G109" s="80">
        <f t="shared" si="60"/>
        <v>2879529</v>
      </c>
      <c r="H109" s="80">
        <f t="shared" si="60"/>
        <v>10984</v>
      </c>
      <c r="I109" s="80">
        <f>SUM(I100:I108)</f>
        <v>0</v>
      </c>
      <c r="J109" s="80">
        <f>SUM(J100:J108)</f>
        <v>92</v>
      </c>
      <c r="K109" s="80">
        <f>SUM(K100:K108)</f>
        <v>-57132</v>
      </c>
      <c r="L109" s="80" t="str">
        <f>+L107</f>
        <v>[1,199]</v>
      </c>
      <c r="M109" s="80">
        <f t="shared" si="60"/>
        <v>1282</v>
      </c>
      <c r="N109" s="80">
        <f t="shared" si="60"/>
        <v>2833381</v>
      </c>
      <c r="O109" s="80">
        <f>SUM(O100:O108)</f>
        <v>0</v>
      </c>
      <c r="P109" s="80">
        <f>SUM(P100:P108)</f>
        <v>62</v>
      </c>
      <c r="Q109" s="80">
        <f>SUM(Q100:Q108)</f>
        <v>79522</v>
      </c>
      <c r="R109" s="80">
        <f t="shared" si="60"/>
        <v>0</v>
      </c>
      <c r="S109" s="80">
        <f t="shared" si="60"/>
        <v>0</v>
      </c>
      <c r="T109" s="80">
        <f t="shared" si="60"/>
        <v>0</v>
      </c>
      <c r="U109" s="80">
        <f t="shared" si="60"/>
        <v>0</v>
      </c>
      <c r="V109" s="80">
        <f t="shared" si="60"/>
        <v>1344</v>
      </c>
      <c r="W109" s="80">
        <f t="shared" si="60"/>
        <v>2912903</v>
      </c>
      <c r="X109" s="3"/>
    </row>
    <row r="110" spans="1:24" ht="17.25" thickTop="1" thickBot="1">
      <c r="A110" s="31" t="s">
        <v>91</v>
      </c>
      <c r="B110" s="29"/>
      <c r="C110" s="29"/>
      <c r="D110" s="29"/>
      <c r="E110" s="26">
        <f>SUM(E98,E109)</f>
        <v>113331</v>
      </c>
      <c r="F110" s="26">
        <f>F98+F109</f>
        <v>122781</v>
      </c>
      <c r="G110" s="26">
        <f>G98+G109</f>
        <v>25312692</v>
      </c>
      <c r="H110" s="26">
        <f t="shared" ref="H110:W110" si="61">+H109+H98</f>
        <v>5703178</v>
      </c>
      <c r="I110" s="26">
        <f>+I109+I98</f>
        <v>676</v>
      </c>
      <c r="J110" s="26">
        <f>+J109+J98</f>
        <v>2147</v>
      </c>
      <c r="K110" s="26">
        <f>+K109+K98</f>
        <v>740271</v>
      </c>
      <c r="L110" s="26">
        <f>SUM(L98,L109)</f>
        <v>114007</v>
      </c>
      <c r="M110" s="26">
        <f t="shared" si="61"/>
        <v>124928</v>
      </c>
      <c r="N110" s="26">
        <f t="shared" si="61"/>
        <v>31756141</v>
      </c>
      <c r="O110" s="26">
        <f>+O109+O98</f>
        <v>729</v>
      </c>
      <c r="P110" s="26">
        <f>+P109+P98</f>
        <v>501</v>
      </c>
      <c r="Q110" s="26">
        <f>+Q109+Q98</f>
        <v>727825</v>
      </c>
      <c r="R110" s="26">
        <f t="shared" si="61"/>
        <v>-25</v>
      </c>
      <c r="S110" s="26">
        <f t="shared" si="61"/>
        <v>-2198</v>
      </c>
      <c r="T110" s="26">
        <f t="shared" si="61"/>
        <v>-2719683</v>
      </c>
      <c r="U110" s="26">
        <f>SUM(U98,U109)</f>
        <v>114711</v>
      </c>
      <c r="V110" s="26">
        <f t="shared" si="61"/>
        <v>123231</v>
      </c>
      <c r="W110" s="26">
        <f t="shared" si="61"/>
        <v>29764283</v>
      </c>
      <c r="X110" s="3"/>
    </row>
    <row r="111" spans="1:24" ht="15.75" thickTop="1">
      <c r="A111" s="12" t="s">
        <v>92</v>
      </c>
      <c r="B111" s="1"/>
      <c r="C111" s="1"/>
      <c r="D111" s="1"/>
      <c r="E111" s="63"/>
      <c r="F111" s="63"/>
      <c r="G111" s="63"/>
      <c r="H111" s="24"/>
      <c r="I111" s="63"/>
      <c r="J111" s="63"/>
      <c r="K111" s="63"/>
      <c r="L111" s="24"/>
      <c r="M111" s="24"/>
      <c r="N111" s="63"/>
      <c r="O111" s="63"/>
      <c r="P111" s="63"/>
      <c r="Q111" s="63"/>
      <c r="R111" s="63"/>
      <c r="S111" s="63"/>
      <c r="T111" s="63"/>
      <c r="U111" s="24"/>
      <c r="V111" s="63"/>
      <c r="W111" s="63"/>
      <c r="X111" s="3"/>
    </row>
    <row r="112" spans="1:24">
      <c r="A112" s="12" t="s">
        <v>103</v>
      </c>
      <c r="B112" s="1"/>
      <c r="C112" s="1"/>
      <c r="D112" s="1"/>
      <c r="E112" s="24" t="s">
        <v>110</v>
      </c>
      <c r="F112" s="24" t="s">
        <v>110</v>
      </c>
      <c r="G112" s="63">
        <v>61819</v>
      </c>
      <c r="H112" s="24">
        <v>0</v>
      </c>
      <c r="I112" s="63">
        <v>0</v>
      </c>
      <c r="J112" s="63">
        <v>0</v>
      </c>
      <c r="K112" s="63">
        <f>60662-61819</f>
        <v>-1157</v>
      </c>
      <c r="L112" s="24">
        <v>0</v>
      </c>
      <c r="M112" s="24">
        <v>0</v>
      </c>
      <c r="N112" s="63">
        <f>+G112+K112+H112</f>
        <v>60662</v>
      </c>
      <c r="O112" s="63">
        <v>0</v>
      </c>
      <c r="P112" s="63">
        <v>0</v>
      </c>
      <c r="Q112" s="63">
        <v>0</v>
      </c>
      <c r="R112" s="63">
        <v>0</v>
      </c>
      <c r="S112" s="63">
        <v>0</v>
      </c>
      <c r="T112" s="63">
        <v>0</v>
      </c>
      <c r="U112" s="24" t="s">
        <v>110</v>
      </c>
      <c r="V112" s="24" t="s">
        <v>110</v>
      </c>
      <c r="W112" s="63">
        <f>+T112+Q112+N112</f>
        <v>60662</v>
      </c>
      <c r="X112" s="3"/>
    </row>
    <row r="113" spans="1:24">
      <c r="A113" s="12" t="s">
        <v>104</v>
      </c>
      <c r="B113" s="1"/>
      <c r="C113" s="1"/>
      <c r="D113" s="1"/>
      <c r="E113" s="24" t="s">
        <v>111</v>
      </c>
      <c r="F113" s="24" t="s">
        <v>111</v>
      </c>
      <c r="G113" s="63">
        <v>128405</v>
      </c>
      <c r="H113" s="24">
        <v>0</v>
      </c>
      <c r="I113" s="63">
        <v>0</v>
      </c>
      <c r="J113" s="63">
        <v>0</v>
      </c>
      <c r="K113" s="63">
        <f>130586-128405</f>
        <v>2181</v>
      </c>
      <c r="L113" s="24">
        <v>0</v>
      </c>
      <c r="M113" s="24">
        <v>0</v>
      </c>
      <c r="N113" s="63">
        <f>+G113+K113+H113</f>
        <v>130586</v>
      </c>
      <c r="O113" s="63">
        <v>0</v>
      </c>
      <c r="P113" s="63">
        <v>0</v>
      </c>
      <c r="Q113" s="63">
        <v>0</v>
      </c>
      <c r="R113" s="63">
        <v>0</v>
      </c>
      <c r="S113" s="63">
        <v>0</v>
      </c>
      <c r="T113" s="63">
        <v>0</v>
      </c>
      <c r="U113" s="24" t="s">
        <v>111</v>
      </c>
      <c r="V113" s="24" t="s">
        <v>111</v>
      </c>
      <c r="W113" s="63">
        <f>+T113+Q113+N113</f>
        <v>130586</v>
      </c>
      <c r="X113" s="3"/>
    </row>
    <row r="114" spans="1:24" ht="15.75" thickBot="1">
      <c r="A114" s="12" t="s">
        <v>115</v>
      </c>
      <c r="B114" s="1"/>
      <c r="C114" s="1"/>
      <c r="D114" s="1"/>
      <c r="E114" s="24">
        <v>0</v>
      </c>
      <c r="F114" s="63">
        <v>0</v>
      </c>
      <c r="G114" s="63">
        <v>73903</v>
      </c>
      <c r="H114" s="24">
        <v>0</v>
      </c>
      <c r="I114" s="63">
        <v>0</v>
      </c>
      <c r="J114" s="63">
        <v>0</v>
      </c>
      <c r="K114" s="81">
        <f>111759-73903</f>
        <v>37856</v>
      </c>
      <c r="L114" s="24">
        <f>+E114+I114</f>
        <v>0</v>
      </c>
      <c r="M114" s="24">
        <f>+F114+J114</f>
        <v>0</v>
      </c>
      <c r="N114" s="81">
        <f>+G114+K114+H114</f>
        <v>111759</v>
      </c>
      <c r="O114" s="63">
        <v>0</v>
      </c>
      <c r="P114" s="63">
        <v>0</v>
      </c>
      <c r="Q114" s="81">
        <v>15000</v>
      </c>
      <c r="R114" s="63">
        <v>0</v>
      </c>
      <c r="S114" s="63">
        <v>0</v>
      </c>
      <c r="T114" s="81">
        <v>0</v>
      </c>
      <c r="U114" s="24">
        <f>+R114+O114+L114</f>
        <v>0</v>
      </c>
      <c r="V114" s="63">
        <f>+S114+P114+M114</f>
        <v>0</v>
      </c>
      <c r="W114" s="82">
        <f>+T114+Q114+N114</f>
        <v>126759</v>
      </c>
      <c r="X114" s="3"/>
    </row>
    <row r="115" spans="1:24" ht="17.25" thickTop="1" thickBot="1">
      <c r="A115" s="19" t="s">
        <v>93</v>
      </c>
      <c r="B115" s="28"/>
      <c r="C115" s="28"/>
      <c r="D115" s="28"/>
      <c r="E115" s="32" t="s">
        <v>102</v>
      </c>
      <c r="F115" s="32" t="s">
        <v>113</v>
      </c>
      <c r="G115" s="32">
        <f t="shared" ref="G115:V115" si="62">SUM(G112:G114)</f>
        <v>264127</v>
      </c>
      <c r="H115" s="32">
        <f t="shared" si="62"/>
        <v>0</v>
      </c>
      <c r="I115" s="32">
        <f>SUM(I112:I114)</f>
        <v>0</v>
      </c>
      <c r="J115" s="32">
        <f>SUM(J112:J114)</f>
        <v>0</v>
      </c>
      <c r="K115" s="32">
        <f>SUM(K112:K114)</f>
        <v>38880</v>
      </c>
      <c r="L115" s="32">
        <f t="shared" si="62"/>
        <v>0</v>
      </c>
      <c r="M115" s="32">
        <f t="shared" si="62"/>
        <v>0</v>
      </c>
      <c r="N115" s="32">
        <f t="shared" si="62"/>
        <v>303007</v>
      </c>
      <c r="O115" s="32">
        <f>SUM(O112:O114)</f>
        <v>0</v>
      </c>
      <c r="P115" s="32">
        <f>SUM(P112:P114)</f>
        <v>0</v>
      </c>
      <c r="Q115" s="32">
        <f>SUM(Q112:Q114)</f>
        <v>15000</v>
      </c>
      <c r="R115" s="32">
        <f t="shared" si="62"/>
        <v>0</v>
      </c>
      <c r="S115" s="32">
        <f t="shared" si="62"/>
        <v>0</v>
      </c>
      <c r="T115" s="32">
        <f t="shared" si="62"/>
        <v>0</v>
      </c>
      <c r="U115" s="32">
        <f t="shared" si="62"/>
        <v>0</v>
      </c>
      <c r="V115" s="32">
        <f t="shared" si="62"/>
        <v>0</v>
      </c>
      <c r="W115" s="32">
        <f>SUM(W112:W114)</f>
        <v>318007</v>
      </c>
      <c r="X115" s="3"/>
    </row>
    <row r="116" spans="1:24" ht="18" customHeight="1" thickTop="1" thickBot="1">
      <c r="A116" s="33" t="s">
        <v>94</v>
      </c>
      <c r="B116" s="34"/>
      <c r="C116" s="34"/>
      <c r="D116" s="53"/>
      <c r="E116" s="26">
        <f t="shared" ref="E116:W116" si="63">SUM(E110,E115)</f>
        <v>113331</v>
      </c>
      <c r="F116" s="26">
        <f t="shared" si="63"/>
        <v>122781</v>
      </c>
      <c r="G116" s="26">
        <f t="shared" si="63"/>
        <v>25576819</v>
      </c>
      <c r="H116" s="26">
        <f t="shared" si="63"/>
        <v>5703178</v>
      </c>
      <c r="I116" s="26">
        <f>SUM(I110,I115)</f>
        <v>676</v>
      </c>
      <c r="J116" s="26">
        <f>SUM(J110,J115)</f>
        <v>2147</v>
      </c>
      <c r="K116" s="26">
        <f>SUM(K110,K115)</f>
        <v>779151</v>
      </c>
      <c r="L116" s="26">
        <f t="shared" si="63"/>
        <v>114007</v>
      </c>
      <c r="M116" s="26">
        <f t="shared" si="63"/>
        <v>124928</v>
      </c>
      <c r="N116" s="26">
        <f t="shared" si="63"/>
        <v>32059148</v>
      </c>
      <c r="O116" s="26">
        <f>SUM(O110,O115)</f>
        <v>729</v>
      </c>
      <c r="P116" s="26">
        <f>SUM(P110,P115)</f>
        <v>501</v>
      </c>
      <c r="Q116" s="26">
        <f>SUM(Q110,Q115)</f>
        <v>742825</v>
      </c>
      <c r="R116" s="26">
        <f t="shared" si="63"/>
        <v>-25</v>
      </c>
      <c r="S116" s="26">
        <f t="shared" si="63"/>
        <v>-2198</v>
      </c>
      <c r="T116" s="26">
        <f t="shared" si="63"/>
        <v>-2719683</v>
      </c>
      <c r="U116" s="26">
        <f t="shared" si="63"/>
        <v>114711</v>
      </c>
      <c r="V116" s="26">
        <f t="shared" si="63"/>
        <v>123231</v>
      </c>
      <c r="W116" s="26">
        <f t="shared" si="63"/>
        <v>30082290</v>
      </c>
      <c r="X116" s="3"/>
    </row>
    <row r="117" spans="1:24" ht="18" customHeight="1" thickTop="1">
      <c r="A117" s="35"/>
      <c r="B117" s="36"/>
      <c r="C117" s="36"/>
      <c r="D117" s="36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</row>
    <row r="118" spans="1:24">
      <c r="A118" s="238"/>
      <c r="B118" s="238"/>
      <c r="C118" s="238"/>
      <c r="D118" s="238"/>
      <c r="E118" s="3"/>
      <c r="F118" s="3"/>
      <c r="G118" s="3"/>
      <c r="H118" s="3"/>
      <c r="K118" s="3"/>
      <c r="L118" s="3"/>
      <c r="M118" s="3"/>
      <c r="N118" s="3"/>
      <c r="Q118" s="3"/>
      <c r="T118" s="3"/>
      <c r="U118" s="3"/>
      <c r="V118" s="3"/>
      <c r="W118" s="3"/>
    </row>
    <row r="119" spans="1:24">
      <c r="A119" s="38"/>
      <c r="B119" s="39"/>
      <c r="C119" s="39"/>
      <c r="D119" s="39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</row>
    <row r="120" spans="1:24">
      <c r="A120" s="239"/>
      <c r="B120" s="239"/>
      <c r="C120" s="239"/>
      <c r="D120" s="239"/>
      <c r="E120" s="3"/>
      <c r="F120" s="3"/>
      <c r="G120" s="3"/>
      <c r="H120" s="3"/>
      <c r="K120" s="3"/>
      <c r="L120" s="3"/>
      <c r="M120" s="3"/>
      <c r="N120" s="3"/>
      <c r="Q120" s="3"/>
      <c r="T120" s="3"/>
      <c r="U120" s="3"/>
      <c r="V120" s="3"/>
      <c r="W120" s="3"/>
    </row>
    <row r="121" spans="1:24">
      <c r="A121" s="227"/>
      <c r="B121" s="40"/>
      <c r="C121" s="40"/>
      <c r="D121" s="40"/>
      <c r="E121" s="3"/>
      <c r="F121" s="3"/>
      <c r="G121" s="3"/>
      <c r="H121" s="3"/>
      <c r="L121" s="3"/>
      <c r="M121" s="3"/>
      <c r="N121" s="3"/>
      <c r="Q121" s="3"/>
      <c r="T121" s="3"/>
      <c r="U121" s="3"/>
      <c r="V121" s="3"/>
      <c r="W121" s="3"/>
    </row>
    <row r="122" spans="1:24">
      <c r="A122" s="41"/>
      <c r="B122" s="40"/>
      <c r="C122" s="40"/>
      <c r="D122" s="40"/>
      <c r="E122" s="3"/>
      <c r="F122" s="3"/>
      <c r="G122" s="3"/>
      <c r="H122" s="3"/>
      <c r="L122" s="3"/>
      <c r="M122" s="3"/>
      <c r="N122" s="3"/>
      <c r="Q122" s="3"/>
      <c r="T122" s="3"/>
      <c r="U122" s="3"/>
      <c r="V122" s="3"/>
      <c r="W122" s="3"/>
    </row>
    <row r="123" spans="1:24">
      <c r="A123" s="41"/>
      <c r="B123" s="40"/>
      <c r="C123" s="40"/>
      <c r="D123" s="40"/>
      <c r="E123" s="3"/>
      <c r="F123" s="3"/>
      <c r="G123" s="3"/>
      <c r="H123" s="3"/>
      <c r="L123" s="3"/>
      <c r="M123" s="3"/>
      <c r="N123" s="3"/>
      <c r="Q123" s="3"/>
      <c r="T123" s="3"/>
      <c r="U123" s="3"/>
      <c r="V123" s="3"/>
      <c r="W123" s="3"/>
    </row>
    <row r="124" spans="1:24">
      <c r="A124" s="42"/>
      <c r="B124" s="43"/>
      <c r="E124" s="3"/>
      <c r="F124" s="3"/>
      <c r="G124" s="3"/>
      <c r="H124" s="3"/>
    </row>
    <row r="125" spans="1:24">
      <c r="A125" s="45"/>
      <c r="B125" s="43"/>
      <c r="E125" s="3"/>
      <c r="F125" s="3"/>
      <c r="G125" s="3"/>
      <c r="H125" s="3"/>
    </row>
    <row r="126" spans="1:24">
      <c r="A126" s="45"/>
      <c r="B126" s="43"/>
      <c r="E126" s="3"/>
      <c r="F126" s="3"/>
      <c r="G126" s="3"/>
      <c r="H126" s="3"/>
    </row>
    <row r="127" spans="1:24">
      <c r="A127" s="45"/>
      <c r="B127" s="43"/>
      <c r="E127" s="3"/>
      <c r="F127" s="3"/>
      <c r="G127" s="3"/>
      <c r="H127" s="3"/>
    </row>
    <row r="128" spans="1:24">
      <c r="A128" s="45"/>
      <c r="B128" s="43"/>
      <c r="E128" s="3"/>
      <c r="F128" s="3"/>
      <c r="G128" s="3"/>
      <c r="H128" s="3"/>
    </row>
    <row r="129" spans="1:8">
      <c r="A129" s="45"/>
      <c r="B129" s="43"/>
      <c r="E129" s="3"/>
      <c r="F129" s="3"/>
      <c r="G129" s="3"/>
      <c r="H129" s="3"/>
    </row>
    <row r="130" spans="1:8">
      <c r="A130" s="45"/>
      <c r="B130" s="43"/>
      <c r="E130" s="3"/>
      <c r="F130" s="3"/>
      <c r="G130" s="3"/>
      <c r="H130" s="3"/>
    </row>
    <row r="131" spans="1:8">
      <c r="A131" s="45"/>
      <c r="B131" s="43"/>
      <c r="E131" s="3"/>
      <c r="F131" s="3"/>
      <c r="G131" s="3"/>
      <c r="H131" s="3"/>
    </row>
    <row r="132" spans="1:8">
      <c r="A132" s="45"/>
      <c r="B132" s="43"/>
      <c r="E132" s="3"/>
      <c r="F132" s="3"/>
      <c r="G132" s="3"/>
      <c r="H132" s="3"/>
    </row>
    <row r="133" spans="1:8">
      <c r="A133" s="45"/>
      <c r="B133" s="43"/>
      <c r="E133" s="3"/>
      <c r="F133" s="3"/>
      <c r="G133" s="3"/>
      <c r="H133" s="3"/>
    </row>
    <row r="134" spans="1:8">
      <c r="A134" s="45"/>
      <c r="B134" s="43"/>
      <c r="E134" s="3"/>
      <c r="F134" s="3"/>
      <c r="G134" s="3"/>
      <c r="H134" s="3"/>
    </row>
    <row r="135" spans="1:8">
      <c r="A135" s="45"/>
      <c r="B135" s="43"/>
      <c r="E135" s="3"/>
      <c r="F135" s="3"/>
      <c r="G135" s="3"/>
      <c r="H135" s="3"/>
    </row>
    <row r="136" spans="1:8">
      <c r="A136" s="45"/>
      <c r="B136" s="43"/>
      <c r="E136" s="3"/>
      <c r="F136" s="3"/>
      <c r="G136" s="3"/>
      <c r="H136" s="3"/>
    </row>
    <row r="137" spans="1:8">
      <c r="A137" s="45"/>
      <c r="B137" s="43"/>
      <c r="E137" s="3"/>
      <c r="F137" s="3"/>
      <c r="G137" s="3"/>
      <c r="H137" s="3"/>
    </row>
    <row r="138" spans="1:8">
      <c r="A138" s="45"/>
      <c r="B138" s="43"/>
      <c r="E138" s="3"/>
      <c r="F138" s="3"/>
      <c r="G138" s="3"/>
      <c r="H138" s="3"/>
    </row>
    <row r="139" spans="1:8">
      <c r="A139" s="45"/>
      <c r="B139" s="43"/>
      <c r="E139" s="3"/>
      <c r="F139" s="3"/>
      <c r="G139" s="3"/>
      <c r="H139" s="3"/>
    </row>
    <row r="140" spans="1:8">
      <c r="A140" s="46"/>
      <c r="B140" s="43"/>
      <c r="E140" s="3"/>
      <c r="F140" s="3"/>
      <c r="G140" s="3"/>
      <c r="H140" s="3"/>
    </row>
    <row r="141" spans="1:8">
      <c r="A141" s="46"/>
      <c r="B141" s="43"/>
      <c r="E141" s="3"/>
      <c r="F141" s="3"/>
      <c r="G141" s="3"/>
      <c r="H141" s="3"/>
    </row>
    <row r="142" spans="1:8">
      <c r="A142" s="46"/>
      <c r="B142" s="43"/>
      <c r="E142" s="3"/>
      <c r="F142" s="3"/>
      <c r="G142" s="3"/>
      <c r="H142" s="3"/>
    </row>
    <row r="143" spans="1:8">
      <c r="A143" s="46"/>
      <c r="B143" s="43"/>
      <c r="E143" s="3"/>
      <c r="F143" s="3"/>
      <c r="G143" s="3"/>
      <c r="H143" s="3"/>
    </row>
    <row r="144" spans="1:8">
      <c r="A144" s="46"/>
      <c r="B144" s="43"/>
      <c r="E144" s="3"/>
      <c r="F144" s="3"/>
      <c r="G144" s="3"/>
      <c r="H144" s="3"/>
    </row>
    <row r="145" spans="1:8">
      <c r="A145" s="46"/>
      <c r="B145" s="43"/>
      <c r="E145" s="3"/>
      <c r="F145" s="3"/>
      <c r="G145" s="3"/>
      <c r="H145" s="3"/>
    </row>
    <row r="146" spans="1:8">
      <c r="A146" s="46"/>
      <c r="B146" s="43"/>
      <c r="E146" s="3"/>
      <c r="F146" s="3"/>
      <c r="G146" s="3"/>
      <c r="H146" s="3"/>
    </row>
    <row r="147" spans="1:8">
      <c r="A147" s="46"/>
      <c r="B147" s="43"/>
      <c r="E147" s="3"/>
      <c r="F147" s="3"/>
      <c r="G147" s="3"/>
      <c r="H147" s="3"/>
    </row>
    <row r="148" spans="1:8">
      <c r="A148" s="46"/>
      <c r="B148" s="43"/>
      <c r="E148" s="3"/>
      <c r="F148" s="3"/>
      <c r="G148" s="3"/>
      <c r="H148" s="3"/>
    </row>
    <row r="149" spans="1:8">
      <c r="A149" s="46"/>
      <c r="B149" s="43"/>
      <c r="E149" s="3"/>
      <c r="F149" s="3"/>
      <c r="G149" s="3"/>
      <c r="H149" s="3"/>
    </row>
    <row r="150" spans="1:8">
      <c r="A150" s="46"/>
      <c r="B150" s="43"/>
      <c r="E150" s="3"/>
      <c r="F150" s="3"/>
      <c r="G150" s="3"/>
      <c r="H150" s="3"/>
    </row>
    <row r="151" spans="1:8">
      <c r="A151" s="46"/>
      <c r="B151" s="43"/>
      <c r="E151" s="3"/>
      <c r="F151" s="3"/>
      <c r="G151" s="3"/>
      <c r="H151" s="3"/>
    </row>
    <row r="152" spans="1:8">
      <c r="A152" s="46"/>
      <c r="B152" s="43"/>
      <c r="E152" s="3"/>
      <c r="F152" s="3"/>
      <c r="G152" s="3"/>
      <c r="H152" s="3"/>
    </row>
    <row r="153" spans="1:8">
      <c r="A153" s="46"/>
      <c r="B153" s="43"/>
      <c r="E153" s="3"/>
      <c r="F153" s="3"/>
      <c r="G153" s="3"/>
      <c r="H153" s="3"/>
    </row>
    <row r="154" spans="1:8">
      <c r="A154" s="46"/>
      <c r="B154" s="43"/>
      <c r="E154" s="3"/>
      <c r="F154" s="3"/>
      <c r="G154" s="3"/>
      <c r="H154" s="3"/>
    </row>
    <row r="155" spans="1:8">
      <c r="A155" s="46"/>
      <c r="B155" s="43"/>
      <c r="E155" s="3"/>
      <c r="F155" s="3"/>
      <c r="G155" s="3"/>
      <c r="H155" s="3"/>
    </row>
    <row r="156" spans="1:8">
      <c r="A156" s="46"/>
      <c r="B156" s="43"/>
      <c r="E156" s="3"/>
      <c r="F156" s="3"/>
      <c r="G156" s="3"/>
      <c r="H156" s="3"/>
    </row>
    <row r="157" spans="1:8">
      <c r="A157" s="46"/>
      <c r="B157" s="43"/>
      <c r="E157" s="3"/>
      <c r="F157" s="3"/>
      <c r="G157" s="3"/>
      <c r="H157" s="3"/>
    </row>
    <row r="158" spans="1:8">
      <c r="A158" s="46"/>
      <c r="B158" s="43"/>
      <c r="E158" s="3"/>
      <c r="F158" s="3"/>
      <c r="G158" s="3"/>
      <c r="H158" s="3"/>
    </row>
    <row r="159" spans="1:8">
      <c r="A159" s="46"/>
      <c r="B159" s="43"/>
      <c r="E159" s="3"/>
      <c r="F159" s="3"/>
      <c r="G159" s="3"/>
      <c r="H159" s="3"/>
    </row>
    <row r="160" spans="1:8">
      <c r="A160" s="46"/>
      <c r="B160" s="43"/>
      <c r="E160" s="3"/>
      <c r="F160" s="3"/>
      <c r="G160" s="3"/>
      <c r="H160" s="3"/>
    </row>
    <row r="161" spans="1:8">
      <c r="A161" s="46"/>
      <c r="B161" s="43"/>
      <c r="E161" s="3"/>
      <c r="F161" s="3"/>
      <c r="G161" s="3"/>
      <c r="H161" s="3"/>
    </row>
    <row r="162" spans="1:8">
      <c r="A162" s="46"/>
      <c r="B162" s="43"/>
      <c r="E162" s="3"/>
      <c r="F162" s="3"/>
      <c r="G162" s="3"/>
      <c r="H162" s="3"/>
    </row>
    <row r="163" spans="1:8">
      <c r="A163" s="46"/>
      <c r="B163" s="43"/>
      <c r="E163" s="3"/>
      <c r="F163" s="3"/>
      <c r="G163" s="3"/>
      <c r="H163" s="3"/>
    </row>
    <row r="164" spans="1:8">
      <c r="A164" s="46"/>
      <c r="B164" s="43"/>
      <c r="E164" s="3"/>
      <c r="F164" s="3"/>
      <c r="G164" s="3"/>
      <c r="H164" s="3"/>
    </row>
    <row r="165" spans="1:8">
      <c r="A165" s="46"/>
      <c r="B165" s="43"/>
      <c r="E165" s="3"/>
      <c r="F165" s="3"/>
      <c r="G165" s="3"/>
      <c r="H165" s="3"/>
    </row>
    <row r="166" spans="1:8">
      <c r="A166" s="46"/>
      <c r="B166" s="43"/>
      <c r="E166" s="3"/>
      <c r="F166" s="3"/>
      <c r="G166" s="3"/>
      <c r="H166" s="3"/>
    </row>
    <row r="167" spans="1:8">
      <c r="A167" s="46"/>
      <c r="B167" s="43"/>
      <c r="E167" s="3"/>
      <c r="F167" s="3"/>
      <c r="G167" s="3"/>
      <c r="H167" s="3"/>
    </row>
    <row r="168" spans="1:8">
      <c r="A168" s="46"/>
      <c r="B168" s="43"/>
      <c r="E168" s="3"/>
      <c r="F168" s="3"/>
      <c r="G168" s="3"/>
      <c r="H168" s="3"/>
    </row>
    <row r="169" spans="1:8">
      <c r="A169" s="46"/>
      <c r="B169" s="43"/>
      <c r="E169" s="3"/>
      <c r="F169" s="3"/>
      <c r="G169" s="3"/>
      <c r="H169" s="3"/>
    </row>
    <row r="170" spans="1:8">
      <c r="A170" s="46"/>
      <c r="E170" s="3"/>
      <c r="F170" s="3"/>
      <c r="G170" s="3"/>
      <c r="H170" s="3"/>
    </row>
    <row r="171" spans="1:8">
      <c r="A171" s="46"/>
      <c r="E171" s="3"/>
      <c r="F171" s="3"/>
      <c r="G171" s="3"/>
      <c r="H171" s="3"/>
    </row>
    <row r="172" spans="1:8">
      <c r="A172" s="46"/>
      <c r="E172" s="3"/>
      <c r="F172" s="3"/>
      <c r="G172" s="3"/>
      <c r="H172" s="3"/>
    </row>
    <row r="173" spans="1:8">
      <c r="A173" s="46"/>
      <c r="E173" s="3"/>
      <c r="F173" s="3"/>
      <c r="G173" s="3"/>
      <c r="H173" s="3"/>
    </row>
    <row r="174" spans="1:8">
      <c r="A174" s="46"/>
      <c r="E174" s="3"/>
      <c r="F174" s="3"/>
      <c r="G174" s="3"/>
      <c r="H174" s="3"/>
    </row>
    <row r="175" spans="1:8">
      <c r="A175" s="46"/>
      <c r="E175" s="3"/>
      <c r="F175" s="3"/>
      <c r="G175" s="3"/>
      <c r="H175" s="3"/>
    </row>
    <row r="176" spans="1:8">
      <c r="A176" s="46"/>
      <c r="E176" s="3"/>
      <c r="F176" s="3"/>
      <c r="G176" s="3"/>
      <c r="H176" s="3"/>
    </row>
    <row r="177" spans="1:8">
      <c r="A177" s="46"/>
      <c r="E177" s="3"/>
      <c r="F177" s="3"/>
      <c r="G177" s="3"/>
      <c r="H177" s="3"/>
    </row>
    <row r="178" spans="1:8">
      <c r="A178" s="46"/>
      <c r="E178" s="3"/>
      <c r="F178" s="3"/>
      <c r="G178" s="3"/>
      <c r="H178" s="3"/>
    </row>
    <row r="179" spans="1:8">
      <c r="A179" s="46"/>
      <c r="E179" s="3"/>
      <c r="F179" s="3"/>
      <c r="G179" s="3"/>
      <c r="H179" s="3"/>
    </row>
    <row r="180" spans="1:8">
      <c r="A180" s="46"/>
      <c r="E180" s="3"/>
      <c r="F180" s="3"/>
      <c r="G180" s="3"/>
      <c r="H180" s="3"/>
    </row>
    <row r="181" spans="1:8">
      <c r="E181" s="3"/>
      <c r="F181" s="3"/>
      <c r="G181" s="3"/>
      <c r="H181" s="3"/>
    </row>
    <row r="182" spans="1:8">
      <c r="E182" s="3"/>
      <c r="F182" s="3"/>
      <c r="G182" s="3"/>
      <c r="H182" s="3"/>
    </row>
    <row r="183" spans="1:8">
      <c r="E183" s="3"/>
      <c r="F183" s="3"/>
      <c r="G183" s="3"/>
      <c r="H183" s="3"/>
    </row>
    <row r="184" spans="1:8">
      <c r="E184" s="3"/>
      <c r="F184" s="3"/>
      <c r="G184" s="3"/>
      <c r="H184" s="3"/>
    </row>
    <row r="185" spans="1:8">
      <c r="E185" s="3"/>
      <c r="F185" s="3"/>
      <c r="G185" s="3"/>
      <c r="H185" s="3"/>
    </row>
    <row r="186" spans="1:8">
      <c r="E186" s="3"/>
      <c r="F186" s="3"/>
      <c r="G186" s="3"/>
      <c r="H186" s="3"/>
    </row>
    <row r="187" spans="1:8">
      <c r="E187" s="3"/>
      <c r="F187" s="3"/>
      <c r="G187" s="3"/>
      <c r="H187" s="3"/>
    </row>
    <row r="188" spans="1:8">
      <c r="E188" s="3"/>
      <c r="F188" s="3"/>
      <c r="G188" s="3"/>
      <c r="H188" s="3"/>
    </row>
    <row r="189" spans="1:8">
      <c r="E189" s="3"/>
      <c r="F189" s="3"/>
      <c r="G189" s="3"/>
      <c r="H189" s="3"/>
    </row>
    <row r="190" spans="1:8">
      <c r="E190" s="3"/>
      <c r="F190" s="3"/>
      <c r="G190" s="3"/>
      <c r="H190" s="3"/>
    </row>
    <row r="191" spans="1:8">
      <c r="A191" s="47"/>
      <c r="E191" s="3"/>
      <c r="F191" s="3"/>
      <c r="G191" s="3"/>
      <c r="H191" s="3"/>
    </row>
    <row r="192" spans="1:8">
      <c r="E192" s="3"/>
      <c r="F192" s="3"/>
      <c r="G192" s="3"/>
      <c r="H192" s="3"/>
    </row>
    <row r="193" spans="1:8">
      <c r="E193" s="3"/>
      <c r="F193" s="3"/>
      <c r="G193" s="3"/>
      <c r="H193" s="3"/>
    </row>
    <row r="194" spans="1:8">
      <c r="A194" s="48"/>
      <c r="E194" s="3"/>
      <c r="F194" s="3"/>
      <c r="G194" s="3"/>
      <c r="H194" s="3"/>
    </row>
    <row r="195" spans="1:8">
      <c r="E195" s="3"/>
      <c r="F195" s="3"/>
      <c r="G195" s="3"/>
      <c r="H195" s="3"/>
    </row>
    <row r="196" spans="1:8">
      <c r="E196" s="3"/>
      <c r="F196" s="3"/>
      <c r="G196" s="3"/>
      <c r="H196" s="3"/>
    </row>
    <row r="197" spans="1:8">
      <c r="E197" s="3"/>
      <c r="F197" s="3"/>
      <c r="G197" s="3"/>
      <c r="H197" s="3"/>
    </row>
    <row r="198" spans="1:8">
      <c r="E198" s="3"/>
      <c r="F198" s="3"/>
      <c r="G198" s="3"/>
      <c r="H198" s="3"/>
    </row>
    <row r="199" spans="1:8">
      <c r="E199" s="3"/>
      <c r="F199" s="3"/>
      <c r="G199" s="3"/>
      <c r="H199" s="3"/>
    </row>
    <row r="200" spans="1:8">
      <c r="E200" s="3"/>
      <c r="F200" s="3"/>
      <c r="G200" s="3"/>
      <c r="H200" s="3"/>
    </row>
    <row r="201" spans="1:8">
      <c r="E201" s="3"/>
      <c r="F201" s="3"/>
      <c r="G201" s="3"/>
      <c r="H201" s="3"/>
    </row>
    <row r="202" spans="1:8">
      <c r="E202" s="3"/>
      <c r="F202" s="3"/>
      <c r="G202" s="3"/>
      <c r="H202" s="3"/>
    </row>
    <row r="203" spans="1:8">
      <c r="E203" s="3"/>
      <c r="F203" s="3"/>
      <c r="G203" s="3"/>
      <c r="H203" s="3"/>
    </row>
    <row r="204" spans="1:8">
      <c r="E204" s="3"/>
      <c r="F204" s="3"/>
      <c r="G204" s="3"/>
      <c r="H204" s="3"/>
    </row>
    <row r="205" spans="1:8">
      <c r="E205" s="3"/>
      <c r="F205" s="3"/>
      <c r="G205" s="3"/>
      <c r="H205" s="3"/>
    </row>
    <row r="206" spans="1:8">
      <c r="E206" s="3"/>
      <c r="F206" s="3"/>
      <c r="G206" s="3"/>
      <c r="H206" s="3"/>
    </row>
    <row r="207" spans="1:8">
      <c r="A207" s="49"/>
      <c r="E207" s="3"/>
      <c r="F207" s="3"/>
      <c r="G207" s="3"/>
      <c r="H207" s="3"/>
    </row>
    <row r="208" spans="1:8">
      <c r="A208" s="49"/>
      <c r="E208" s="3"/>
      <c r="F208" s="3"/>
      <c r="G208" s="3"/>
      <c r="H208" s="3"/>
    </row>
    <row r="209" spans="5:8">
      <c r="E209" s="3"/>
      <c r="F209" s="3"/>
      <c r="G209" s="3"/>
      <c r="H209" s="3"/>
    </row>
    <row r="210" spans="5:8">
      <c r="E210" s="3"/>
      <c r="F210" s="3"/>
      <c r="G210" s="3"/>
      <c r="H210" s="3"/>
    </row>
    <row r="211" spans="5:8">
      <c r="E211" s="3"/>
      <c r="F211" s="3"/>
      <c r="G211" s="3"/>
      <c r="H211" s="3"/>
    </row>
    <row r="212" spans="5:8">
      <c r="E212" s="3"/>
      <c r="F212" s="3"/>
      <c r="G212" s="3"/>
      <c r="H212" s="3"/>
    </row>
    <row r="213" spans="5:8">
      <c r="E213" s="3"/>
      <c r="F213" s="3"/>
      <c r="G213" s="3"/>
      <c r="H213" s="3"/>
    </row>
    <row r="214" spans="5:8">
      <c r="E214" s="3"/>
      <c r="F214" s="3"/>
      <c r="G214" s="3"/>
      <c r="H214" s="3"/>
    </row>
    <row r="215" spans="5:8">
      <c r="E215" s="3"/>
      <c r="F215" s="3"/>
      <c r="G215" s="3"/>
      <c r="H215" s="3"/>
    </row>
    <row r="216" spans="5:8">
      <c r="E216" s="3"/>
      <c r="F216" s="3"/>
      <c r="G216" s="3"/>
      <c r="H216" s="3"/>
    </row>
    <row r="217" spans="5:8">
      <c r="E217" s="3"/>
      <c r="F217" s="3"/>
      <c r="G217" s="3"/>
      <c r="H217" s="3"/>
    </row>
    <row r="218" spans="5:8">
      <c r="E218" s="3"/>
      <c r="F218" s="3"/>
      <c r="G218" s="3"/>
      <c r="H218" s="3"/>
    </row>
    <row r="219" spans="5:8">
      <c r="E219" s="3"/>
      <c r="F219" s="3"/>
      <c r="G219" s="3"/>
      <c r="H219" s="3"/>
    </row>
    <row r="220" spans="5:8">
      <c r="E220" s="3"/>
      <c r="F220" s="3"/>
      <c r="G220" s="3"/>
      <c r="H220" s="3"/>
    </row>
    <row r="221" spans="5:8">
      <c r="E221" s="3"/>
      <c r="F221" s="3"/>
      <c r="G221" s="3"/>
      <c r="H221" s="3"/>
    </row>
    <row r="222" spans="5:8">
      <c r="E222" s="3"/>
      <c r="F222" s="3"/>
      <c r="G222" s="3"/>
      <c r="H222" s="3"/>
    </row>
    <row r="223" spans="5:8">
      <c r="E223" s="3"/>
      <c r="F223" s="3"/>
      <c r="G223" s="3"/>
      <c r="H223" s="3"/>
    </row>
    <row r="224" spans="5:8">
      <c r="E224" s="3"/>
      <c r="F224" s="3"/>
      <c r="G224" s="3"/>
      <c r="H224" s="3"/>
    </row>
    <row r="225" spans="5:8">
      <c r="E225" s="3"/>
      <c r="F225" s="3"/>
      <c r="G225" s="3"/>
      <c r="H225" s="3"/>
    </row>
    <row r="226" spans="5:8">
      <c r="E226" s="3"/>
      <c r="F226" s="3"/>
      <c r="G226" s="3"/>
      <c r="H226" s="3"/>
    </row>
    <row r="227" spans="5:8">
      <c r="E227" s="3"/>
      <c r="F227" s="3"/>
      <c r="G227" s="3"/>
      <c r="H227" s="3"/>
    </row>
    <row r="228" spans="5:8">
      <c r="E228" s="3"/>
      <c r="F228" s="3"/>
      <c r="G228" s="3"/>
      <c r="H228" s="3"/>
    </row>
    <row r="229" spans="5:8">
      <c r="E229" s="3"/>
      <c r="F229" s="3"/>
      <c r="G229" s="3"/>
      <c r="H229" s="3"/>
    </row>
    <row r="230" spans="5:8">
      <c r="E230" s="3"/>
      <c r="F230" s="3"/>
      <c r="G230" s="3"/>
      <c r="H230" s="3"/>
    </row>
    <row r="231" spans="5:8">
      <c r="E231" s="3"/>
      <c r="F231" s="3"/>
      <c r="G231" s="3"/>
      <c r="H231" s="3"/>
    </row>
    <row r="232" spans="5:8">
      <c r="E232" s="3"/>
      <c r="F232" s="3"/>
      <c r="G232" s="3"/>
      <c r="H232" s="3"/>
    </row>
    <row r="233" spans="5:8">
      <c r="E233" s="3"/>
      <c r="F233" s="3"/>
      <c r="G233" s="3"/>
      <c r="H233" s="3"/>
    </row>
    <row r="234" spans="5:8">
      <c r="E234" s="3"/>
      <c r="F234" s="3"/>
      <c r="G234" s="3"/>
      <c r="H234" s="3"/>
    </row>
    <row r="235" spans="5:8">
      <c r="E235" s="3"/>
      <c r="F235" s="3"/>
      <c r="G235" s="3"/>
      <c r="H235" s="3"/>
    </row>
    <row r="236" spans="5:8">
      <c r="E236" s="3"/>
      <c r="F236" s="3"/>
      <c r="G236" s="3"/>
      <c r="H236" s="3"/>
    </row>
    <row r="237" spans="5:8">
      <c r="E237" s="3"/>
      <c r="F237" s="3"/>
      <c r="G237" s="3"/>
      <c r="H237" s="3"/>
    </row>
    <row r="238" spans="5:8">
      <c r="E238" s="3"/>
      <c r="F238" s="3"/>
      <c r="G238" s="3"/>
      <c r="H238" s="3"/>
    </row>
    <row r="239" spans="5:8">
      <c r="E239" s="3"/>
      <c r="F239" s="3"/>
      <c r="G239" s="3"/>
      <c r="H239" s="3"/>
    </row>
    <row r="240" spans="5:8">
      <c r="E240" s="3"/>
      <c r="F240" s="3"/>
      <c r="G240" s="3"/>
      <c r="H240" s="3"/>
    </row>
    <row r="241" spans="5:8">
      <c r="E241" s="3"/>
      <c r="F241" s="3"/>
      <c r="G241" s="3"/>
      <c r="H241" s="3"/>
    </row>
    <row r="242" spans="5:8">
      <c r="E242" s="3"/>
      <c r="F242" s="3"/>
      <c r="G242" s="3"/>
      <c r="H242" s="3"/>
    </row>
    <row r="243" spans="5:8">
      <c r="E243" s="3"/>
      <c r="F243" s="3"/>
      <c r="G243" s="3"/>
      <c r="H243" s="3"/>
    </row>
    <row r="244" spans="5:8">
      <c r="E244" s="3"/>
      <c r="F244" s="3"/>
      <c r="G244" s="3"/>
      <c r="H244" s="3"/>
    </row>
    <row r="245" spans="5:8">
      <c r="E245" s="3"/>
      <c r="F245" s="3"/>
      <c r="G245" s="3"/>
      <c r="H245" s="3"/>
    </row>
    <row r="246" spans="5:8">
      <c r="E246" s="3"/>
      <c r="F246" s="3"/>
      <c r="G246" s="3"/>
      <c r="H246" s="3"/>
    </row>
    <row r="247" spans="5:8">
      <c r="E247" s="3"/>
      <c r="F247" s="3"/>
      <c r="G247" s="3"/>
      <c r="H247" s="3"/>
    </row>
    <row r="248" spans="5:8">
      <c r="E248" s="3"/>
      <c r="F248" s="3"/>
      <c r="G248" s="3"/>
      <c r="H248" s="3"/>
    </row>
    <row r="249" spans="5:8">
      <c r="E249" s="3"/>
      <c r="F249" s="3"/>
      <c r="G249" s="3"/>
      <c r="H249" s="3"/>
    </row>
    <row r="250" spans="5:8">
      <c r="E250" s="3"/>
      <c r="F250" s="3"/>
      <c r="G250" s="3"/>
      <c r="H250" s="3"/>
    </row>
    <row r="251" spans="5:8">
      <c r="E251" s="3"/>
      <c r="F251" s="3"/>
      <c r="G251" s="3"/>
      <c r="H251" s="3"/>
    </row>
    <row r="252" spans="5:8">
      <c r="E252" s="3"/>
      <c r="F252" s="3"/>
      <c r="G252" s="3"/>
      <c r="H252" s="3"/>
    </row>
    <row r="253" spans="5:8">
      <c r="E253" s="3"/>
      <c r="F253" s="3"/>
      <c r="G253" s="3"/>
      <c r="H253" s="3"/>
    </row>
    <row r="254" spans="5:8">
      <c r="E254" s="3"/>
      <c r="F254" s="3"/>
      <c r="G254" s="3"/>
      <c r="H254" s="3"/>
    </row>
    <row r="255" spans="5:8">
      <c r="E255" s="3"/>
      <c r="F255" s="3"/>
      <c r="G255" s="3"/>
      <c r="H255" s="3"/>
    </row>
    <row r="256" spans="5:8">
      <c r="E256" s="3"/>
      <c r="F256" s="3"/>
      <c r="G256" s="3"/>
      <c r="H256" s="3"/>
    </row>
    <row r="257" spans="5:8">
      <c r="E257" s="3"/>
      <c r="F257" s="3"/>
      <c r="G257" s="3"/>
      <c r="H257" s="3"/>
    </row>
    <row r="258" spans="5:8">
      <c r="E258" s="3"/>
      <c r="F258" s="3"/>
      <c r="G258" s="3"/>
      <c r="H258" s="3"/>
    </row>
    <row r="259" spans="5:8">
      <c r="E259" s="3"/>
      <c r="F259" s="3"/>
      <c r="G259" s="3"/>
      <c r="H259" s="3"/>
    </row>
    <row r="260" spans="5:8">
      <c r="E260" s="3"/>
      <c r="F260" s="3"/>
      <c r="G260" s="3"/>
      <c r="H260" s="3"/>
    </row>
    <row r="261" spans="5:8">
      <c r="E261" s="3"/>
      <c r="F261" s="3"/>
      <c r="G261" s="3"/>
      <c r="H261" s="3"/>
    </row>
    <row r="262" spans="5:8">
      <c r="E262" s="3"/>
      <c r="F262" s="3"/>
      <c r="G262" s="3"/>
      <c r="H262" s="3"/>
    </row>
    <row r="263" spans="5:8">
      <c r="E263" s="3"/>
      <c r="F263" s="3"/>
      <c r="G263" s="3"/>
      <c r="H263" s="3"/>
    </row>
    <row r="264" spans="5:8">
      <c r="E264" s="3"/>
      <c r="F264" s="3"/>
      <c r="G264" s="3"/>
      <c r="H264" s="3"/>
    </row>
    <row r="265" spans="5:8">
      <c r="E265" s="3"/>
      <c r="F265" s="3"/>
      <c r="G265" s="3"/>
      <c r="H265" s="3"/>
    </row>
    <row r="266" spans="5:8">
      <c r="E266" s="3"/>
      <c r="F266" s="3"/>
      <c r="G266" s="3"/>
      <c r="H266" s="3"/>
    </row>
    <row r="267" spans="5:8">
      <c r="E267" s="3"/>
      <c r="F267" s="3"/>
      <c r="G267" s="3"/>
      <c r="H267" s="3"/>
    </row>
    <row r="268" spans="5:8">
      <c r="E268" s="3"/>
      <c r="F268" s="3"/>
      <c r="G268" s="3"/>
      <c r="H268" s="3"/>
    </row>
    <row r="269" spans="5:8">
      <c r="E269" s="3"/>
      <c r="F269" s="3"/>
      <c r="G269" s="3"/>
      <c r="H269" s="3"/>
    </row>
    <row r="270" spans="5:8">
      <c r="E270" s="3"/>
      <c r="F270" s="3"/>
      <c r="G270" s="3"/>
      <c r="H270" s="3"/>
    </row>
    <row r="271" spans="5:8">
      <c r="E271" s="3"/>
      <c r="F271" s="3"/>
      <c r="G271" s="3"/>
      <c r="H271" s="3"/>
    </row>
    <row r="272" spans="5:8">
      <c r="E272" s="3"/>
      <c r="F272" s="3"/>
      <c r="G272" s="3"/>
      <c r="H272" s="3"/>
    </row>
    <row r="273" spans="5:8">
      <c r="E273" s="3"/>
      <c r="F273" s="3"/>
      <c r="G273" s="3"/>
      <c r="H273" s="3"/>
    </row>
    <row r="274" spans="5:8">
      <c r="E274" s="3"/>
      <c r="F274" s="3"/>
      <c r="G274" s="3"/>
      <c r="H274" s="3"/>
    </row>
    <row r="275" spans="5:8">
      <c r="E275" s="3"/>
      <c r="F275" s="3"/>
      <c r="G275" s="3"/>
      <c r="H275" s="3"/>
    </row>
    <row r="276" spans="5:8">
      <c r="E276" s="3"/>
      <c r="F276" s="3"/>
      <c r="G276" s="3"/>
      <c r="H276" s="3"/>
    </row>
    <row r="277" spans="5:8">
      <c r="E277" s="3"/>
      <c r="F277" s="3"/>
      <c r="G277" s="3"/>
      <c r="H277" s="3"/>
    </row>
    <row r="278" spans="5:8">
      <c r="E278" s="3"/>
      <c r="F278" s="3"/>
      <c r="G278" s="3"/>
      <c r="H278" s="3"/>
    </row>
    <row r="279" spans="5:8">
      <c r="E279" s="3"/>
      <c r="F279" s="3"/>
      <c r="G279" s="3"/>
      <c r="H279" s="3"/>
    </row>
    <row r="280" spans="5:8">
      <c r="E280" s="3"/>
      <c r="F280" s="3"/>
      <c r="G280" s="3"/>
      <c r="H280" s="3"/>
    </row>
    <row r="281" spans="5:8">
      <c r="E281" s="3"/>
      <c r="F281" s="3"/>
      <c r="G281" s="3"/>
      <c r="H281" s="3"/>
    </row>
    <row r="282" spans="5:8">
      <c r="E282" s="3"/>
      <c r="F282" s="3"/>
      <c r="G282" s="3"/>
      <c r="H282" s="3"/>
    </row>
    <row r="283" spans="5:8">
      <c r="E283" s="3"/>
      <c r="F283" s="3"/>
      <c r="G283" s="3"/>
      <c r="H283" s="3"/>
    </row>
    <row r="284" spans="5:8">
      <c r="E284" s="3"/>
      <c r="F284" s="3"/>
      <c r="G284" s="3"/>
      <c r="H284" s="3"/>
    </row>
    <row r="285" spans="5:8">
      <c r="E285" s="3"/>
      <c r="F285" s="3"/>
      <c r="G285" s="3"/>
      <c r="H285" s="3"/>
    </row>
    <row r="286" spans="5:8">
      <c r="E286" s="3"/>
      <c r="F286" s="3"/>
      <c r="G286" s="3"/>
      <c r="H286" s="3"/>
    </row>
    <row r="287" spans="5:8">
      <c r="E287" s="3"/>
      <c r="F287" s="3"/>
      <c r="G287" s="3"/>
      <c r="H287" s="3"/>
    </row>
    <row r="288" spans="5:8">
      <c r="E288" s="3"/>
      <c r="F288" s="3"/>
      <c r="G288" s="3"/>
      <c r="H288" s="3"/>
    </row>
    <row r="289" spans="5:8">
      <c r="E289" s="3"/>
      <c r="F289" s="3"/>
      <c r="G289" s="3"/>
      <c r="H289" s="3"/>
    </row>
    <row r="290" spans="5:8">
      <c r="E290" s="3"/>
      <c r="F290" s="3"/>
      <c r="G290" s="3"/>
      <c r="H290" s="3"/>
    </row>
    <row r="291" spans="5:8">
      <c r="E291" s="3"/>
      <c r="F291" s="3"/>
      <c r="G291" s="3"/>
      <c r="H291" s="3"/>
    </row>
    <row r="292" spans="5:8">
      <c r="E292" s="3"/>
      <c r="F292" s="3"/>
      <c r="G292" s="3"/>
      <c r="H292" s="3"/>
    </row>
    <row r="293" spans="5:8">
      <c r="E293" s="3"/>
      <c r="F293" s="3"/>
      <c r="G293" s="3"/>
      <c r="H293" s="3"/>
    </row>
    <row r="294" spans="5:8">
      <c r="E294" s="3"/>
      <c r="F294" s="3"/>
      <c r="G294" s="3"/>
      <c r="H294" s="3"/>
    </row>
    <row r="295" spans="5:8">
      <c r="E295" s="3"/>
      <c r="F295" s="3"/>
      <c r="G295" s="3"/>
      <c r="H295" s="3"/>
    </row>
    <row r="296" spans="5:8">
      <c r="E296" s="3"/>
      <c r="F296" s="3"/>
      <c r="G296" s="3"/>
      <c r="H296" s="3"/>
    </row>
    <row r="297" spans="5:8">
      <c r="E297" s="3"/>
      <c r="F297" s="3"/>
      <c r="G297" s="3"/>
      <c r="H297" s="3"/>
    </row>
    <row r="298" spans="5:8">
      <c r="E298" s="3"/>
      <c r="F298" s="3"/>
      <c r="G298" s="3"/>
      <c r="H298" s="3"/>
    </row>
    <row r="299" spans="5:8">
      <c r="E299" s="3"/>
      <c r="F299" s="3"/>
      <c r="G299" s="3"/>
      <c r="H299" s="3"/>
    </row>
    <row r="300" spans="5:8">
      <c r="E300" s="3"/>
      <c r="F300" s="3"/>
      <c r="G300" s="3"/>
      <c r="H300" s="3"/>
    </row>
    <row r="301" spans="5:8">
      <c r="E301" s="3"/>
      <c r="F301" s="3"/>
      <c r="G301" s="3"/>
      <c r="H301" s="3"/>
    </row>
    <row r="302" spans="5:8">
      <c r="E302" s="3"/>
      <c r="F302" s="3"/>
      <c r="G302" s="3"/>
      <c r="H302" s="3"/>
    </row>
    <row r="303" spans="5:8">
      <c r="E303" s="3"/>
      <c r="F303" s="3"/>
      <c r="G303" s="3"/>
      <c r="H303" s="3"/>
    </row>
    <row r="304" spans="5:8">
      <c r="E304" s="3"/>
      <c r="F304" s="3"/>
      <c r="G304" s="3"/>
      <c r="H304" s="3"/>
    </row>
    <row r="305" spans="5:8">
      <c r="E305" s="3"/>
      <c r="F305" s="3"/>
      <c r="G305" s="3"/>
      <c r="H305" s="3"/>
    </row>
    <row r="306" spans="5:8">
      <c r="E306" s="3"/>
      <c r="F306" s="3"/>
      <c r="G306" s="3"/>
      <c r="H306" s="3"/>
    </row>
    <row r="307" spans="5:8">
      <c r="E307" s="3"/>
      <c r="F307" s="3"/>
      <c r="G307" s="3"/>
      <c r="H307" s="3"/>
    </row>
    <row r="308" spans="5:8">
      <c r="E308" s="3"/>
      <c r="F308" s="3"/>
      <c r="G308" s="3"/>
      <c r="H308" s="3"/>
    </row>
    <row r="309" spans="5:8">
      <c r="E309" s="3"/>
      <c r="F309" s="3"/>
      <c r="G309" s="3"/>
      <c r="H309" s="3"/>
    </row>
    <row r="310" spans="5:8">
      <c r="E310" s="3"/>
      <c r="F310" s="3"/>
      <c r="G310" s="3"/>
      <c r="H310" s="3"/>
    </row>
    <row r="311" spans="5:8">
      <c r="E311" s="3"/>
      <c r="F311" s="3"/>
      <c r="G311" s="3"/>
      <c r="H311" s="3"/>
    </row>
    <row r="312" spans="5:8">
      <c r="E312" s="3"/>
      <c r="F312" s="3"/>
      <c r="G312" s="3"/>
      <c r="H312" s="3"/>
    </row>
    <row r="313" spans="5:8">
      <c r="E313" s="3"/>
      <c r="F313" s="3"/>
      <c r="G313" s="3"/>
      <c r="H313" s="3"/>
    </row>
    <row r="314" spans="5:8">
      <c r="E314" s="3"/>
      <c r="F314" s="3"/>
      <c r="G314" s="3"/>
      <c r="H314" s="3"/>
    </row>
    <row r="315" spans="5:8">
      <c r="E315" s="3"/>
      <c r="F315" s="3"/>
      <c r="G315" s="3"/>
      <c r="H315" s="3"/>
    </row>
    <row r="316" spans="5:8">
      <c r="E316" s="3"/>
      <c r="F316" s="3"/>
      <c r="G316" s="3"/>
      <c r="H316" s="3"/>
    </row>
    <row r="317" spans="5:8">
      <c r="E317" s="3"/>
      <c r="F317" s="3"/>
      <c r="G317" s="3"/>
      <c r="H317" s="3"/>
    </row>
    <row r="318" spans="5:8">
      <c r="E318" s="3"/>
      <c r="F318" s="3"/>
      <c r="G318" s="3"/>
      <c r="H318" s="3"/>
    </row>
    <row r="319" spans="5:8">
      <c r="E319" s="3"/>
      <c r="F319" s="3"/>
      <c r="G319" s="3"/>
      <c r="H319" s="3"/>
    </row>
    <row r="320" spans="5:8">
      <c r="E320" s="3"/>
      <c r="F320" s="3"/>
      <c r="G320" s="3"/>
      <c r="H320" s="3"/>
    </row>
    <row r="321" spans="5:8">
      <c r="E321" s="3"/>
      <c r="F321" s="3"/>
      <c r="G321" s="3"/>
      <c r="H321" s="3"/>
    </row>
    <row r="322" spans="5:8">
      <c r="E322" s="3"/>
      <c r="F322" s="3"/>
      <c r="G322" s="3"/>
      <c r="H322" s="3"/>
    </row>
    <row r="323" spans="5:8">
      <c r="E323" s="3"/>
      <c r="F323" s="3"/>
      <c r="G323" s="3"/>
      <c r="H323" s="3"/>
    </row>
    <row r="324" spans="5:8">
      <c r="E324" s="3"/>
      <c r="F324" s="3"/>
      <c r="G324" s="3"/>
      <c r="H324" s="3"/>
    </row>
    <row r="325" spans="5:8">
      <c r="E325" s="3"/>
      <c r="F325" s="3"/>
      <c r="G325" s="3"/>
      <c r="H325" s="3"/>
    </row>
    <row r="326" spans="5:8">
      <c r="E326" s="3"/>
      <c r="F326" s="3"/>
      <c r="G326" s="3"/>
      <c r="H326" s="3"/>
    </row>
    <row r="327" spans="5:8">
      <c r="E327" s="3"/>
      <c r="F327" s="3"/>
      <c r="G327" s="3"/>
      <c r="H327" s="3"/>
    </row>
    <row r="328" spans="5:8">
      <c r="E328" s="3"/>
      <c r="F328" s="3"/>
      <c r="G328" s="3"/>
      <c r="H328" s="3"/>
    </row>
    <row r="329" spans="5:8">
      <c r="E329" s="3"/>
      <c r="F329" s="3"/>
      <c r="G329" s="3"/>
      <c r="H329" s="3"/>
    </row>
    <row r="330" spans="5:8">
      <c r="E330" s="3"/>
      <c r="F330" s="3"/>
      <c r="G330" s="3"/>
      <c r="H330" s="3"/>
    </row>
    <row r="331" spans="5:8">
      <c r="E331" s="3"/>
      <c r="F331" s="3"/>
      <c r="G331" s="3"/>
      <c r="H331" s="3"/>
    </row>
    <row r="332" spans="5:8">
      <c r="E332" s="3"/>
      <c r="F332" s="3"/>
      <c r="G332" s="3"/>
      <c r="H332" s="3"/>
    </row>
    <row r="333" spans="5:8">
      <c r="E333" s="3"/>
      <c r="F333" s="3"/>
      <c r="G333" s="3"/>
      <c r="H333" s="3"/>
    </row>
    <row r="334" spans="5:8">
      <c r="E334" s="3"/>
      <c r="F334" s="3"/>
      <c r="G334" s="3"/>
      <c r="H334" s="3"/>
    </row>
    <row r="335" spans="5:8">
      <c r="E335" s="3"/>
      <c r="F335" s="3"/>
      <c r="G335" s="3"/>
      <c r="H335" s="3"/>
    </row>
    <row r="336" spans="5:8">
      <c r="E336" s="3"/>
      <c r="F336" s="3"/>
      <c r="G336" s="3"/>
      <c r="H336" s="3"/>
    </row>
    <row r="337" spans="5:8">
      <c r="E337" s="3"/>
      <c r="F337" s="3"/>
      <c r="G337" s="3"/>
      <c r="H337" s="3"/>
    </row>
    <row r="338" spans="5:8">
      <c r="E338" s="3"/>
      <c r="F338" s="3"/>
      <c r="G338" s="3"/>
      <c r="H338" s="3"/>
    </row>
    <row r="339" spans="5:8">
      <c r="E339" s="3"/>
      <c r="F339" s="3"/>
      <c r="G339" s="3"/>
      <c r="H339" s="3"/>
    </row>
    <row r="340" spans="5:8">
      <c r="E340" s="3"/>
      <c r="F340" s="3"/>
      <c r="G340" s="3"/>
      <c r="H340" s="3"/>
    </row>
    <row r="341" spans="5:8">
      <c r="E341" s="3"/>
      <c r="F341" s="3"/>
      <c r="G341" s="3"/>
      <c r="H341" s="3"/>
    </row>
    <row r="342" spans="5:8">
      <c r="E342" s="3"/>
      <c r="F342" s="3"/>
      <c r="G342" s="3"/>
      <c r="H342" s="3"/>
    </row>
    <row r="343" spans="5:8">
      <c r="E343" s="3"/>
      <c r="F343" s="3"/>
      <c r="G343" s="3"/>
      <c r="H343" s="3"/>
    </row>
    <row r="344" spans="5:8">
      <c r="E344" s="3"/>
      <c r="F344" s="3"/>
      <c r="G344" s="3"/>
      <c r="H344" s="3"/>
    </row>
    <row r="345" spans="5:8">
      <c r="E345" s="3"/>
      <c r="F345" s="3"/>
      <c r="G345" s="3"/>
      <c r="H345" s="3"/>
    </row>
    <row r="346" spans="5:8">
      <c r="E346" s="3"/>
      <c r="F346" s="3"/>
      <c r="G346" s="3"/>
      <c r="H346" s="3"/>
    </row>
    <row r="347" spans="5:8">
      <c r="E347" s="3"/>
      <c r="F347" s="3"/>
      <c r="G347" s="3"/>
      <c r="H347" s="3"/>
    </row>
    <row r="348" spans="5:8">
      <c r="E348" s="3"/>
      <c r="F348" s="3"/>
      <c r="G348" s="3"/>
      <c r="H348" s="3"/>
    </row>
    <row r="349" spans="5:8">
      <c r="E349" s="3"/>
      <c r="F349" s="3"/>
      <c r="G349" s="3"/>
      <c r="H349" s="3"/>
    </row>
    <row r="350" spans="5:8">
      <c r="E350" s="3"/>
      <c r="F350" s="3"/>
      <c r="G350" s="3"/>
      <c r="H350" s="3"/>
    </row>
    <row r="351" spans="5:8">
      <c r="E351" s="3"/>
      <c r="F351" s="3"/>
      <c r="G351" s="3"/>
      <c r="H351" s="3"/>
    </row>
    <row r="352" spans="5:8">
      <c r="E352" s="3"/>
      <c r="F352" s="3"/>
      <c r="G352" s="3"/>
      <c r="H352" s="3"/>
    </row>
    <row r="353" spans="5:8">
      <c r="E353" s="3"/>
      <c r="F353" s="3"/>
      <c r="G353" s="3"/>
      <c r="H353" s="3"/>
    </row>
    <row r="354" spans="5:8">
      <c r="E354" s="3"/>
      <c r="F354" s="3"/>
      <c r="G354" s="3"/>
      <c r="H354" s="3"/>
    </row>
    <row r="355" spans="5:8">
      <c r="E355" s="3"/>
      <c r="F355" s="3"/>
      <c r="G355" s="3"/>
      <c r="H355" s="3"/>
    </row>
    <row r="356" spans="5:8">
      <c r="E356" s="3"/>
      <c r="F356" s="3"/>
      <c r="G356" s="3"/>
      <c r="H356" s="3"/>
    </row>
    <row r="357" spans="5:8">
      <c r="E357" s="3"/>
      <c r="F357" s="3"/>
      <c r="G357" s="3"/>
      <c r="H357" s="3"/>
    </row>
    <row r="358" spans="5:8">
      <c r="E358" s="3"/>
      <c r="F358" s="3"/>
      <c r="G358" s="3"/>
      <c r="H358" s="3"/>
    </row>
    <row r="359" spans="5:8">
      <c r="E359" s="3"/>
      <c r="F359" s="3"/>
      <c r="G359" s="3"/>
      <c r="H359" s="3"/>
    </row>
    <row r="360" spans="5:8">
      <c r="E360" s="3"/>
      <c r="F360" s="3"/>
      <c r="G360" s="3"/>
      <c r="H360" s="3"/>
    </row>
    <row r="361" spans="5:8">
      <c r="E361" s="3"/>
      <c r="F361" s="3"/>
      <c r="G361" s="3"/>
      <c r="H361" s="3"/>
    </row>
    <row r="362" spans="5:8">
      <c r="E362" s="3"/>
      <c r="F362" s="3"/>
      <c r="G362" s="3"/>
      <c r="H362" s="3"/>
    </row>
    <row r="363" spans="5:8">
      <c r="E363" s="3"/>
      <c r="F363" s="3"/>
      <c r="G363" s="3"/>
      <c r="H363" s="3"/>
    </row>
    <row r="364" spans="5:8">
      <c r="E364" s="3"/>
      <c r="F364" s="3"/>
      <c r="G364" s="3"/>
      <c r="H364" s="3"/>
    </row>
    <row r="365" spans="5:8">
      <c r="E365" s="3"/>
      <c r="F365" s="3"/>
      <c r="G365" s="3"/>
      <c r="H365" s="3"/>
    </row>
    <row r="366" spans="5:8">
      <c r="E366" s="3"/>
      <c r="F366" s="3"/>
      <c r="G366" s="3"/>
      <c r="H366" s="3"/>
    </row>
    <row r="367" spans="5:8">
      <c r="E367" s="3"/>
      <c r="F367" s="3"/>
      <c r="G367" s="3"/>
      <c r="H367" s="3"/>
    </row>
    <row r="368" spans="5:8">
      <c r="E368" s="3"/>
      <c r="F368" s="3"/>
      <c r="G368" s="3"/>
      <c r="H368" s="3"/>
    </row>
    <row r="369" spans="5:8">
      <c r="E369" s="3"/>
      <c r="F369" s="3"/>
      <c r="G369" s="3"/>
      <c r="H369" s="3"/>
    </row>
    <row r="370" spans="5:8">
      <c r="E370" s="3"/>
      <c r="F370" s="3"/>
      <c r="G370" s="3"/>
      <c r="H370" s="3"/>
    </row>
    <row r="371" spans="5:8">
      <c r="E371" s="3"/>
      <c r="F371" s="3"/>
      <c r="G371" s="3"/>
      <c r="H371" s="3"/>
    </row>
    <row r="372" spans="5:8">
      <c r="E372" s="3"/>
      <c r="F372" s="3"/>
      <c r="G372" s="3"/>
      <c r="H372" s="3"/>
    </row>
    <row r="373" spans="5:8">
      <c r="E373" s="3"/>
      <c r="F373" s="3"/>
      <c r="G373" s="3"/>
      <c r="H373" s="3"/>
    </row>
    <row r="374" spans="5:8">
      <c r="E374" s="3"/>
      <c r="F374" s="3"/>
      <c r="G374" s="3"/>
      <c r="H374" s="3"/>
    </row>
    <row r="375" spans="5:8">
      <c r="E375" s="3"/>
      <c r="F375" s="3"/>
      <c r="G375" s="3"/>
      <c r="H375" s="3"/>
    </row>
    <row r="376" spans="5:8">
      <c r="E376" s="3"/>
      <c r="F376" s="3"/>
      <c r="G376" s="3"/>
      <c r="H376" s="3"/>
    </row>
    <row r="377" spans="5:8">
      <c r="E377" s="3"/>
      <c r="F377" s="3"/>
      <c r="G377" s="3"/>
      <c r="H377" s="3"/>
    </row>
    <row r="378" spans="5:8">
      <c r="E378" s="3"/>
      <c r="F378" s="3"/>
      <c r="G378" s="3"/>
      <c r="H378" s="3"/>
    </row>
    <row r="379" spans="5:8">
      <c r="E379" s="3"/>
      <c r="F379" s="3"/>
      <c r="G379" s="3"/>
      <c r="H379" s="3"/>
    </row>
    <row r="380" spans="5:8">
      <c r="E380" s="3"/>
      <c r="F380" s="3"/>
      <c r="G380" s="3"/>
      <c r="H380" s="3"/>
    </row>
    <row r="381" spans="5:8">
      <c r="E381" s="3"/>
      <c r="F381" s="3"/>
      <c r="G381" s="3"/>
      <c r="H381" s="3"/>
    </row>
    <row r="382" spans="5:8">
      <c r="E382" s="3"/>
      <c r="F382" s="3"/>
      <c r="G382" s="3"/>
      <c r="H382" s="3"/>
    </row>
    <row r="383" spans="5:8">
      <c r="E383" s="3"/>
      <c r="F383" s="3"/>
      <c r="G383" s="3"/>
      <c r="H383" s="3"/>
    </row>
    <row r="384" spans="5:8">
      <c r="E384" s="3"/>
      <c r="F384" s="3"/>
      <c r="G384" s="3"/>
      <c r="H384" s="3"/>
    </row>
    <row r="385" spans="5:8">
      <c r="E385" s="3"/>
      <c r="F385" s="3"/>
      <c r="G385" s="3"/>
      <c r="H385" s="3"/>
    </row>
    <row r="386" spans="5:8">
      <c r="E386" s="3"/>
      <c r="F386" s="3"/>
      <c r="G386" s="3"/>
      <c r="H386" s="3"/>
    </row>
    <row r="387" spans="5:8">
      <c r="E387" s="3"/>
      <c r="F387" s="3"/>
      <c r="G387" s="3"/>
      <c r="H387" s="3"/>
    </row>
    <row r="388" spans="5:8">
      <c r="E388" s="3"/>
      <c r="F388" s="3"/>
      <c r="G388" s="3"/>
      <c r="H388" s="3"/>
    </row>
    <row r="389" spans="5:8">
      <c r="E389" s="3"/>
      <c r="F389" s="3"/>
      <c r="G389" s="3"/>
      <c r="H389" s="3"/>
    </row>
    <row r="390" spans="5:8">
      <c r="E390" s="3"/>
      <c r="F390" s="3"/>
      <c r="G390" s="3"/>
      <c r="H390" s="3"/>
    </row>
    <row r="391" spans="5:8">
      <c r="E391" s="3"/>
      <c r="F391" s="3"/>
      <c r="G391" s="3"/>
      <c r="H391" s="3"/>
    </row>
    <row r="392" spans="5:8">
      <c r="E392" s="3"/>
      <c r="F392" s="3"/>
      <c r="G392" s="3"/>
      <c r="H392" s="3"/>
    </row>
    <row r="393" spans="5:8">
      <c r="E393" s="3"/>
      <c r="F393" s="3"/>
      <c r="G393" s="3"/>
      <c r="H393" s="3"/>
    </row>
    <row r="394" spans="5:8">
      <c r="E394" s="3"/>
      <c r="F394" s="3"/>
      <c r="G394" s="3"/>
      <c r="H394" s="3"/>
    </row>
    <row r="395" spans="5:8">
      <c r="E395" s="3"/>
      <c r="F395" s="3"/>
      <c r="G395" s="3"/>
      <c r="H395" s="3"/>
    </row>
    <row r="396" spans="5:8">
      <c r="E396" s="3"/>
      <c r="F396" s="3"/>
      <c r="G396" s="3"/>
      <c r="H396" s="3"/>
    </row>
    <row r="397" spans="5:8">
      <c r="E397" s="3"/>
      <c r="F397" s="3"/>
      <c r="G397" s="3"/>
      <c r="H397" s="3"/>
    </row>
    <row r="398" spans="5:8">
      <c r="E398" s="3"/>
      <c r="F398" s="3"/>
      <c r="G398" s="3"/>
      <c r="H398" s="3"/>
    </row>
    <row r="399" spans="5:8">
      <c r="E399" s="3"/>
      <c r="F399" s="3"/>
      <c r="G399" s="3"/>
      <c r="H399" s="3"/>
    </row>
    <row r="400" spans="5:8">
      <c r="E400" s="3"/>
      <c r="F400" s="3"/>
      <c r="G400" s="3"/>
      <c r="H400" s="3"/>
    </row>
    <row r="401" spans="5:8">
      <c r="E401" s="3"/>
      <c r="F401" s="3"/>
      <c r="G401" s="3"/>
      <c r="H401" s="3"/>
    </row>
    <row r="402" spans="5:8">
      <c r="E402" s="3"/>
      <c r="F402" s="3"/>
      <c r="G402" s="3"/>
      <c r="H402" s="3"/>
    </row>
    <row r="403" spans="5:8">
      <c r="E403" s="3"/>
      <c r="F403" s="3"/>
      <c r="G403" s="3"/>
      <c r="H403" s="3"/>
    </row>
    <row r="404" spans="5:8">
      <c r="E404" s="3"/>
      <c r="F404" s="3"/>
      <c r="G404" s="3"/>
      <c r="H404" s="3"/>
    </row>
    <row r="405" spans="5:8">
      <c r="E405" s="3"/>
      <c r="F405" s="3"/>
      <c r="G405" s="3"/>
      <c r="H405" s="3"/>
    </row>
    <row r="406" spans="5:8">
      <c r="E406" s="3"/>
      <c r="F406" s="3"/>
      <c r="G406" s="3"/>
      <c r="H406" s="3"/>
    </row>
    <row r="407" spans="5:8">
      <c r="E407" s="3"/>
      <c r="F407" s="3"/>
      <c r="G407" s="3"/>
      <c r="H407" s="3"/>
    </row>
    <row r="408" spans="5:8">
      <c r="E408" s="3"/>
      <c r="F408" s="3"/>
      <c r="G408" s="3"/>
      <c r="H408" s="3"/>
    </row>
    <row r="409" spans="5:8">
      <c r="E409" s="3"/>
      <c r="F409" s="3"/>
      <c r="G409" s="3"/>
      <c r="H409" s="3"/>
    </row>
    <row r="410" spans="5:8">
      <c r="E410" s="3"/>
      <c r="F410" s="3"/>
      <c r="G410" s="3"/>
      <c r="H410" s="3"/>
    </row>
    <row r="411" spans="5:8">
      <c r="E411" s="3"/>
      <c r="F411" s="3"/>
      <c r="G411" s="3"/>
      <c r="H411" s="3"/>
    </row>
    <row r="412" spans="5:8">
      <c r="E412" s="3"/>
      <c r="F412" s="3"/>
      <c r="G412" s="3"/>
      <c r="H412" s="3"/>
    </row>
    <row r="413" spans="5:8">
      <c r="E413" s="3"/>
      <c r="F413" s="3"/>
      <c r="G413" s="3"/>
      <c r="H413" s="3"/>
    </row>
    <row r="414" spans="5:8">
      <c r="E414" s="3"/>
      <c r="F414" s="3"/>
      <c r="G414" s="3"/>
      <c r="H414" s="3"/>
    </row>
    <row r="415" spans="5:8">
      <c r="E415" s="3"/>
      <c r="F415" s="3"/>
      <c r="G415" s="3"/>
      <c r="H415" s="3"/>
    </row>
    <row r="416" spans="5:8">
      <c r="E416" s="3"/>
      <c r="F416" s="3"/>
      <c r="G416" s="3"/>
      <c r="H416" s="3"/>
    </row>
    <row r="417" spans="5:8">
      <c r="E417" s="3"/>
      <c r="F417" s="3"/>
      <c r="G417" s="3"/>
      <c r="H417" s="3"/>
    </row>
    <row r="418" spans="5:8">
      <c r="E418" s="3"/>
      <c r="F418" s="3"/>
      <c r="G418" s="3"/>
      <c r="H418" s="3"/>
    </row>
    <row r="419" spans="5:8">
      <c r="E419" s="3"/>
      <c r="F419" s="3"/>
      <c r="G419" s="3"/>
      <c r="H419" s="3"/>
    </row>
    <row r="420" spans="5:8">
      <c r="E420" s="3"/>
      <c r="F420" s="3"/>
      <c r="G420" s="3"/>
      <c r="H420" s="3"/>
    </row>
    <row r="421" spans="5:8">
      <c r="E421" s="3"/>
      <c r="F421" s="3"/>
      <c r="G421" s="3"/>
      <c r="H421" s="3"/>
    </row>
    <row r="422" spans="5:8">
      <c r="E422" s="3"/>
      <c r="F422" s="3"/>
      <c r="G422" s="3"/>
      <c r="H422" s="3"/>
    </row>
    <row r="423" spans="5:8">
      <c r="E423" s="3"/>
      <c r="F423" s="3"/>
      <c r="G423" s="3"/>
      <c r="H423" s="3"/>
    </row>
    <row r="424" spans="5:8">
      <c r="E424" s="3"/>
      <c r="F424" s="3"/>
      <c r="G424" s="3"/>
      <c r="H424" s="3"/>
    </row>
    <row r="425" spans="5:8">
      <c r="E425" s="3"/>
      <c r="F425" s="3"/>
      <c r="G425" s="3"/>
      <c r="H425" s="3"/>
    </row>
    <row r="426" spans="5:8">
      <c r="E426" s="3"/>
      <c r="F426" s="3"/>
      <c r="G426" s="3"/>
      <c r="H426" s="3"/>
    </row>
    <row r="427" spans="5:8">
      <c r="E427" s="3"/>
      <c r="F427" s="3"/>
      <c r="G427" s="3"/>
      <c r="H427" s="3"/>
    </row>
    <row r="428" spans="5:8">
      <c r="E428" s="3"/>
      <c r="F428" s="3"/>
      <c r="G428" s="3"/>
      <c r="H428" s="3"/>
    </row>
    <row r="429" spans="5:8">
      <c r="E429" s="3"/>
      <c r="F429" s="3"/>
      <c r="G429" s="3"/>
      <c r="H429" s="3"/>
    </row>
    <row r="430" spans="5:8">
      <c r="E430" s="3"/>
      <c r="F430" s="3"/>
      <c r="G430" s="3"/>
      <c r="H430" s="3"/>
    </row>
    <row r="431" spans="5:8">
      <c r="E431" s="3"/>
      <c r="F431" s="3"/>
      <c r="G431" s="3"/>
      <c r="H431" s="3"/>
    </row>
    <row r="432" spans="5:8">
      <c r="E432" s="3"/>
      <c r="F432" s="3"/>
      <c r="G432" s="3"/>
      <c r="H432" s="3"/>
    </row>
    <row r="433" spans="5:8">
      <c r="E433" s="3"/>
      <c r="F433" s="3"/>
      <c r="G433" s="3"/>
      <c r="H433" s="3"/>
    </row>
    <row r="434" spans="5:8">
      <c r="E434" s="3"/>
      <c r="F434" s="3"/>
      <c r="G434" s="3"/>
      <c r="H434" s="3"/>
    </row>
    <row r="435" spans="5:8">
      <c r="E435" s="3"/>
      <c r="F435" s="3"/>
      <c r="G435" s="3"/>
      <c r="H435" s="3"/>
    </row>
    <row r="436" spans="5:8">
      <c r="E436" s="3"/>
      <c r="F436" s="3"/>
      <c r="G436" s="3"/>
      <c r="H436" s="3"/>
    </row>
    <row r="437" spans="5:8">
      <c r="E437" s="3"/>
      <c r="F437" s="3"/>
      <c r="G437" s="3"/>
      <c r="H437" s="3"/>
    </row>
    <row r="438" spans="5:8">
      <c r="E438" s="3"/>
      <c r="F438" s="3"/>
      <c r="G438" s="3"/>
      <c r="H438" s="3"/>
    </row>
    <row r="439" spans="5:8">
      <c r="E439" s="3"/>
      <c r="F439" s="3"/>
      <c r="G439" s="3"/>
      <c r="H439" s="3"/>
    </row>
    <row r="440" spans="5:8">
      <c r="E440" s="3"/>
      <c r="F440" s="3"/>
      <c r="G440" s="3"/>
      <c r="H440" s="3"/>
    </row>
    <row r="441" spans="5:8">
      <c r="E441" s="3"/>
      <c r="F441" s="3"/>
      <c r="G441" s="3"/>
      <c r="H441" s="3"/>
    </row>
    <row r="442" spans="5:8">
      <c r="E442" s="3"/>
      <c r="F442" s="3"/>
      <c r="G442" s="3"/>
      <c r="H442" s="3"/>
    </row>
    <row r="443" spans="5:8">
      <c r="E443" s="3"/>
      <c r="F443" s="3"/>
      <c r="G443" s="3"/>
      <c r="H443" s="3"/>
    </row>
    <row r="444" spans="5:8">
      <c r="E444" s="3"/>
      <c r="F444" s="3"/>
      <c r="G444" s="3"/>
      <c r="H444" s="3"/>
    </row>
    <row r="445" spans="5:8">
      <c r="E445" s="3"/>
      <c r="F445" s="3"/>
      <c r="G445" s="3"/>
      <c r="H445" s="3"/>
    </row>
    <row r="446" spans="5:8">
      <c r="E446" s="3"/>
      <c r="F446" s="3"/>
      <c r="G446" s="3"/>
      <c r="H446" s="3"/>
    </row>
    <row r="447" spans="5:8">
      <c r="E447" s="3"/>
      <c r="F447" s="3"/>
      <c r="G447" s="3"/>
      <c r="H447" s="3"/>
    </row>
    <row r="448" spans="5:8">
      <c r="E448" s="3"/>
      <c r="F448" s="3"/>
      <c r="G448" s="3"/>
      <c r="H448" s="3"/>
    </row>
    <row r="449" spans="5:8">
      <c r="E449" s="3"/>
      <c r="F449" s="3"/>
      <c r="G449" s="3"/>
      <c r="H449" s="3"/>
    </row>
    <row r="450" spans="5:8">
      <c r="E450" s="3"/>
      <c r="F450" s="3"/>
      <c r="G450" s="3"/>
      <c r="H450" s="3"/>
    </row>
    <row r="451" spans="5:8">
      <c r="E451" s="3"/>
      <c r="F451" s="3"/>
      <c r="G451" s="3"/>
      <c r="H451" s="3"/>
    </row>
    <row r="452" spans="5:8">
      <c r="E452" s="3"/>
      <c r="F452" s="3"/>
      <c r="G452" s="3"/>
      <c r="H452" s="3"/>
    </row>
    <row r="453" spans="5:8">
      <c r="E453" s="3"/>
      <c r="F453" s="3"/>
      <c r="G453" s="3"/>
      <c r="H453" s="3"/>
    </row>
    <row r="454" spans="5:8">
      <c r="E454" s="3"/>
      <c r="F454" s="3"/>
      <c r="G454" s="3"/>
      <c r="H454" s="3"/>
    </row>
    <row r="455" spans="5:8">
      <c r="E455" s="3"/>
      <c r="F455" s="3"/>
      <c r="G455" s="3"/>
      <c r="H455" s="3"/>
    </row>
    <row r="456" spans="5:8">
      <c r="E456" s="3"/>
      <c r="F456" s="3"/>
      <c r="G456" s="3"/>
      <c r="H456" s="3"/>
    </row>
    <row r="457" spans="5:8">
      <c r="E457" s="3"/>
      <c r="F457" s="3"/>
      <c r="G457" s="3"/>
      <c r="H457" s="3"/>
    </row>
    <row r="458" spans="5:8">
      <c r="E458" s="3"/>
      <c r="F458" s="3"/>
      <c r="G458" s="3"/>
      <c r="H458" s="3"/>
    </row>
    <row r="459" spans="5:8">
      <c r="E459" s="3"/>
      <c r="F459" s="3"/>
      <c r="G459" s="3"/>
      <c r="H459" s="3"/>
    </row>
    <row r="460" spans="5:8">
      <c r="E460" s="3"/>
      <c r="F460" s="3"/>
      <c r="G460" s="3"/>
      <c r="H460" s="3"/>
    </row>
    <row r="461" spans="5:8">
      <c r="E461" s="3"/>
      <c r="F461" s="3"/>
      <c r="G461" s="3"/>
      <c r="H461" s="3"/>
    </row>
    <row r="462" spans="5:8">
      <c r="E462" s="3"/>
      <c r="F462" s="3"/>
      <c r="G462" s="3"/>
      <c r="H462" s="3"/>
    </row>
    <row r="463" spans="5:8">
      <c r="E463" s="3"/>
      <c r="F463" s="3"/>
      <c r="G463" s="3"/>
      <c r="H463" s="3"/>
    </row>
    <row r="464" spans="5:8">
      <c r="E464" s="3"/>
      <c r="F464" s="3"/>
      <c r="G464" s="3"/>
      <c r="H464" s="3"/>
    </row>
    <row r="465" spans="5:8">
      <c r="E465" s="3"/>
      <c r="F465" s="3"/>
      <c r="G465" s="3"/>
      <c r="H465" s="3"/>
    </row>
    <row r="466" spans="5:8">
      <c r="E466" s="3"/>
      <c r="F466" s="3"/>
      <c r="G466" s="3"/>
      <c r="H466" s="3"/>
    </row>
    <row r="467" spans="5:8">
      <c r="E467" s="3"/>
      <c r="F467" s="3"/>
      <c r="G467" s="3"/>
      <c r="H467" s="3"/>
    </row>
    <row r="468" spans="5:8">
      <c r="E468" s="3"/>
      <c r="F468" s="3"/>
      <c r="G468" s="3"/>
      <c r="H468" s="3"/>
    </row>
    <row r="469" spans="5:8">
      <c r="E469" s="3"/>
      <c r="F469" s="3"/>
      <c r="G469" s="3"/>
      <c r="H469" s="3"/>
    </row>
    <row r="470" spans="5:8">
      <c r="E470" s="3"/>
      <c r="F470" s="3"/>
      <c r="G470" s="3"/>
      <c r="H470" s="3"/>
    </row>
    <row r="471" spans="5:8">
      <c r="E471" s="3"/>
      <c r="F471" s="3"/>
      <c r="G471" s="3"/>
      <c r="H471" s="3"/>
    </row>
    <row r="472" spans="5:8">
      <c r="E472" s="3"/>
      <c r="F472" s="3"/>
      <c r="G472" s="3"/>
      <c r="H472" s="3"/>
    </row>
    <row r="473" spans="5:8">
      <c r="E473" s="3"/>
      <c r="F473" s="3"/>
      <c r="G473" s="3"/>
      <c r="H473" s="3"/>
    </row>
    <row r="474" spans="5:8">
      <c r="E474" s="3"/>
      <c r="F474" s="3"/>
      <c r="G474" s="3"/>
      <c r="H474" s="3"/>
    </row>
    <row r="475" spans="5:8">
      <c r="E475" s="3"/>
      <c r="F475" s="3"/>
      <c r="G475" s="3"/>
      <c r="H475" s="3"/>
    </row>
    <row r="476" spans="5:8">
      <c r="E476" s="3"/>
      <c r="F476" s="3"/>
      <c r="G476" s="3"/>
      <c r="H476" s="3"/>
    </row>
    <row r="477" spans="5:8">
      <c r="E477" s="3"/>
      <c r="F477" s="3"/>
      <c r="G477" s="3"/>
      <c r="H477" s="3"/>
    </row>
    <row r="478" spans="5:8">
      <c r="E478" s="3"/>
      <c r="F478" s="3"/>
      <c r="G478" s="3"/>
      <c r="H478" s="3"/>
    </row>
    <row r="479" spans="5:8">
      <c r="E479" s="3"/>
      <c r="F479" s="3"/>
      <c r="G479" s="3"/>
      <c r="H479" s="3"/>
    </row>
    <row r="480" spans="5:8">
      <c r="E480" s="3"/>
      <c r="F480" s="3"/>
      <c r="G480" s="3"/>
      <c r="H480" s="3"/>
    </row>
    <row r="481" spans="5:8">
      <c r="E481" s="3"/>
      <c r="F481" s="3"/>
      <c r="G481" s="3"/>
      <c r="H481" s="3"/>
    </row>
    <row r="482" spans="5:8">
      <c r="E482" s="3"/>
      <c r="F482" s="3"/>
      <c r="G482" s="3"/>
      <c r="H482" s="3"/>
    </row>
    <row r="483" spans="5:8">
      <c r="E483" s="3"/>
      <c r="F483" s="3"/>
      <c r="G483" s="3"/>
      <c r="H483" s="3"/>
    </row>
    <row r="484" spans="5:8">
      <c r="E484" s="3"/>
      <c r="F484" s="3"/>
      <c r="G484" s="3"/>
      <c r="H484" s="3"/>
    </row>
    <row r="485" spans="5:8">
      <c r="E485" s="3"/>
      <c r="F485" s="3"/>
      <c r="G485" s="3"/>
      <c r="H485" s="3"/>
    </row>
    <row r="486" spans="5:8">
      <c r="E486" s="3"/>
      <c r="F486" s="3"/>
      <c r="G486" s="3"/>
      <c r="H486" s="3"/>
    </row>
    <row r="487" spans="5:8">
      <c r="E487" s="3"/>
      <c r="F487" s="3"/>
      <c r="G487" s="3"/>
      <c r="H487" s="3"/>
    </row>
    <row r="488" spans="5:8">
      <c r="E488" s="3"/>
      <c r="F488" s="3"/>
      <c r="G488" s="3"/>
      <c r="H488" s="3"/>
    </row>
  </sheetData>
  <mergeCells count="13">
    <mergeCell ref="U7:W7"/>
    <mergeCell ref="A118:D118"/>
    <mergeCell ref="A120:D120"/>
    <mergeCell ref="A1:W1"/>
    <mergeCell ref="A2:W2"/>
    <mergeCell ref="A3:W3"/>
    <mergeCell ref="E5:G7"/>
    <mergeCell ref="H5:H7"/>
    <mergeCell ref="I5:W6"/>
    <mergeCell ref="I7:K7"/>
    <mergeCell ref="L7:N7"/>
    <mergeCell ref="O7:Q7"/>
    <mergeCell ref="R7:T7"/>
  </mergeCells>
  <printOptions horizontalCentered="1"/>
  <pageMargins left="0.27" right="0.27" top="0.4" bottom="0.4" header="0.2" footer="0.24"/>
  <pageSetup paperSize="5" scale="45" fitToHeight="2" orientation="landscape" r:id="rId1"/>
  <headerFooter alignWithMargins="0">
    <oddFooter>&amp;R&amp;D &amp;T</oddFooter>
  </headerFooter>
  <rowBreaks count="1" manualBreakCount="1">
    <brk id="64" max="22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 tint="-0.34998626667073579"/>
    <pageSetUpPr fitToPage="1"/>
  </sheetPr>
  <dimension ref="A1:Q63"/>
  <sheetViews>
    <sheetView view="pageBreakPreview" topLeftCell="A4" zoomScale="80" zoomScaleNormal="100" zoomScaleSheetLayoutView="80" workbookViewId="0">
      <selection activeCell="M51" sqref="M51"/>
    </sheetView>
  </sheetViews>
  <sheetFormatPr defaultRowHeight="12.75"/>
  <cols>
    <col min="1" max="1" width="45.5703125" customWidth="1"/>
    <col min="2" max="2" width="14.140625" customWidth="1"/>
    <col min="3" max="3" width="14.28515625" customWidth="1"/>
    <col min="4" max="4" width="13.28515625" hidden="1" customWidth="1"/>
    <col min="5" max="5" width="9.42578125" hidden="1" customWidth="1"/>
    <col min="6" max="6" width="13.140625" hidden="1" customWidth="1"/>
    <col min="7" max="7" width="8.28515625" hidden="1" customWidth="1"/>
    <col min="8" max="8" width="13.140625" hidden="1" customWidth="1"/>
    <col min="9" max="9" width="8.7109375" hidden="1" customWidth="1"/>
    <col min="10" max="10" width="13.140625" hidden="1" customWidth="1"/>
    <col min="11" max="11" width="8.7109375" hidden="1" customWidth="1"/>
    <col min="12" max="12" width="13.140625" customWidth="1"/>
    <col min="13" max="13" width="8.7109375" customWidth="1"/>
  </cols>
  <sheetData>
    <row r="1" spans="1:17">
      <c r="A1" s="277" t="s">
        <v>130</v>
      </c>
      <c r="B1" s="277"/>
      <c r="C1" s="277"/>
      <c r="D1" s="277"/>
      <c r="E1" s="277"/>
      <c r="F1" s="277"/>
      <c r="G1" s="277"/>
      <c r="H1" s="278"/>
      <c r="I1" s="278"/>
      <c r="J1" s="279"/>
      <c r="K1" s="279"/>
      <c r="L1" s="279"/>
      <c r="M1" s="279"/>
      <c r="N1" s="92"/>
      <c r="O1" s="92"/>
      <c r="P1" s="92"/>
      <c r="Q1" s="92"/>
    </row>
    <row r="2" spans="1:17">
      <c r="A2" s="277" t="s">
        <v>131</v>
      </c>
      <c r="B2" s="277"/>
      <c r="C2" s="277"/>
      <c r="D2" s="277"/>
      <c r="E2" s="277"/>
      <c r="F2" s="277"/>
      <c r="G2" s="277"/>
      <c r="H2" s="278"/>
      <c r="I2" s="278"/>
      <c r="J2" s="279"/>
      <c r="K2" s="279"/>
      <c r="L2" s="279"/>
      <c r="M2" s="279"/>
      <c r="N2" s="92"/>
      <c r="O2" s="92"/>
      <c r="P2" s="92"/>
      <c r="Q2" s="92"/>
    </row>
    <row r="3" spans="1:17">
      <c r="A3" s="277" t="s">
        <v>157</v>
      </c>
      <c r="B3" s="277"/>
      <c r="C3" s="277"/>
      <c r="D3" s="277"/>
      <c r="E3" s="277"/>
      <c r="F3" s="277"/>
      <c r="G3" s="277"/>
      <c r="H3" s="278"/>
      <c r="I3" s="278"/>
      <c r="J3" s="279"/>
      <c r="K3" s="279"/>
      <c r="L3" s="279"/>
      <c r="M3" s="279"/>
      <c r="N3" s="92"/>
      <c r="O3" s="92"/>
      <c r="P3" s="92"/>
      <c r="Q3" s="92"/>
    </row>
    <row r="4" spans="1:17">
      <c r="A4" s="134"/>
      <c r="B4" s="134"/>
      <c r="C4" s="134"/>
      <c r="D4" s="134"/>
      <c r="E4" s="134"/>
      <c r="F4" s="134"/>
      <c r="G4" s="134"/>
      <c r="H4" s="135"/>
      <c r="I4" s="135"/>
      <c r="J4" s="135"/>
      <c r="K4" s="135"/>
      <c r="L4" s="135"/>
      <c r="M4" s="135"/>
      <c r="N4" s="92"/>
      <c r="O4" s="92"/>
      <c r="P4" s="92"/>
      <c r="Q4" s="92"/>
    </row>
    <row r="5" spans="1:17" ht="54.75" customHeight="1">
      <c r="A5" s="88" t="s">
        <v>129</v>
      </c>
      <c r="B5" s="103" t="s">
        <v>186</v>
      </c>
      <c r="C5" s="89" t="s">
        <v>133</v>
      </c>
      <c r="D5" s="101" t="s">
        <v>134</v>
      </c>
      <c r="E5" s="102" t="s">
        <v>135</v>
      </c>
      <c r="F5" s="132" t="s">
        <v>136</v>
      </c>
      <c r="G5" s="102" t="s">
        <v>135</v>
      </c>
      <c r="H5" s="133" t="s">
        <v>198</v>
      </c>
      <c r="I5" s="102" t="s">
        <v>135</v>
      </c>
      <c r="J5" s="149" t="s">
        <v>202</v>
      </c>
      <c r="K5" s="102" t="s">
        <v>135</v>
      </c>
      <c r="L5" s="150" t="s">
        <v>241</v>
      </c>
      <c r="M5" s="102" t="s">
        <v>135</v>
      </c>
      <c r="N5" s="93"/>
      <c r="O5" s="93"/>
      <c r="P5" s="93"/>
      <c r="Q5" s="93"/>
    </row>
    <row r="6" spans="1:17">
      <c r="A6" s="96" t="s">
        <v>132</v>
      </c>
      <c r="B6" s="96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3"/>
      <c r="O6" s="93"/>
      <c r="P6" s="93"/>
      <c r="Q6" s="93"/>
    </row>
    <row r="7" spans="1:17">
      <c r="A7" s="97" t="s">
        <v>180</v>
      </c>
      <c r="B7" s="99">
        <f>B8+B9</f>
        <v>7848537</v>
      </c>
      <c r="C7" s="99">
        <f>C8+C9</f>
        <v>8165791</v>
      </c>
      <c r="D7" s="99" t="e">
        <f>+#REF!</f>
        <v>#REF!</v>
      </c>
      <c r="E7" s="104" t="e">
        <f t="shared" ref="E7:E18" si="0">(D7-C7)/C7</f>
        <v>#REF!</v>
      </c>
      <c r="F7" s="99" t="e">
        <f>+#REF!</f>
        <v>#REF!</v>
      </c>
      <c r="G7" s="104" t="e">
        <f>(F7-C7)/C7</f>
        <v>#REF!</v>
      </c>
      <c r="H7" s="99" t="e">
        <f>+#REF!</f>
        <v>#REF!</v>
      </c>
      <c r="I7" s="104" t="e">
        <f>(H7-$C7)/$C7</f>
        <v>#REF!</v>
      </c>
      <c r="J7" s="99" t="e">
        <f>+#REF!</f>
        <v>#REF!</v>
      </c>
      <c r="K7" s="104" t="e">
        <f>(J7-$C7)/$C7</f>
        <v>#REF!</v>
      </c>
      <c r="L7" s="99" t="e">
        <f>+#REF!</f>
        <v>#REF!</v>
      </c>
      <c r="M7" s="104" t="e">
        <f>(L7-$C7)/$C7</f>
        <v>#REF!</v>
      </c>
      <c r="N7" s="93"/>
      <c r="O7" s="93"/>
      <c r="P7" s="93"/>
      <c r="Q7" s="93"/>
    </row>
    <row r="8" spans="1:17">
      <c r="A8" s="95" t="s">
        <v>137</v>
      </c>
      <c r="B8" s="122">
        <f>7557556-50000+101066</f>
        <v>7608622</v>
      </c>
      <c r="C8" s="109">
        <v>8083475</v>
      </c>
      <c r="D8" s="109" t="e">
        <f>+#REF!</f>
        <v>#REF!</v>
      </c>
      <c r="E8" s="104" t="e">
        <f t="shared" si="0"/>
        <v>#REF!</v>
      </c>
      <c r="F8" s="98" t="e">
        <f>+#REF!</f>
        <v>#REF!</v>
      </c>
      <c r="G8" s="104" t="e">
        <f>(F8-C8)/C8</f>
        <v>#REF!</v>
      </c>
      <c r="H8" s="98" t="e">
        <f>+#REF!</f>
        <v>#REF!</v>
      </c>
      <c r="I8" s="104" t="e">
        <f>(H8-$C8)/$C8</f>
        <v>#REF!</v>
      </c>
      <c r="J8" s="98" t="e">
        <f>+#REF!</f>
        <v>#REF!</v>
      </c>
      <c r="K8" s="104" t="e">
        <f>(J8-$C8)/$C8</f>
        <v>#REF!</v>
      </c>
      <c r="L8" s="98" t="e">
        <f>+#REF!</f>
        <v>#REF!</v>
      </c>
      <c r="M8" s="104" t="e">
        <f>(L8-$C8)/$C8</f>
        <v>#REF!</v>
      </c>
      <c r="N8" s="93"/>
      <c r="O8" s="93"/>
      <c r="P8" s="93"/>
      <c r="Q8" s="93"/>
    </row>
    <row r="9" spans="1:17">
      <c r="A9" s="94" t="s">
        <v>138</v>
      </c>
      <c r="B9" s="109">
        <v>239915</v>
      </c>
      <c r="C9" s="109">
        <f>181202-98886</f>
        <v>82316</v>
      </c>
      <c r="D9" s="109" t="e">
        <f>+#REF!</f>
        <v>#REF!</v>
      </c>
      <c r="E9" s="104" t="e">
        <f t="shared" si="0"/>
        <v>#REF!</v>
      </c>
      <c r="F9" s="98" t="e">
        <f>+#REF!</f>
        <v>#REF!</v>
      </c>
      <c r="G9" s="105" t="e">
        <f t="shared" ref="G9:G18" si="1">(F9-C9)/C9</f>
        <v>#REF!</v>
      </c>
      <c r="H9" s="98" t="e">
        <f>+#REF!</f>
        <v>#REF!</v>
      </c>
      <c r="I9" s="104" t="e">
        <f t="shared" ref="I9:I62" si="2">(H9-$C9)/$C9</f>
        <v>#REF!</v>
      </c>
      <c r="J9" s="98" t="e">
        <f>+#REF!</f>
        <v>#REF!</v>
      </c>
      <c r="K9" s="104" t="e">
        <f t="shared" ref="K9:K18" si="3">(J9-$C9)/$C9</f>
        <v>#REF!</v>
      </c>
      <c r="L9" s="98" t="e">
        <f>+#REF!</f>
        <v>#REF!</v>
      </c>
      <c r="M9" s="104" t="e">
        <f t="shared" ref="M9:M18" si="4">(L9-$C9)/$C9</f>
        <v>#REF!</v>
      </c>
      <c r="N9" s="93"/>
      <c r="O9" s="93"/>
      <c r="P9" s="93"/>
      <c r="Q9" s="93"/>
    </row>
    <row r="10" spans="1:17">
      <c r="A10" s="91" t="s">
        <v>141</v>
      </c>
      <c r="B10" s="120">
        <v>2019682</v>
      </c>
      <c r="C10" s="98">
        <v>2130117</v>
      </c>
      <c r="D10" s="98" t="e">
        <f>+#REF!</f>
        <v>#REF!</v>
      </c>
      <c r="E10" s="104" t="e">
        <f t="shared" si="0"/>
        <v>#REF!</v>
      </c>
      <c r="F10" s="98" t="e">
        <f>+#REF!</f>
        <v>#REF!</v>
      </c>
      <c r="G10" s="105" t="e">
        <f t="shared" si="1"/>
        <v>#REF!</v>
      </c>
      <c r="H10" s="98" t="e">
        <f>+#REF!</f>
        <v>#REF!</v>
      </c>
      <c r="I10" s="104" t="e">
        <f t="shared" si="2"/>
        <v>#REF!</v>
      </c>
      <c r="J10" s="98" t="e">
        <f>+#REF!</f>
        <v>#REF!</v>
      </c>
      <c r="K10" s="104" t="e">
        <f t="shared" si="3"/>
        <v>#REF!</v>
      </c>
      <c r="L10" s="98" t="e">
        <f>+#REF!</f>
        <v>#REF!</v>
      </c>
      <c r="M10" s="104" t="e">
        <f t="shared" si="4"/>
        <v>#REF!</v>
      </c>
      <c r="N10" s="93"/>
      <c r="O10" s="93"/>
      <c r="P10" s="93"/>
      <c r="Q10" s="93"/>
    </row>
    <row r="11" spans="1:17">
      <c r="A11" s="91" t="s">
        <v>179</v>
      </c>
      <c r="B11" s="120">
        <v>1120772</v>
      </c>
      <c r="C11" s="98">
        <v>1162986</v>
      </c>
      <c r="D11" s="98" t="e">
        <f>+#REF!</f>
        <v>#REF!</v>
      </c>
      <c r="E11" s="104" t="e">
        <f t="shared" si="0"/>
        <v>#REF!</v>
      </c>
      <c r="F11" s="98" t="e">
        <f>+#REF!</f>
        <v>#REF!</v>
      </c>
      <c r="G11" s="105" t="e">
        <f t="shared" si="1"/>
        <v>#REF!</v>
      </c>
      <c r="H11" s="98" t="e">
        <f>+#REF!</f>
        <v>#REF!</v>
      </c>
      <c r="I11" s="104" t="e">
        <f t="shared" si="2"/>
        <v>#REF!</v>
      </c>
      <c r="J11" s="98" t="e">
        <f>+#REF!</f>
        <v>#REF!</v>
      </c>
      <c r="K11" s="104" t="e">
        <f t="shared" si="3"/>
        <v>#REF!</v>
      </c>
      <c r="L11" s="98" t="e">
        <f>+#REF!</f>
        <v>#REF!</v>
      </c>
      <c r="M11" s="104" t="e">
        <f t="shared" si="4"/>
        <v>#REF!</v>
      </c>
      <c r="N11" s="93"/>
      <c r="O11" s="93"/>
      <c r="P11" s="93"/>
      <c r="Q11" s="93"/>
    </row>
    <row r="12" spans="1:17">
      <c r="A12" s="91" t="s">
        <v>142</v>
      </c>
      <c r="B12" s="120">
        <v>1152388</v>
      </c>
      <c r="C12" s="98">
        <v>1207159</v>
      </c>
      <c r="D12" s="98" t="e">
        <f>+#REF!</f>
        <v>#REF!</v>
      </c>
      <c r="E12" s="104" t="e">
        <f t="shared" si="0"/>
        <v>#REF!</v>
      </c>
      <c r="F12" s="98" t="e">
        <f>+#REF!</f>
        <v>#REF!</v>
      </c>
      <c r="G12" s="105" t="e">
        <f t="shared" si="1"/>
        <v>#REF!</v>
      </c>
      <c r="H12" s="98" t="e">
        <f>+#REF!</f>
        <v>#REF!</v>
      </c>
      <c r="I12" s="104" t="e">
        <f t="shared" si="2"/>
        <v>#REF!</v>
      </c>
      <c r="J12" s="98" t="e">
        <f>+#REF!</f>
        <v>#REF!</v>
      </c>
      <c r="K12" s="104" t="e">
        <f t="shared" si="3"/>
        <v>#REF!</v>
      </c>
      <c r="L12" s="98" t="e">
        <f>+#REF!</f>
        <v>#REF!</v>
      </c>
      <c r="M12" s="104" t="e">
        <f t="shared" si="4"/>
        <v>#REF!</v>
      </c>
      <c r="N12" s="93"/>
      <c r="O12" s="93"/>
      <c r="P12" s="93"/>
      <c r="Q12" s="93"/>
    </row>
    <row r="13" spans="1:17">
      <c r="A13" s="91" t="s">
        <v>146</v>
      </c>
      <c r="B13" s="120">
        <v>528569</v>
      </c>
      <c r="C13" s="98">
        <v>579319</v>
      </c>
      <c r="D13" s="98" t="e">
        <f>+#REF!</f>
        <v>#REF!</v>
      </c>
      <c r="E13" s="104" t="e">
        <f t="shared" si="0"/>
        <v>#REF!</v>
      </c>
      <c r="F13" s="98" t="e">
        <f>+#REF!</f>
        <v>#REF!</v>
      </c>
      <c r="G13" s="105" t="e">
        <f t="shared" si="1"/>
        <v>#REF!</v>
      </c>
      <c r="H13" s="98" t="e">
        <f>+#REF!</f>
        <v>#REF!</v>
      </c>
      <c r="I13" s="104" t="e">
        <f t="shared" si="2"/>
        <v>#REF!</v>
      </c>
      <c r="J13" s="98" t="e">
        <f>+#REF!</f>
        <v>#REF!</v>
      </c>
      <c r="K13" s="104" t="e">
        <f t="shared" si="3"/>
        <v>#REF!</v>
      </c>
      <c r="L13" s="98" t="e">
        <f>+#REF!</f>
        <v>#REF!</v>
      </c>
      <c r="M13" s="104" t="e">
        <f t="shared" si="4"/>
        <v>#REF!</v>
      </c>
      <c r="N13" s="93"/>
      <c r="O13" s="93"/>
      <c r="P13" s="93"/>
      <c r="Q13" s="93"/>
    </row>
    <row r="14" spans="1:17">
      <c r="A14" s="91" t="s">
        <v>181</v>
      </c>
      <c r="B14" s="120">
        <f>+B15+B16</f>
        <v>6185386</v>
      </c>
      <c r="C14" s="98">
        <f>C15+C16</f>
        <v>6803512</v>
      </c>
      <c r="D14" s="98" t="e">
        <f>+#REF!</f>
        <v>#REF!</v>
      </c>
      <c r="E14" s="104" t="e">
        <f t="shared" si="0"/>
        <v>#REF!</v>
      </c>
      <c r="F14" s="98" t="e">
        <f>+#REF!</f>
        <v>#REF!</v>
      </c>
      <c r="G14" s="105" t="e">
        <f t="shared" si="1"/>
        <v>#REF!</v>
      </c>
      <c r="H14" s="98" t="e">
        <f>+#REF!</f>
        <v>#REF!</v>
      </c>
      <c r="I14" s="104" t="e">
        <f t="shared" si="2"/>
        <v>#REF!</v>
      </c>
      <c r="J14" s="98" t="e">
        <f>+#REF!</f>
        <v>#REF!</v>
      </c>
      <c r="K14" s="104" t="e">
        <f t="shared" si="3"/>
        <v>#REF!</v>
      </c>
      <c r="L14" s="98" t="e">
        <f>+#REF!</f>
        <v>#REF!</v>
      </c>
      <c r="M14" s="104" t="e">
        <f t="shared" si="4"/>
        <v>#REF!</v>
      </c>
      <c r="N14" s="93"/>
      <c r="O14" s="93"/>
      <c r="P14" s="93"/>
      <c r="Q14" s="93"/>
    </row>
    <row r="15" spans="1:17">
      <c r="A15" s="94" t="s">
        <v>139</v>
      </c>
      <c r="B15" s="109">
        <v>6086231</v>
      </c>
      <c r="C15" s="109">
        <v>6533779</v>
      </c>
      <c r="D15" s="109" t="e">
        <f>+#REF!</f>
        <v>#REF!</v>
      </c>
      <c r="E15" s="104" t="e">
        <f t="shared" si="0"/>
        <v>#REF!</v>
      </c>
      <c r="F15" s="98" t="e">
        <f>+#REF!</f>
        <v>#REF!</v>
      </c>
      <c r="G15" s="105" t="e">
        <f t="shared" si="1"/>
        <v>#REF!</v>
      </c>
      <c r="H15" s="98" t="e">
        <f>+#REF!</f>
        <v>#REF!</v>
      </c>
      <c r="I15" s="104" t="e">
        <f t="shared" si="2"/>
        <v>#REF!</v>
      </c>
      <c r="J15" s="98" t="e">
        <f>+#REF!</f>
        <v>#REF!</v>
      </c>
      <c r="K15" s="104" t="e">
        <f t="shared" si="3"/>
        <v>#REF!</v>
      </c>
      <c r="L15" s="98" t="e">
        <f>+#REF!</f>
        <v>#REF!</v>
      </c>
      <c r="M15" s="104" t="e">
        <f t="shared" si="4"/>
        <v>#REF!</v>
      </c>
      <c r="N15" s="93"/>
      <c r="O15" s="93"/>
      <c r="P15" s="93"/>
      <c r="Q15" s="93"/>
    </row>
    <row r="16" spans="1:17">
      <c r="A16" s="94" t="s">
        <v>140</v>
      </c>
      <c r="B16" s="109">
        <v>99155</v>
      </c>
      <c r="C16" s="109">
        <v>269733</v>
      </c>
      <c r="D16" s="109" t="e">
        <f>+#REF!</f>
        <v>#REF!</v>
      </c>
      <c r="E16" s="104" t="e">
        <f t="shared" si="0"/>
        <v>#REF!</v>
      </c>
      <c r="F16" s="98" t="e">
        <f>+#REF!</f>
        <v>#REF!</v>
      </c>
      <c r="G16" s="105" t="e">
        <f t="shared" si="1"/>
        <v>#REF!</v>
      </c>
      <c r="H16" s="98" t="e">
        <f>+#REF!</f>
        <v>#REF!</v>
      </c>
      <c r="I16" s="104" t="e">
        <f t="shared" si="2"/>
        <v>#REF!</v>
      </c>
      <c r="J16" s="98" t="e">
        <f>+#REF!</f>
        <v>#REF!</v>
      </c>
      <c r="K16" s="104" t="e">
        <f t="shared" si="3"/>
        <v>#REF!</v>
      </c>
      <c r="L16" s="98" t="e">
        <f>+#REF!</f>
        <v>#REF!</v>
      </c>
      <c r="M16" s="104" t="e">
        <f t="shared" si="4"/>
        <v>#REF!</v>
      </c>
      <c r="N16" s="93"/>
      <c r="O16" s="93"/>
      <c r="P16" s="93"/>
      <c r="Q16" s="93"/>
    </row>
    <row r="17" spans="1:17">
      <c r="A17" s="91" t="s">
        <v>144</v>
      </c>
      <c r="B17" s="120">
        <v>1438663</v>
      </c>
      <c r="C17" s="98">
        <v>1533863</v>
      </c>
      <c r="D17" s="98" t="e">
        <f>+#REF!</f>
        <v>#REF!</v>
      </c>
      <c r="E17" s="104" t="e">
        <f t="shared" si="0"/>
        <v>#REF!</v>
      </c>
      <c r="F17" s="98" t="e">
        <f>+#REF!</f>
        <v>#REF!</v>
      </c>
      <c r="G17" s="105" t="e">
        <f t="shared" si="1"/>
        <v>#REF!</v>
      </c>
      <c r="H17" s="98" t="e">
        <f>+#REF!</f>
        <v>#REF!</v>
      </c>
      <c r="I17" s="104" t="e">
        <f t="shared" si="2"/>
        <v>#REF!</v>
      </c>
      <c r="J17" s="98" t="e">
        <f>+#REF!</f>
        <v>#REF!</v>
      </c>
      <c r="K17" s="104" t="e">
        <f t="shared" si="3"/>
        <v>#REF!</v>
      </c>
      <c r="L17" s="98" t="e">
        <f>+#REF!+#REF!</f>
        <v>#REF!</v>
      </c>
      <c r="M17" s="104" t="e">
        <f t="shared" si="4"/>
        <v>#REF!</v>
      </c>
      <c r="N17" s="93"/>
      <c r="O17" s="93"/>
      <c r="P17" s="93"/>
      <c r="Q17" s="93"/>
    </row>
    <row r="18" spans="1:17">
      <c r="A18" s="88" t="s">
        <v>156</v>
      </c>
      <c r="B18" s="110">
        <f>SUM(B8+B9+B10+B11+B12+B13+B15+B16+B17)</f>
        <v>20293997</v>
      </c>
      <c r="C18" s="110">
        <f>SUM(C8+C9+C10+C11+C12+C13+C15+C16+C17)</f>
        <v>21582747</v>
      </c>
      <c r="D18" s="110" t="e">
        <f>SUM(D7+D10+D11+D12+D13+D14+D17)</f>
        <v>#REF!</v>
      </c>
      <c r="E18" s="111" t="e">
        <f t="shared" si="0"/>
        <v>#REF!</v>
      </c>
      <c r="F18" s="110" t="e">
        <f>SUM(F8+F9+F10+F11+F12+F13+F15+F16+F17)</f>
        <v>#REF!</v>
      </c>
      <c r="G18" s="112" t="e">
        <f t="shared" si="1"/>
        <v>#REF!</v>
      </c>
      <c r="H18" s="110" t="e">
        <f>SUM(H8+H9+H10+H11+H12+H13+H15+H16+H17)</f>
        <v>#REF!</v>
      </c>
      <c r="I18" s="104" t="e">
        <f t="shared" si="2"/>
        <v>#REF!</v>
      </c>
      <c r="J18" s="110" t="e">
        <f>SUM(J8+J9+J10+J11+J12+J13+J15+J16+J17)</f>
        <v>#REF!</v>
      </c>
      <c r="K18" s="104" t="e">
        <f t="shared" si="3"/>
        <v>#REF!</v>
      </c>
      <c r="L18" s="110" t="e">
        <f>SUM(L8+L9+L10+L11+L12+L13+L15+L16+L17)</f>
        <v>#REF!</v>
      </c>
      <c r="M18" s="104" t="e">
        <f t="shared" si="4"/>
        <v>#REF!</v>
      </c>
      <c r="N18" s="93"/>
      <c r="O18" s="93"/>
      <c r="P18" s="93"/>
      <c r="Q18" s="93"/>
    </row>
    <row r="19" spans="1:17">
      <c r="A19" s="90"/>
      <c r="B19" s="90"/>
      <c r="C19" s="98"/>
      <c r="D19" s="98"/>
      <c r="E19" s="98"/>
      <c r="F19" s="98"/>
      <c r="G19" s="98"/>
      <c r="H19" s="98"/>
      <c r="I19" s="104"/>
      <c r="J19" s="98"/>
      <c r="K19" s="104"/>
      <c r="L19" s="98"/>
      <c r="M19" s="104"/>
      <c r="N19" s="93"/>
      <c r="O19" s="93"/>
      <c r="P19" s="93"/>
      <c r="Q19" s="93"/>
    </row>
    <row r="20" spans="1:17">
      <c r="A20" s="96" t="s">
        <v>145</v>
      </c>
      <c r="B20" s="96"/>
      <c r="C20" s="98"/>
      <c r="D20" s="98"/>
      <c r="E20" s="98"/>
      <c r="F20" s="98"/>
      <c r="G20" s="98"/>
      <c r="H20" s="98"/>
      <c r="I20" s="104"/>
      <c r="J20" s="98"/>
      <c r="K20" s="104"/>
      <c r="L20" s="98"/>
      <c r="M20" s="104"/>
      <c r="N20" s="93"/>
      <c r="O20" s="93"/>
      <c r="P20" s="93"/>
      <c r="Q20" s="93"/>
    </row>
    <row r="21" spans="1:17">
      <c r="A21" s="91" t="s">
        <v>147</v>
      </c>
      <c r="B21" s="120">
        <v>1934003</v>
      </c>
      <c r="C21" s="98">
        <v>2041269</v>
      </c>
      <c r="D21" s="98" t="e">
        <f>+#REF!</f>
        <v>#REF!</v>
      </c>
      <c r="E21" s="105" t="e">
        <f t="shared" ref="E21:E35" si="5">(D21-C21)/C21</f>
        <v>#REF!</v>
      </c>
      <c r="F21" s="98" t="e">
        <f>+#REF!</f>
        <v>#REF!</v>
      </c>
      <c r="G21" s="105" t="e">
        <f t="shared" ref="G21:G35" si="6">(F21-C21)/C21</f>
        <v>#REF!</v>
      </c>
      <c r="H21" s="98" t="e">
        <f>+#REF!</f>
        <v>#REF!</v>
      </c>
      <c r="I21" s="104" t="e">
        <f t="shared" si="2"/>
        <v>#REF!</v>
      </c>
      <c r="J21" s="98" t="e">
        <f>+#REF!</f>
        <v>#REF!</v>
      </c>
      <c r="K21" s="104" t="e">
        <f t="shared" ref="K21:K35" si="7">(J21-$C21)/$C21</f>
        <v>#REF!</v>
      </c>
      <c r="L21" s="98" t="e">
        <f>+#REF!</f>
        <v>#REF!</v>
      </c>
      <c r="M21" s="104" t="e">
        <f t="shared" ref="M21:M35" si="8">(L21-$C21)/$C21</f>
        <v>#REF!</v>
      </c>
      <c r="N21" s="93"/>
      <c r="O21" s="93"/>
      <c r="P21" s="93"/>
      <c r="Q21" s="93"/>
    </row>
    <row r="22" spans="1:17">
      <c r="A22" s="91" t="s">
        <v>148</v>
      </c>
      <c r="B22" s="120">
        <v>87938</v>
      </c>
      <c r="C22" s="98">
        <v>99537</v>
      </c>
      <c r="D22" s="98" t="e">
        <f>+#REF!</f>
        <v>#REF!</v>
      </c>
      <c r="E22" s="105" t="e">
        <f t="shared" si="5"/>
        <v>#REF!</v>
      </c>
      <c r="F22" s="98" t="e">
        <f>+#REF!</f>
        <v>#REF!</v>
      </c>
      <c r="G22" s="105" t="e">
        <f t="shared" si="6"/>
        <v>#REF!</v>
      </c>
      <c r="H22" s="98" t="e">
        <f>+#REF!</f>
        <v>#REF!</v>
      </c>
      <c r="I22" s="104" t="e">
        <f t="shared" si="2"/>
        <v>#REF!</v>
      </c>
      <c r="J22" s="98" t="e">
        <f>+#REF!</f>
        <v>#REF!</v>
      </c>
      <c r="K22" s="104" t="e">
        <f t="shared" si="7"/>
        <v>#REF!</v>
      </c>
      <c r="L22" s="98" t="e">
        <f>+#REF!</f>
        <v>#REF!</v>
      </c>
      <c r="M22" s="104" t="e">
        <f t="shared" si="8"/>
        <v>#REF!</v>
      </c>
      <c r="N22" s="93"/>
      <c r="O22" s="93"/>
      <c r="P22" s="93"/>
      <c r="Q22" s="93"/>
    </row>
    <row r="23" spans="1:17">
      <c r="A23" s="91" t="s">
        <v>149</v>
      </c>
      <c r="B23" s="120">
        <v>176861</v>
      </c>
      <c r="C23" s="98">
        <v>187625</v>
      </c>
      <c r="D23" s="98" t="e">
        <f>+#REF!</f>
        <v>#REF!</v>
      </c>
      <c r="E23" s="105" t="e">
        <f t="shared" si="5"/>
        <v>#REF!</v>
      </c>
      <c r="F23" s="98" t="e">
        <f>+#REF!</f>
        <v>#REF!</v>
      </c>
      <c r="G23" s="105" t="e">
        <f t="shared" si="6"/>
        <v>#REF!</v>
      </c>
      <c r="H23" s="98" t="e">
        <f>+#REF!</f>
        <v>#REF!</v>
      </c>
      <c r="I23" s="104" t="e">
        <f t="shared" si="2"/>
        <v>#REF!</v>
      </c>
      <c r="J23" s="98" t="e">
        <f>+#REF!</f>
        <v>#REF!</v>
      </c>
      <c r="K23" s="104" t="e">
        <f t="shared" si="7"/>
        <v>#REF!</v>
      </c>
      <c r="L23" s="98" t="e">
        <f>+#REF!</f>
        <v>#REF!</v>
      </c>
      <c r="M23" s="104" t="e">
        <f t="shared" si="8"/>
        <v>#REF!</v>
      </c>
      <c r="N23" s="93"/>
      <c r="O23" s="93"/>
      <c r="P23" s="93"/>
      <c r="Q23" s="93"/>
    </row>
    <row r="24" spans="1:17">
      <c r="A24" s="91" t="s">
        <v>150</v>
      </c>
      <c r="B24" s="120">
        <v>287758</v>
      </c>
      <c r="C24" s="98">
        <v>334944</v>
      </c>
      <c r="D24" s="98" t="e">
        <f>+#REF!</f>
        <v>#REF!</v>
      </c>
      <c r="E24" s="105" t="e">
        <f t="shared" si="5"/>
        <v>#REF!</v>
      </c>
      <c r="F24" s="98" t="e">
        <f>+#REF!</f>
        <v>#REF!</v>
      </c>
      <c r="G24" s="105" t="e">
        <f t="shared" si="6"/>
        <v>#REF!</v>
      </c>
      <c r="H24" s="98" t="e">
        <f>+#REF!</f>
        <v>#REF!</v>
      </c>
      <c r="I24" s="104" t="e">
        <f t="shared" si="2"/>
        <v>#REF!</v>
      </c>
      <c r="J24" s="98" t="e">
        <f>+#REF!</f>
        <v>#REF!</v>
      </c>
      <c r="K24" s="104" t="e">
        <f t="shared" si="7"/>
        <v>#REF!</v>
      </c>
      <c r="L24" s="98" t="e">
        <f>+#REF!</f>
        <v>#REF!</v>
      </c>
      <c r="M24" s="104" t="e">
        <f t="shared" si="8"/>
        <v>#REF!</v>
      </c>
      <c r="N24" s="93"/>
      <c r="O24" s="93"/>
      <c r="P24" s="93"/>
      <c r="Q24" s="93"/>
    </row>
    <row r="25" spans="1:17">
      <c r="A25" s="91" t="s">
        <v>151</v>
      </c>
      <c r="B25" s="120">
        <v>109785</v>
      </c>
      <c r="C25" s="98">
        <v>119310</v>
      </c>
      <c r="D25" s="98" t="e">
        <f>+#REF!</f>
        <v>#REF!</v>
      </c>
      <c r="E25" s="105" t="e">
        <f t="shared" si="5"/>
        <v>#REF!</v>
      </c>
      <c r="F25" s="98" t="e">
        <f>+#REF!</f>
        <v>#REF!</v>
      </c>
      <c r="G25" s="105" t="e">
        <f t="shared" si="6"/>
        <v>#REF!</v>
      </c>
      <c r="H25" s="98" t="e">
        <f>+#REF!</f>
        <v>#REF!</v>
      </c>
      <c r="I25" s="104" t="e">
        <f t="shared" si="2"/>
        <v>#REF!</v>
      </c>
      <c r="J25" s="98" t="e">
        <f>+#REF!</f>
        <v>#REF!</v>
      </c>
      <c r="K25" s="104" t="e">
        <f t="shared" si="7"/>
        <v>#REF!</v>
      </c>
      <c r="L25" s="98" t="e">
        <f>+#REF!</f>
        <v>#REF!</v>
      </c>
      <c r="M25" s="104" t="e">
        <f t="shared" si="8"/>
        <v>#REF!</v>
      </c>
      <c r="N25" s="93"/>
      <c r="O25" s="93"/>
      <c r="P25" s="93"/>
      <c r="Q25" s="93"/>
    </row>
    <row r="26" spans="1:17">
      <c r="A26" s="91" t="s">
        <v>152</v>
      </c>
      <c r="B26" s="120">
        <v>145449</v>
      </c>
      <c r="C26" s="98">
        <v>161885</v>
      </c>
      <c r="D26" s="98" t="e">
        <f>+#REF!</f>
        <v>#REF!</v>
      </c>
      <c r="E26" s="105" t="e">
        <f t="shared" si="5"/>
        <v>#REF!</v>
      </c>
      <c r="F26" s="98" t="e">
        <f>+#REF!</f>
        <v>#REF!</v>
      </c>
      <c r="G26" s="105" t="e">
        <f t="shared" si="6"/>
        <v>#REF!</v>
      </c>
      <c r="H26" s="98" t="e">
        <f>+#REF!</f>
        <v>#REF!</v>
      </c>
      <c r="I26" s="104" t="e">
        <f t="shared" si="2"/>
        <v>#REF!</v>
      </c>
      <c r="J26" s="98" t="e">
        <f>+#REF!</f>
        <v>#REF!</v>
      </c>
      <c r="K26" s="104" t="e">
        <f t="shared" si="7"/>
        <v>#REF!</v>
      </c>
      <c r="L26" s="98" t="e">
        <f>+#REF!</f>
        <v>#REF!</v>
      </c>
      <c r="M26" s="104" t="e">
        <f t="shared" si="8"/>
        <v>#REF!</v>
      </c>
      <c r="N26" s="93"/>
      <c r="O26" s="93"/>
      <c r="P26" s="93"/>
      <c r="Q26" s="93"/>
    </row>
    <row r="27" spans="1:17">
      <c r="A27" s="91" t="s">
        <v>153</v>
      </c>
      <c r="B27" s="120">
        <v>105877</v>
      </c>
      <c r="C27" s="98">
        <v>115972</v>
      </c>
      <c r="D27" s="98" t="e">
        <f>+#REF!</f>
        <v>#REF!</v>
      </c>
      <c r="E27" s="105" t="e">
        <f t="shared" si="5"/>
        <v>#REF!</v>
      </c>
      <c r="F27" s="98" t="e">
        <f>+#REF!</f>
        <v>#REF!</v>
      </c>
      <c r="G27" s="105" t="e">
        <f t="shared" si="6"/>
        <v>#REF!</v>
      </c>
      <c r="H27" s="98" t="e">
        <f>+#REF!</f>
        <v>#REF!</v>
      </c>
      <c r="I27" s="104" t="e">
        <f t="shared" si="2"/>
        <v>#REF!</v>
      </c>
      <c r="J27" s="98" t="e">
        <f>+#REF!</f>
        <v>#REF!</v>
      </c>
      <c r="K27" s="104" t="e">
        <f t="shared" si="7"/>
        <v>#REF!</v>
      </c>
      <c r="L27" s="98" t="e">
        <f>+#REF!</f>
        <v>#REF!</v>
      </c>
      <c r="M27" s="104" t="e">
        <f t="shared" si="8"/>
        <v>#REF!</v>
      </c>
      <c r="N27" s="93"/>
      <c r="O27" s="93"/>
      <c r="P27" s="93"/>
      <c r="Q27" s="93"/>
    </row>
    <row r="28" spans="1:17">
      <c r="A28" s="91" t="s">
        <v>143</v>
      </c>
      <c r="B28" s="120">
        <v>30091</v>
      </c>
      <c r="C28" s="98">
        <v>37018</v>
      </c>
      <c r="D28" s="98" t="e">
        <f>+#REF!</f>
        <v>#REF!</v>
      </c>
      <c r="E28" s="105" t="e">
        <f t="shared" si="5"/>
        <v>#REF!</v>
      </c>
      <c r="F28" s="98" t="e">
        <f>+#REF!</f>
        <v>#REF!</v>
      </c>
      <c r="G28" s="105" t="e">
        <f t="shared" si="6"/>
        <v>#REF!</v>
      </c>
      <c r="H28" s="98" t="e">
        <f>+#REF!</f>
        <v>#REF!</v>
      </c>
      <c r="I28" s="104" t="e">
        <f t="shared" si="2"/>
        <v>#REF!</v>
      </c>
      <c r="J28" s="98" t="e">
        <f>+#REF!</f>
        <v>#REF!</v>
      </c>
      <c r="K28" s="104" t="e">
        <f t="shared" si="7"/>
        <v>#REF!</v>
      </c>
      <c r="L28" s="98" t="e">
        <f>+#REF!</f>
        <v>#REF!</v>
      </c>
      <c r="M28" s="104" t="e">
        <f t="shared" si="8"/>
        <v>#REF!</v>
      </c>
      <c r="N28" s="93"/>
      <c r="O28" s="93"/>
      <c r="P28" s="93"/>
      <c r="Q28" s="93"/>
    </row>
    <row r="29" spans="1:17">
      <c r="A29" s="91" t="s">
        <v>182</v>
      </c>
      <c r="B29" s="120">
        <v>61170</v>
      </c>
      <c r="C29" s="98">
        <v>57028</v>
      </c>
      <c r="D29" s="98" t="e">
        <f>+#REF!+#REF!</f>
        <v>#REF!</v>
      </c>
      <c r="E29" s="105" t="e">
        <f t="shared" si="5"/>
        <v>#REF!</v>
      </c>
      <c r="F29" s="98" t="e">
        <f>+#REF!+#REF!</f>
        <v>#REF!</v>
      </c>
      <c r="G29" s="105" t="e">
        <f t="shared" si="6"/>
        <v>#REF!</v>
      </c>
      <c r="H29" s="98" t="e">
        <f>+#REF!+#REF!</f>
        <v>#REF!</v>
      </c>
      <c r="I29" s="104" t="e">
        <f t="shared" si="2"/>
        <v>#REF!</v>
      </c>
      <c r="J29" s="98" t="e">
        <f>+#REF!+#REF!</f>
        <v>#REF!</v>
      </c>
      <c r="K29" s="104" t="e">
        <f t="shared" si="7"/>
        <v>#REF!</v>
      </c>
      <c r="L29" s="98" t="e">
        <f>+#REF!+#REF!</f>
        <v>#REF!</v>
      </c>
      <c r="M29" s="104" t="e">
        <f t="shared" si="8"/>
        <v>#REF!</v>
      </c>
      <c r="N29" s="93"/>
      <c r="O29" s="93"/>
      <c r="P29" s="93"/>
      <c r="Q29" s="93"/>
    </row>
    <row r="30" spans="1:17">
      <c r="A30" s="91" t="s">
        <v>154</v>
      </c>
      <c r="B30" s="120">
        <v>4250</v>
      </c>
      <c r="C30" s="100">
        <v>-45394</v>
      </c>
      <c r="D30" s="98" t="e">
        <f>+#REF!</f>
        <v>#REF!</v>
      </c>
      <c r="E30" s="105" t="e">
        <f t="shared" si="5"/>
        <v>#REF!</v>
      </c>
      <c r="F30" s="98" t="e">
        <f>+#REF!</f>
        <v>#REF!</v>
      </c>
      <c r="G30" s="105" t="e">
        <f t="shared" si="6"/>
        <v>#REF!</v>
      </c>
      <c r="H30" s="98" t="e">
        <f>+#REF!</f>
        <v>#REF!</v>
      </c>
      <c r="I30" s="104" t="e">
        <f t="shared" si="2"/>
        <v>#REF!</v>
      </c>
      <c r="J30" s="98" t="e">
        <f>+#REF!</f>
        <v>#REF!</v>
      </c>
      <c r="K30" s="104" t="e">
        <f t="shared" si="7"/>
        <v>#REF!</v>
      </c>
      <c r="L30" s="98" t="e">
        <f>+#REF!</f>
        <v>#REF!</v>
      </c>
      <c r="M30" s="104" t="e">
        <f t="shared" si="8"/>
        <v>#REF!</v>
      </c>
      <c r="N30" s="93"/>
      <c r="O30" s="93"/>
      <c r="P30" s="93"/>
      <c r="Q30" s="93"/>
    </row>
    <row r="31" spans="1:17">
      <c r="A31" s="91" t="s">
        <v>155</v>
      </c>
      <c r="B31" s="120">
        <v>19276</v>
      </c>
      <c r="C31" s="98">
        <f>SUM(C32+C33+C34)</f>
        <v>19635</v>
      </c>
      <c r="D31" s="98" t="e">
        <f>SUM(D32+D33+D34)</f>
        <v>#REF!</v>
      </c>
      <c r="E31" s="105" t="e">
        <f t="shared" si="5"/>
        <v>#REF!</v>
      </c>
      <c r="F31" s="98" t="e">
        <f>SUM(F32:F34)</f>
        <v>#REF!</v>
      </c>
      <c r="G31" s="105" t="e">
        <f t="shared" si="6"/>
        <v>#REF!</v>
      </c>
      <c r="H31" s="98" t="e">
        <f>SUM(H32:H34)</f>
        <v>#REF!</v>
      </c>
      <c r="I31" s="104" t="e">
        <f t="shared" si="2"/>
        <v>#REF!</v>
      </c>
      <c r="J31" s="98" t="e">
        <f>SUM(J32:J34)</f>
        <v>#REF!</v>
      </c>
      <c r="K31" s="104" t="e">
        <f t="shared" si="7"/>
        <v>#REF!</v>
      </c>
      <c r="L31" s="98" t="e">
        <f>SUM(L32:L34)</f>
        <v>#REF!</v>
      </c>
      <c r="M31" s="104" t="e">
        <f t="shared" si="8"/>
        <v>#REF!</v>
      </c>
      <c r="N31" s="93"/>
      <c r="O31" s="93"/>
      <c r="P31" s="93"/>
      <c r="Q31" s="93"/>
    </row>
    <row r="32" spans="1:17">
      <c r="A32" s="94" t="s">
        <v>183</v>
      </c>
      <c r="B32" s="109">
        <v>10809</v>
      </c>
      <c r="C32" s="94">
        <v>11018</v>
      </c>
      <c r="D32" s="109" t="e">
        <f>+#REF!</f>
        <v>#REF!</v>
      </c>
      <c r="E32" s="105" t="e">
        <f t="shared" si="5"/>
        <v>#REF!</v>
      </c>
      <c r="F32" s="98" t="e">
        <f>+#REF!</f>
        <v>#REF!</v>
      </c>
      <c r="G32" s="105" t="e">
        <f t="shared" si="6"/>
        <v>#REF!</v>
      </c>
      <c r="H32" s="98" t="e">
        <f>+#REF!</f>
        <v>#REF!</v>
      </c>
      <c r="I32" s="104" t="e">
        <f t="shared" si="2"/>
        <v>#REF!</v>
      </c>
      <c r="J32" s="98" t="e">
        <f>+#REF!</f>
        <v>#REF!</v>
      </c>
      <c r="K32" s="104" t="e">
        <f t="shared" si="7"/>
        <v>#REF!</v>
      </c>
      <c r="L32" s="98" t="e">
        <f>+#REF!</f>
        <v>#REF!</v>
      </c>
      <c r="M32" s="104" t="e">
        <f t="shared" si="8"/>
        <v>#REF!</v>
      </c>
      <c r="N32" s="93"/>
      <c r="O32" s="93"/>
      <c r="P32" s="93"/>
      <c r="Q32" s="93"/>
    </row>
    <row r="33" spans="1:17">
      <c r="A33" s="94" t="s">
        <v>184</v>
      </c>
      <c r="B33" s="109">
        <v>7665</v>
      </c>
      <c r="C33" s="94">
        <v>7782</v>
      </c>
      <c r="D33" s="109" t="e">
        <f>+#REF!</f>
        <v>#REF!</v>
      </c>
      <c r="E33" s="105" t="e">
        <f t="shared" si="5"/>
        <v>#REF!</v>
      </c>
      <c r="F33" s="98" t="e">
        <f>+#REF!</f>
        <v>#REF!</v>
      </c>
      <c r="G33" s="105" t="e">
        <f t="shared" si="6"/>
        <v>#REF!</v>
      </c>
      <c r="H33" s="98" t="e">
        <f>+#REF!</f>
        <v>#REF!</v>
      </c>
      <c r="I33" s="104" t="e">
        <f t="shared" si="2"/>
        <v>#REF!</v>
      </c>
      <c r="J33" s="98" t="e">
        <f>+#REF!</f>
        <v>#REF!</v>
      </c>
      <c r="K33" s="104" t="e">
        <f t="shared" si="7"/>
        <v>#REF!</v>
      </c>
      <c r="L33" s="98" t="e">
        <f>+#REF!</f>
        <v>#REF!</v>
      </c>
      <c r="M33" s="104" t="e">
        <f t="shared" si="8"/>
        <v>#REF!</v>
      </c>
      <c r="N33" s="93"/>
      <c r="O33" s="93"/>
      <c r="P33" s="93"/>
      <c r="Q33" s="93"/>
    </row>
    <row r="34" spans="1:17">
      <c r="A34" s="94" t="s">
        <v>185</v>
      </c>
      <c r="B34" s="109">
        <v>802</v>
      </c>
      <c r="C34" s="94">
        <v>835</v>
      </c>
      <c r="D34" s="109" t="e">
        <f>+#REF!</f>
        <v>#REF!</v>
      </c>
      <c r="E34" s="105" t="e">
        <f t="shared" si="5"/>
        <v>#REF!</v>
      </c>
      <c r="F34" s="98" t="e">
        <f>+#REF!</f>
        <v>#REF!</v>
      </c>
      <c r="G34" s="105" t="e">
        <f t="shared" si="6"/>
        <v>#REF!</v>
      </c>
      <c r="H34" s="98" t="e">
        <f>+#REF!</f>
        <v>#REF!</v>
      </c>
      <c r="I34" s="104" t="e">
        <f t="shared" si="2"/>
        <v>#REF!</v>
      </c>
      <c r="J34" s="98" t="e">
        <f>+#REF!</f>
        <v>#REF!</v>
      </c>
      <c r="K34" s="104" t="e">
        <f t="shared" si="7"/>
        <v>#REF!</v>
      </c>
      <c r="L34" s="98" t="e">
        <f>+#REF!</f>
        <v>#REF!</v>
      </c>
      <c r="M34" s="104" t="e">
        <f t="shared" si="8"/>
        <v>#REF!</v>
      </c>
      <c r="N34" s="93"/>
      <c r="O34" s="93"/>
      <c r="P34" s="93"/>
      <c r="Q34" s="93"/>
    </row>
    <row r="35" spans="1:17">
      <c r="A35" s="88" t="s">
        <v>156</v>
      </c>
      <c r="B35" s="110">
        <f>SUM(B21:B31)</f>
        <v>2962458</v>
      </c>
      <c r="C35" s="110">
        <f>SUM(C21:C31)</f>
        <v>3128829</v>
      </c>
      <c r="D35" s="110" t="e">
        <f>SUM(D21:D31)</f>
        <v>#REF!</v>
      </c>
      <c r="E35" s="112" t="e">
        <f t="shared" si="5"/>
        <v>#REF!</v>
      </c>
      <c r="F35" s="110" t="e">
        <f>SUM(F21:F31)</f>
        <v>#REF!</v>
      </c>
      <c r="G35" s="112" t="e">
        <f t="shared" si="6"/>
        <v>#REF!</v>
      </c>
      <c r="H35" s="110" t="e">
        <f>SUM(H21:H31)</f>
        <v>#REF!</v>
      </c>
      <c r="I35" s="104" t="e">
        <f t="shared" si="2"/>
        <v>#REF!</v>
      </c>
      <c r="J35" s="110" t="e">
        <f>SUM(J21:J31)</f>
        <v>#REF!</v>
      </c>
      <c r="K35" s="104" t="e">
        <f t="shared" si="7"/>
        <v>#REF!</v>
      </c>
      <c r="L35" s="110" t="e">
        <f>SUM(L21:L31)</f>
        <v>#REF!</v>
      </c>
      <c r="M35" s="104" t="e">
        <f t="shared" si="8"/>
        <v>#REF!</v>
      </c>
      <c r="N35" s="93"/>
      <c r="O35" s="93"/>
      <c r="P35" s="93"/>
      <c r="Q35" s="93"/>
    </row>
    <row r="36" spans="1:17">
      <c r="A36" s="90"/>
      <c r="B36" s="90"/>
      <c r="C36" s="98"/>
      <c r="D36" s="98"/>
      <c r="E36" s="98"/>
      <c r="F36" s="98"/>
      <c r="G36" s="98"/>
      <c r="H36" s="98"/>
      <c r="I36" s="104"/>
      <c r="J36" s="98"/>
      <c r="K36" s="104"/>
      <c r="L36" s="98"/>
      <c r="M36" s="104"/>
      <c r="N36" s="93"/>
      <c r="O36" s="93"/>
      <c r="P36" s="93"/>
      <c r="Q36" s="93"/>
    </row>
    <row r="37" spans="1:17">
      <c r="A37" s="96" t="s">
        <v>158</v>
      </c>
      <c r="B37" s="96"/>
      <c r="C37" s="98"/>
      <c r="D37" s="98"/>
      <c r="E37" s="98"/>
      <c r="F37" s="98"/>
      <c r="G37" s="98"/>
      <c r="H37" s="98"/>
      <c r="I37" s="104"/>
      <c r="J37" s="98"/>
      <c r="K37" s="104"/>
      <c r="L37" s="98"/>
      <c r="M37" s="104"/>
      <c r="N37" s="93"/>
      <c r="O37" s="93"/>
      <c r="P37" s="93"/>
      <c r="Q37" s="93"/>
    </row>
    <row r="38" spans="1:17">
      <c r="A38" s="91" t="s">
        <v>159</v>
      </c>
      <c r="B38" s="120">
        <v>2168463</v>
      </c>
      <c r="C38" s="98">
        <v>1966906</v>
      </c>
      <c r="D38" s="98" t="e">
        <f>+#REF!</f>
        <v>#REF!</v>
      </c>
      <c r="E38" s="105" t="e">
        <f t="shared" ref="E38:E45" si="9">(D38-C38)/C38</f>
        <v>#REF!</v>
      </c>
      <c r="F38" s="98" t="e">
        <f>+#REF!</f>
        <v>#REF!</v>
      </c>
      <c r="G38" s="105" t="e">
        <f t="shared" ref="G38:G45" si="10">(F38-C38)/C38</f>
        <v>#REF!</v>
      </c>
      <c r="H38" s="98" t="e">
        <f>+#REF!</f>
        <v>#REF!</v>
      </c>
      <c r="I38" s="104" t="e">
        <f t="shared" si="2"/>
        <v>#REF!</v>
      </c>
      <c r="J38" s="98" t="e">
        <f>+#REF!</f>
        <v>#REF!</v>
      </c>
      <c r="K38" s="104" t="e">
        <f t="shared" ref="K38:K45" si="11">(J38-$C38)/$C38</f>
        <v>#REF!</v>
      </c>
      <c r="L38" s="98" t="e">
        <f>+#REF!</f>
        <v>#REF!</v>
      </c>
      <c r="M38" s="104" t="e">
        <f t="shared" ref="M38:M45" si="12">(L38-$C38)/$C38</f>
        <v>#REF!</v>
      </c>
      <c r="N38" s="93"/>
      <c r="O38" s="93"/>
      <c r="P38" s="93"/>
      <c r="Q38" s="93"/>
    </row>
    <row r="39" spans="1:17">
      <c r="A39" s="94" t="s">
        <v>160</v>
      </c>
      <c r="B39" s="94">
        <v>519000</v>
      </c>
      <c r="C39" s="109">
        <v>519000</v>
      </c>
      <c r="D39" s="113">
        <v>519000</v>
      </c>
      <c r="E39" s="105">
        <f t="shared" si="9"/>
        <v>0</v>
      </c>
      <c r="F39" s="109">
        <v>519000</v>
      </c>
      <c r="G39" s="105">
        <f t="shared" si="10"/>
        <v>0</v>
      </c>
      <c r="H39" s="109">
        <v>519000</v>
      </c>
      <c r="I39" s="104">
        <f t="shared" si="2"/>
        <v>0</v>
      </c>
      <c r="J39" s="109">
        <v>519000</v>
      </c>
      <c r="K39" s="104">
        <f t="shared" si="11"/>
        <v>0</v>
      </c>
      <c r="L39" s="109">
        <v>519000</v>
      </c>
      <c r="M39" s="104">
        <f t="shared" si="12"/>
        <v>0</v>
      </c>
      <c r="N39" s="93"/>
      <c r="O39" s="93"/>
      <c r="P39" s="93"/>
      <c r="Q39" s="93"/>
    </row>
    <row r="40" spans="1:17">
      <c r="A40" s="94" t="s">
        <v>161</v>
      </c>
      <c r="B40" s="94">
        <v>100000</v>
      </c>
      <c r="C40" s="109">
        <v>100000</v>
      </c>
      <c r="D40" s="113">
        <v>100000</v>
      </c>
      <c r="E40" s="105">
        <f t="shared" si="9"/>
        <v>0</v>
      </c>
      <c r="F40" s="109">
        <v>100000</v>
      </c>
      <c r="G40" s="105">
        <f t="shared" si="10"/>
        <v>0</v>
      </c>
      <c r="H40" s="109">
        <v>100000</v>
      </c>
      <c r="I40" s="104">
        <f t="shared" si="2"/>
        <v>0</v>
      </c>
      <c r="J40" s="109">
        <v>100000</v>
      </c>
      <c r="K40" s="104">
        <f t="shared" si="11"/>
        <v>0</v>
      </c>
      <c r="L40" s="109">
        <v>100000</v>
      </c>
      <c r="M40" s="104">
        <f t="shared" si="12"/>
        <v>0</v>
      </c>
      <c r="N40" s="93"/>
      <c r="O40" s="93"/>
      <c r="P40" s="93"/>
      <c r="Q40" s="93"/>
    </row>
    <row r="41" spans="1:17">
      <c r="A41" s="91" t="s">
        <v>163</v>
      </c>
      <c r="B41" s="120">
        <v>751608</v>
      </c>
      <c r="C41" s="98">
        <v>679800</v>
      </c>
      <c r="D41" s="98" t="e">
        <f>+#REF!</f>
        <v>#REF!</v>
      </c>
      <c r="E41" s="105" t="e">
        <f t="shared" si="9"/>
        <v>#REF!</v>
      </c>
      <c r="F41" s="98" t="e">
        <f>+#REF!</f>
        <v>#REF!</v>
      </c>
      <c r="G41" s="105" t="e">
        <f t="shared" si="10"/>
        <v>#REF!</v>
      </c>
      <c r="H41" s="98" t="e">
        <f>+#REF!</f>
        <v>#REF!</v>
      </c>
      <c r="I41" s="104" t="e">
        <f t="shared" si="2"/>
        <v>#REF!</v>
      </c>
      <c r="J41" s="98" t="e">
        <f>+#REF!</f>
        <v>#REF!</v>
      </c>
      <c r="K41" s="104" t="e">
        <f t="shared" si="11"/>
        <v>#REF!</v>
      </c>
      <c r="L41" s="98" t="e">
        <f>+#REF!</f>
        <v>#REF!</v>
      </c>
      <c r="M41" s="104" t="e">
        <f t="shared" si="12"/>
        <v>#REF!</v>
      </c>
      <c r="N41" s="93"/>
      <c r="O41" s="93"/>
      <c r="P41" s="93"/>
      <c r="Q41" s="93"/>
    </row>
    <row r="42" spans="1:17">
      <c r="A42" s="91" t="s">
        <v>162</v>
      </c>
      <c r="B42" s="94">
        <v>298000</v>
      </c>
      <c r="C42" s="109">
        <v>600000</v>
      </c>
      <c r="D42" s="113">
        <v>922650</v>
      </c>
      <c r="E42" s="105">
        <f t="shared" si="9"/>
        <v>0.53774999999999995</v>
      </c>
      <c r="F42" s="109">
        <v>298000</v>
      </c>
      <c r="G42" s="105">
        <f t="shared" si="10"/>
        <v>-0.5033333333333333</v>
      </c>
      <c r="H42" s="109">
        <v>600000</v>
      </c>
      <c r="I42" s="104">
        <f t="shared" si="2"/>
        <v>0</v>
      </c>
      <c r="J42" s="109">
        <v>600000</v>
      </c>
      <c r="K42" s="104">
        <f t="shared" si="11"/>
        <v>0</v>
      </c>
      <c r="L42" s="109">
        <v>600000</v>
      </c>
      <c r="M42" s="104">
        <f t="shared" si="12"/>
        <v>0</v>
      </c>
      <c r="N42" s="93"/>
      <c r="O42" s="93"/>
      <c r="P42" s="93"/>
      <c r="Q42" s="93"/>
    </row>
    <row r="43" spans="1:17">
      <c r="A43" s="91" t="s">
        <v>164</v>
      </c>
      <c r="B43" s="120">
        <v>418500</v>
      </c>
      <c r="C43" s="98">
        <v>438000</v>
      </c>
      <c r="D43" s="98" t="e">
        <f>+#REF!</f>
        <v>#REF!</v>
      </c>
      <c r="E43" s="105" t="e">
        <f t="shared" si="9"/>
        <v>#REF!</v>
      </c>
      <c r="F43" s="98" t="e">
        <f>+#REF!</f>
        <v>#REF!</v>
      </c>
      <c r="G43" s="105" t="e">
        <f t="shared" si="10"/>
        <v>#REF!</v>
      </c>
      <c r="H43" s="98" t="e">
        <f>+#REF!</f>
        <v>#REF!</v>
      </c>
      <c r="I43" s="104" t="e">
        <f t="shared" si="2"/>
        <v>#REF!</v>
      </c>
      <c r="J43" s="98" t="e">
        <f>+#REF!</f>
        <v>#REF!</v>
      </c>
      <c r="K43" s="104" t="e">
        <f t="shared" si="11"/>
        <v>#REF!</v>
      </c>
      <c r="L43" s="98" t="e">
        <f>+#REF!</f>
        <v>#REF!</v>
      </c>
      <c r="M43" s="104" t="e">
        <f t="shared" si="12"/>
        <v>#REF!</v>
      </c>
      <c r="N43" s="93"/>
      <c r="O43" s="93"/>
      <c r="P43" s="93"/>
      <c r="Q43" s="93"/>
    </row>
    <row r="44" spans="1:17">
      <c r="A44" s="91" t="s">
        <v>167</v>
      </c>
      <c r="B44" s="120">
        <v>213388</v>
      </c>
      <c r="C44" s="98">
        <v>279443</v>
      </c>
      <c r="D44" s="98" t="e">
        <f>+#REF!</f>
        <v>#REF!</v>
      </c>
      <c r="E44" s="105" t="e">
        <f t="shared" si="9"/>
        <v>#REF!</v>
      </c>
      <c r="F44" s="98" t="e">
        <f>+#REF!</f>
        <v>#REF!</v>
      </c>
      <c r="G44" s="105" t="e">
        <f t="shared" si="10"/>
        <v>#REF!</v>
      </c>
      <c r="H44" s="98" t="e">
        <f>+#REF!</f>
        <v>#REF!</v>
      </c>
      <c r="I44" s="104" t="e">
        <f t="shared" si="2"/>
        <v>#REF!</v>
      </c>
      <c r="J44" s="98" t="e">
        <f>+#REF!</f>
        <v>#REF!</v>
      </c>
      <c r="K44" s="104" t="e">
        <f t="shared" si="11"/>
        <v>#REF!</v>
      </c>
      <c r="L44" s="98">
        <v>0</v>
      </c>
      <c r="M44" s="104">
        <f t="shared" si="12"/>
        <v>-1</v>
      </c>
      <c r="N44" s="93"/>
      <c r="O44" s="93"/>
      <c r="P44" s="93"/>
      <c r="Q44" s="93"/>
    </row>
    <row r="45" spans="1:17">
      <c r="A45" s="88" t="s">
        <v>156</v>
      </c>
      <c r="B45" s="110">
        <f>SUM(B38+B41+B43+B44)</f>
        <v>3551959</v>
      </c>
      <c r="C45" s="110">
        <f>SUM(C38+C41+C43+C44)</f>
        <v>3364149</v>
      </c>
      <c r="D45" s="110" t="e">
        <f>SUM(D38+D41+D43+D44)</f>
        <v>#REF!</v>
      </c>
      <c r="E45" s="112" t="e">
        <f t="shared" si="9"/>
        <v>#REF!</v>
      </c>
      <c r="F45" s="110" t="e">
        <f>SUM(F38+F41+F43+F44)</f>
        <v>#REF!</v>
      </c>
      <c r="G45" s="112" t="e">
        <f t="shared" si="10"/>
        <v>#REF!</v>
      </c>
      <c r="H45" s="110" t="e">
        <f>SUM(H38+H41+H43+H44)</f>
        <v>#REF!</v>
      </c>
      <c r="I45" s="104" t="e">
        <f t="shared" si="2"/>
        <v>#REF!</v>
      </c>
      <c r="J45" s="110" t="e">
        <f>SUM(J38+J41+J43+J44)</f>
        <v>#REF!</v>
      </c>
      <c r="K45" s="104" t="e">
        <f t="shared" si="11"/>
        <v>#REF!</v>
      </c>
      <c r="L45" s="110" t="e">
        <f>SUM(L38+L41+L43+L44)</f>
        <v>#REF!</v>
      </c>
      <c r="M45" s="104" t="e">
        <f t="shared" si="12"/>
        <v>#REF!</v>
      </c>
      <c r="N45" s="93"/>
      <c r="O45" s="93"/>
      <c r="P45" s="93"/>
      <c r="Q45" s="93"/>
    </row>
    <row r="46" spans="1:17">
      <c r="A46" s="90"/>
      <c r="B46" s="90"/>
      <c r="C46" s="98"/>
      <c r="D46" s="98"/>
      <c r="E46" s="98"/>
      <c r="F46" s="98"/>
      <c r="G46" s="98"/>
      <c r="H46" s="98"/>
      <c r="I46" s="104"/>
      <c r="J46" s="98"/>
      <c r="K46" s="104"/>
      <c r="L46" s="98"/>
      <c r="M46" s="104"/>
      <c r="N46" s="93"/>
      <c r="O46" s="93"/>
      <c r="P46" s="93"/>
      <c r="Q46" s="93"/>
    </row>
    <row r="47" spans="1:17">
      <c r="A47" s="96" t="s">
        <v>165</v>
      </c>
      <c r="B47" s="96"/>
      <c r="C47" s="98"/>
      <c r="D47" s="98"/>
      <c r="E47" s="98"/>
      <c r="F47" s="98"/>
      <c r="G47" s="98"/>
      <c r="H47" s="98"/>
      <c r="I47" s="104"/>
      <c r="J47" s="98"/>
      <c r="K47" s="104"/>
      <c r="L47" s="98"/>
      <c r="M47" s="104"/>
    </row>
    <row r="48" spans="1:17">
      <c r="A48" s="91" t="s">
        <v>169</v>
      </c>
      <c r="B48" s="120">
        <v>118488</v>
      </c>
      <c r="C48" s="98">
        <v>223336</v>
      </c>
      <c r="D48" s="98" t="e">
        <f>+#REF!</f>
        <v>#REF!</v>
      </c>
      <c r="E48" s="105" t="e">
        <f t="shared" ref="E48:E62" si="13">(D48-C48)/C48</f>
        <v>#REF!</v>
      </c>
      <c r="F48" s="98" t="e">
        <f>+#REF!</f>
        <v>#REF!</v>
      </c>
      <c r="G48" s="105" t="e">
        <f t="shared" ref="G48:G62" si="14">(F48-C48)/C48</f>
        <v>#REF!</v>
      </c>
      <c r="H48" s="98" t="e">
        <f>+#REF!</f>
        <v>#REF!</v>
      </c>
      <c r="I48" s="104" t="e">
        <f t="shared" si="2"/>
        <v>#REF!</v>
      </c>
      <c r="J48" s="98" t="e">
        <f>+#REF!</f>
        <v>#REF!</v>
      </c>
      <c r="K48" s="104" t="e">
        <f t="shared" ref="K48:K60" si="15">(J48-$C48)/$C48</f>
        <v>#REF!</v>
      </c>
      <c r="L48" s="98" t="e">
        <f>+#REF!</f>
        <v>#REF!</v>
      </c>
      <c r="M48" s="104" t="e">
        <f t="shared" ref="M48:M60" si="16">(L48-$C48)/$C48</f>
        <v>#REF!</v>
      </c>
    </row>
    <row r="49" spans="1:13">
      <c r="A49" s="91" t="s">
        <v>166</v>
      </c>
      <c r="B49" s="120">
        <v>44023</v>
      </c>
      <c r="C49" s="98">
        <v>44580</v>
      </c>
      <c r="D49" s="98" t="e">
        <f>+#REF!</f>
        <v>#REF!</v>
      </c>
      <c r="E49" s="105" t="e">
        <f t="shared" si="13"/>
        <v>#REF!</v>
      </c>
      <c r="F49" s="98" t="e">
        <f>+#REF!</f>
        <v>#REF!</v>
      </c>
      <c r="G49" s="105" t="e">
        <f t="shared" si="14"/>
        <v>#REF!</v>
      </c>
      <c r="H49" s="98" t="e">
        <f>+#REF!</f>
        <v>#REF!</v>
      </c>
      <c r="I49" s="104" t="e">
        <f t="shared" si="2"/>
        <v>#REF!</v>
      </c>
      <c r="J49" s="98" t="e">
        <f>+#REF!</f>
        <v>#REF!</v>
      </c>
      <c r="K49" s="104" t="e">
        <f t="shared" si="15"/>
        <v>#REF!</v>
      </c>
      <c r="L49" s="98" t="e">
        <f>+#REF!</f>
        <v>#REF!</v>
      </c>
      <c r="M49" s="104" t="e">
        <f t="shared" si="16"/>
        <v>#REF!</v>
      </c>
    </row>
    <row r="50" spans="1:13">
      <c r="A50" s="91" t="s">
        <v>168</v>
      </c>
      <c r="B50" s="120">
        <v>88285</v>
      </c>
      <c r="C50" s="98">
        <v>179785</v>
      </c>
      <c r="D50" s="98" t="e">
        <f>+#REF!</f>
        <v>#REF!</v>
      </c>
      <c r="E50" s="105" t="e">
        <f t="shared" si="13"/>
        <v>#REF!</v>
      </c>
      <c r="F50" s="98" t="e">
        <f>+#REF!</f>
        <v>#REF!</v>
      </c>
      <c r="G50" s="105" t="e">
        <f t="shared" si="14"/>
        <v>#REF!</v>
      </c>
      <c r="H50" s="98" t="e">
        <f>+#REF!</f>
        <v>#REF!</v>
      </c>
      <c r="I50" s="104" t="e">
        <f t="shared" si="2"/>
        <v>#REF!</v>
      </c>
      <c r="J50" s="98" t="e">
        <f>+#REF!</f>
        <v>#REF!</v>
      </c>
      <c r="K50" s="104" t="e">
        <f t="shared" si="15"/>
        <v>#REF!</v>
      </c>
      <c r="L50" s="98" t="e">
        <f>+#REF!</f>
        <v>#REF!</v>
      </c>
      <c r="M50" s="104" t="e">
        <f t="shared" si="16"/>
        <v>#REF!</v>
      </c>
    </row>
    <row r="51" spans="1:13">
      <c r="A51" s="91" t="s">
        <v>170</v>
      </c>
      <c r="B51" s="120">
        <v>206143</v>
      </c>
      <c r="C51" s="98">
        <v>207727</v>
      </c>
      <c r="D51" s="98" t="e">
        <f>+#REF!</f>
        <v>#REF!</v>
      </c>
      <c r="E51" s="105" t="e">
        <f t="shared" si="13"/>
        <v>#REF!</v>
      </c>
      <c r="F51" s="98" t="e">
        <f>+#REF!</f>
        <v>#REF!</v>
      </c>
      <c r="G51" s="105" t="e">
        <f t="shared" si="14"/>
        <v>#REF!</v>
      </c>
      <c r="H51" s="98" t="e">
        <f>+#REF!</f>
        <v>#REF!</v>
      </c>
      <c r="I51" s="104" t="e">
        <f t="shared" si="2"/>
        <v>#REF!</v>
      </c>
      <c r="J51" s="98" t="e">
        <f>+#REF!</f>
        <v>#REF!</v>
      </c>
      <c r="K51" s="104" t="e">
        <f t="shared" si="15"/>
        <v>#REF!</v>
      </c>
      <c r="L51" s="98" t="e">
        <f>+#REF!</f>
        <v>#REF!</v>
      </c>
      <c r="M51" s="104" t="e">
        <f t="shared" si="16"/>
        <v>#REF!</v>
      </c>
    </row>
    <row r="52" spans="1:13">
      <c r="A52" s="91" t="s">
        <v>171</v>
      </c>
      <c r="B52" s="120">
        <v>297955</v>
      </c>
      <c r="C52" s="98">
        <v>316442</v>
      </c>
      <c r="D52" s="98" t="e">
        <f>+#REF!</f>
        <v>#REF!</v>
      </c>
      <c r="E52" s="105" t="e">
        <f t="shared" si="13"/>
        <v>#REF!</v>
      </c>
      <c r="F52" s="98" t="e">
        <f>+#REF!</f>
        <v>#REF!</v>
      </c>
      <c r="G52" s="105" t="e">
        <f t="shared" si="14"/>
        <v>#REF!</v>
      </c>
      <c r="H52" s="98" t="e">
        <f>+#REF!</f>
        <v>#REF!</v>
      </c>
      <c r="I52" s="104" t="e">
        <f t="shared" si="2"/>
        <v>#REF!</v>
      </c>
      <c r="J52" s="98" t="e">
        <f>+#REF!</f>
        <v>#REF!</v>
      </c>
      <c r="K52" s="104" t="e">
        <f t="shared" si="15"/>
        <v>#REF!</v>
      </c>
      <c r="L52" s="98" t="e">
        <f>+#REF!</f>
        <v>#REF!</v>
      </c>
      <c r="M52" s="104" t="e">
        <f t="shared" si="16"/>
        <v>#REF!</v>
      </c>
    </row>
    <row r="53" spans="1:13">
      <c r="A53" s="91" t="s">
        <v>172</v>
      </c>
      <c r="B53" s="120">
        <v>2730</v>
      </c>
      <c r="C53" s="98">
        <v>2778</v>
      </c>
      <c r="D53" s="98" t="e">
        <f>+#REF!</f>
        <v>#REF!</v>
      </c>
      <c r="E53" s="105" t="e">
        <f t="shared" si="13"/>
        <v>#REF!</v>
      </c>
      <c r="F53" s="98" t="e">
        <f>+#REF!</f>
        <v>#REF!</v>
      </c>
      <c r="G53" s="105" t="e">
        <f t="shared" si="14"/>
        <v>#REF!</v>
      </c>
      <c r="H53" s="98" t="e">
        <f>+#REF!</f>
        <v>#REF!</v>
      </c>
      <c r="I53" s="104" t="e">
        <f t="shared" si="2"/>
        <v>#REF!</v>
      </c>
      <c r="J53" s="98" t="e">
        <f>+#REF!</f>
        <v>#REF!</v>
      </c>
      <c r="K53" s="104" t="e">
        <f t="shared" si="15"/>
        <v>#REF!</v>
      </c>
      <c r="L53" s="98" t="e">
        <f>+#REF!</f>
        <v>#REF!</v>
      </c>
      <c r="M53" s="104" t="e">
        <f t="shared" si="16"/>
        <v>#REF!</v>
      </c>
    </row>
    <row r="54" spans="1:13">
      <c r="A54" s="91" t="s">
        <v>173</v>
      </c>
      <c r="B54" s="120">
        <v>84368</v>
      </c>
      <c r="C54" s="98">
        <v>88792</v>
      </c>
      <c r="D54" s="98" t="e">
        <f>+#REF!</f>
        <v>#REF!</v>
      </c>
      <c r="E54" s="105" t="e">
        <f t="shared" si="13"/>
        <v>#REF!</v>
      </c>
      <c r="F54" s="98" t="e">
        <f>+#REF!</f>
        <v>#REF!</v>
      </c>
      <c r="G54" s="105" t="e">
        <f t="shared" si="14"/>
        <v>#REF!</v>
      </c>
      <c r="H54" s="98" t="e">
        <f>+#REF!</f>
        <v>#REF!</v>
      </c>
      <c r="I54" s="104" t="e">
        <f t="shared" si="2"/>
        <v>#REF!</v>
      </c>
      <c r="J54" s="98" t="e">
        <f>+#REF!</f>
        <v>#REF!</v>
      </c>
      <c r="K54" s="104" t="e">
        <f t="shared" si="15"/>
        <v>#REF!</v>
      </c>
      <c r="L54" s="98" t="e">
        <f>+#REF!</f>
        <v>#REF!</v>
      </c>
      <c r="M54" s="104" t="e">
        <f t="shared" si="16"/>
        <v>#REF!</v>
      </c>
    </row>
    <row r="55" spans="1:13">
      <c r="A55" s="91" t="s">
        <v>174</v>
      </c>
      <c r="B55" s="120">
        <v>12859</v>
      </c>
      <c r="C55" s="98">
        <v>13582</v>
      </c>
      <c r="D55" s="98" t="e">
        <f>+#REF!</f>
        <v>#REF!</v>
      </c>
      <c r="E55" s="105" t="e">
        <f t="shared" si="13"/>
        <v>#REF!</v>
      </c>
      <c r="F55" s="98" t="e">
        <f>+#REF!</f>
        <v>#REF!</v>
      </c>
      <c r="G55" s="105" t="e">
        <f t="shared" si="14"/>
        <v>#REF!</v>
      </c>
      <c r="H55" s="98" t="e">
        <f>+#REF!</f>
        <v>#REF!</v>
      </c>
      <c r="I55" s="104" t="e">
        <f t="shared" si="2"/>
        <v>#REF!</v>
      </c>
      <c r="J55" s="98" t="e">
        <f>+#REF!</f>
        <v>#REF!</v>
      </c>
      <c r="K55" s="104" t="e">
        <f t="shared" si="15"/>
        <v>#REF!</v>
      </c>
      <c r="L55" s="98" t="e">
        <f>+#REF!</f>
        <v>#REF!</v>
      </c>
      <c r="M55" s="104" t="e">
        <f t="shared" si="16"/>
        <v>#REF!</v>
      </c>
    </row>
    <row r="56" spans="1:13">
      <c r="A56" s="91" t="s">
        <v>175</v>
      </c>
      <c r="B56" s="120">
        <v>2117</v>
      </c>
      <c r="C56" s="98">
        <v>2159</v>
      </c>
      <c r="D56" s="98" t="e">
        <f>+#REF!</f>
        <v>#REF!</v>
      </c>
      <c r="E56" s="105" t="e">
        <f t="shared" si="13"/>
        <v>#REF!</v>
      </c>
      <c r="F56" s="98" t="e">
        <f>+#REF!</f>
        <v>#REF!</v>
      </c>
      <c r="G56" s="105" t="e">
        <f t="shared" si="14"/>
        <v>#REF!</v>
      </c>
      <c r="H56" s="98" t="e">
        <f>+#REF!</f>
        <v>#REF!</v>
      </c>
      <c r="I56" s="104" t="e">
        <f t="shared" si="2"/>
        <v>#REF!</v>
      </c>
      <c r="J56" s="98" t="e">
        <f>+#REF!</f>
        <v>#REF!</v>
      </c>
      <c r="K56" s="104" t="e">
        <f t="shared" si="15"/>
        <v>#REF!</v>
      </c>
      <c r="L56" s="98" t="e">
        <f>+#REF!</f>
        <v>#REF!</v>
      </c>
      <c r="M56" s="104" t="e">
        <f t="shared" si="16"/>
        <v>#REF!</v>
      </c>
    </row>
    <row r="57" spans="1:13">
      <c r="A57" s="91" t="s">
        <v>176</v>
      </c>
      <c r="B57" s="120">
        <v>20990</v>
      </c>
      <c r="C57" s="98">
        <v>20990</v>
      </c>
      <c r="D57" s="98" t="e">
        <f>+#REF!</f>
        <v>#REF!</v>
      </c>
      <c r="E57" s="105" t="e">
        <f t="shared" si="13"/>
        <v>#REF!</v>
      </c>
      <c r="F57" s="98" t="e">
        <f>+#REF!</f>
        <v>#REF!</v>
      </c>
      <c r="G57" s="105" t="e">
        <f t="shared" si="14"/>
        <v>#REF!</v>
      </c>
      <c r="H57" s="98" t="e">
        <f>+#REF!</f>
        <v>#REF!</v>
      </c>
      <c r="I57" s="104" t="e">
        <f t="shared" si="2"/>
        <v>#REF!</v>
      </c>
      <c r="J57" s="98" t="e">
        <f>+#REF!</f>
        <v>#REF!</v>
      </c>
      <c r="K57" s="104" t="e">
        <f t="shared" si="15"/>
        <v>#REF!</v>
      </c>
      <c r="L57" s="98" t="e">
        <f>+#REF!</f>
        <v>#REF!</v>
      </c>
      <c r="M57" s="104" t="e">
        <f t="shared" si="16"/>
        <v>#REF!</v>
      </c>
    </row>
    <row r="58" spans="1:13">
      <c r="A58" s="91" t="s">
        <v>177</v>
      </c>
      <c r="B58" s="120">
        <v>11479</v>
      </c>
      <c r="C58" s="98">
        <v>12606</v>
      </c>
      <c r="D58" s="98" t="e">
        <f>+#REF!</f>
        <v>#REF!</v>
      </c>
      <c r="E58" s="105" t="e">
        <f t="shared" si="13"/>
        <v>#REF!</v>
      </c>
      <c r="F58" s="98" t="e">
        <f>+#REF!</f>
        <v>#REF!</v>
      </c>
      <c r="G58" s="105" t="e">
        <f t="shared" si="14"/>
        <v>#REF!</v>
      </c>
      <c r="H58" s="98" t="e">
        <f>+#REF!</f>
        <v>#REF!</v>
      </c>
      <c r="I58" s="104" t="e">
        <f t="shared" si="2"/>
        <v>#REF!</v>
      </c>
      <c r="J58" s="98" t="e">
        <f>+#REF!</f>
        <v>#REF!</v>
      </c>
      <c r="K58" s="104" t="e">
        <f t="shared" si="15"/>
        <v>#REF!</v>
      </c>
      <c r="L58" s="98" t="e">
        <f>+#REF!</f>
        <v>#REF!</v>
      </c>
      <c r="M58" s="104" t="e">
        <f t="shared" si="16"/>
        <v>#REF!</v>
      </c>
    </row>
    <row r="59" spans="1:13">
      <c r="A59" s="106" t="s">
        <v>178</v>
      </c>
      <c r="B59" s="121">
        <v>2700</v>
      </c>
      <c r="C59" s="107">
        <v>2700</v>
      </c>
      <c r="D59" s="107" t="e">
        <f>+#REF!</f>
        <v>#REF!</v>
      </c>
      <c r="E59" s="108" t="e">
        <f t="shared" si="13"/>
        <v>#REF!</v>
      </c>
      <c r="F59" s="107" t="e">
        <f>+#REF!</f>
        <v>#REF!</v>
      </c>
      <c r="G59" s="108" t="e">
        <f t="shared" si="14"/>
        <v>#REF!</v>
      </c>
      <c r="H59" s="107" t="e">
        <f>+#REF!</f>
        <v>#REF!</v>
      </c>
      <c r="I59" s="104" t="e">
        <f t="shared" si="2"/>
        <v>#REF!</v>
      </c>
      <c r="J59" s="107" t="e">
        <f>+#REF!</f>
        <v>#REF!</v>
      </c>
      <c r="K59" s="104" t="e">
        <f t="shared" si="15"/>
        <v>#REF!</v>
      </c>
      <c r="L59" s="107" t="e">
        <f>+#REF!</f>
        <v>#REF!</v>
      </c>
      <c r="M59" s="104" t="e">
        <f t="shared" si="16"/>
        <v>#REF!</v>
      </c>
    </row>
    <row r="60" spans="1:13">
      <c r="A60" s="88" t="s">
        <v>156</v>
      </c>
      <c r="B60" s="110">
        <f>SUM(B48:B59)</f>
        <v>892137</v>
      </c>
      <c r="C60" s="110">
        <f>SUM(C48:C59)</f>
        <v>1115477</v>
      </c>
      <c r="D60" s="110" t="e">
        <f>SUM(D48:D59)</f>
        <v>#REF!</v>
      </c>
      <c r="E60" s="112" t="e">
        <f t="shared" si="13"/>
        <v>#REF!</v>
      </c>
      <c r="F60" s="110" t="e">
        <f>SUM(F48:F59)</f>
        <v>#REF!</v>
      </c>
      <c r="G60" s="112" t="e">
        <f t="shared" si="14"/>
        <v>#REF!</v>
      </c>
      <c r="H60" s="110" t="e">
        <f>SUM(H48:H59)</f>
        <v>#REF!</v>
      </c>
      <c r="I60" s="104" t="e">
        <f t="shared" si="2"/>
        <v>#REF!</v>
      </c>
      <c r="J60" s="110" t="e">
        <f>SUM(J48:J59)</f>
        <v>#REF!</v>
      </c>
      <c r="K60" s="104" t="e">
        <f t="shared" si="15"/>
        <v>#REF!</v>
      </c>
      <c r="L60" s="110" t="e">
        <f>SUM(L48:L59)</f>
        <v>#REF!</v>
      </c>
      <c r="M60" s="104" t="e">
        <f t="shared" si="16"/>
        <v>#REF!</v>
      </c>
    </row>
    <row r="61" spans="1:13">
      <c r="A61" s="90"/>
      <c r="B61" s="90"/>
      <c r="C61" s="90"/>
      <c r="D61" s="90"/>
      <c r="E61" s="90"/>
      <c r="F61" s="90"/>
      <c r="G61" s="90"/>
      <c r="H61" s="90"/>
      <c r="I61" s="104"/>
      <c r="J61" s="90"/>
      <c r="K61" s="104"/>
      <c r="L61" s="90"/>
      <c r="M61" s="104"/>
    </row>
    <row r="62" spans="1:13">
      <c r="A62" s="88" t="s">
        <v>187</v>
      </c>
      <c r="B62" s="110">
        <f>SUM(B18+B35+B45+B60)</f>
        <v>27700551</v>
      </c>
      <c r="C62" s="110">
        <f>SUM(C18+C35+C45+C60)</f>
        <v>29191202</v>
      </c>
      <c r="D62" s="110" t="e">
        <f>SUM(D18+D35+D45+D60)</f>
        <v>#REF!</v>
      </c>
      <c r="E62" s="112" t="e">
        <f t="shared" si="13"/>
        <v>#REF!</v>
      </c>
      <c r="F62" s="110" t="e">
        <f>SUM(F18+F35+F45+F60)</f>
        <v>#REF!</v>
      </c>
      <c r="G62" s="112" t="e">
        <f t="shared" si="14"/>
        <v>#REF!</v>
      </c>
      <c r="H62" s="110" t="e">
        <f>SUM(H18+H35+H45+H60)</f>
        <v>#REF!</v>
      </c>
      <c r="I62" s="104" t="e">
        <f t="shared" si="2"/>
        <v>#REF!</v>
      </c>
      <c r="J62" s="110" t="e">
        <f>SUM(J18+J35+J45+J60)</f>
        <v>#REF!</v>
      </c>
      <c r="K62" s="104" t="e">
        <f t="shared" ref="K62" si="17">(J62-$C62)/$C62</f>
        <v>#REF!</v>
      </c>
      <c r="L62" s="110" t="e">
        <f>SUM(L18+L35+L45+L60)</f>
        <v>#REF!</v>
      </c>
      <c r="M62" s="166" t="e">
        <f>ROUND((L62-$C62)/$C62,3)</f>
        <v>#REF!</v>
      </c>
    </row>
    <row r="63" spans="1:13">
      <c r="L63" s="136" t="e">
        <f>+L62-#REF!</f>
        <v>#REF!</v>
      </c>
    </row>
  </sheetData>
  <mergeCells count="3">
    <mergeCell ref="A1:M1"/>
    <mergeCell ref="A2:M2"/>
    <mergeCell ref="A3:M3"/>
  </mergeCells>
  <phoneticPr fontId="2" type="noConversion"/>
  <printOptions horizontalCentered="1"/>
  <pageMargins left="0.7" right="0.7" top="0.75" bottom="0.75" header="0.3" footer="0.3"/>
  <pageSetup scale="84" orientation="portrait" r:id="rId1"/>
  <headerFooter>
    <oddFooter>&amp;R&amp;D  &amp;T</oddFooter>
  </headerFooter>
  <rowBreaks count="1" manualBreakCount="1">
    <brk id="45" max="12" man="1"/>
  </rowBreaks>
  <colBreaks count="1" manualBreakCount="1">
    <brk id="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2" tint="-0.499984740745262"/>
  </sheetPr>
  <dimension ref="A1:Z489"/>
  <sheetViews>
    <sheetView view="pageBreakPreview" zoomScale="70" zoomScaleNormal="100" zoomScaleSheetLayoutView="70" workbookViewId="0">
      <pane xSplit="4" ySplit="8" topLeftCell="F9" activePane="bottomRight" state="frozen"/>
      <selection activeCell="T81" sqref="T81"/>
      <selection pane="topRight" activeCell="T81" sqref="T81"/>
      <selection pane="bottomLeft" activeCell="T81" sqref="T81"/>
      <selection pane="bottomRight" activeCell="U12" sqref="U12"/>
    </sheetView>
  </sheetViews>
  <sheetFormatPr defaultRowHeight="15"/>
  <cols>
    <col min="1" max="1" width="14.140625" style="44" bestFit="1" customWidth="1"/>
    <col min="2" max="2" width="9.140625" style="44"/>
    <col min="3" max="3" width="12.5703125" style="44" customWidth="1"/>
    <col min="4" max="4" width="35.5703125" style="44" customWidth="1"/>
    <col min="5" max="5" width="18.140625" style="6" hidden="1" customWidth="1"/>
    <col min="6" max="6" width="23.5703125" style="1" hidden="1" customWidth="1"/>
    <col min="7" max="7" width="23.7109375" style="1" customWidth="1"/>
    <col min="8" max="8" width="17.28515625" style="1" hidden="1" customWidth="1"/>
    <col min="9" max="9" width="17.140625" style="1" hidden="1" customWidth="1"/>
    <col min="10" max="10" width="22.7109375" style="1" hidden="1" customWidth="1"/>
    <col min="11" max="11" width="17.42578125" style="1" hidden="1" customWidth="1"/>
    <col min="12" max="12" width="16.5703125" style="1" hidden="1" customWidth="1"/>
    <col min="13" max="13" width="17.42578125" style="1" hidden="1" customWidth="1"/>
    <col min="14" max="14" width="21.140625" style="1" hidden="1" customWidth="1"/>
    <col min="15" max="15" width="17.85546875" style="1" hidden="1" customWidth="1"/>
    <col min="16" max="16" width="20.7109375" style="1" hidden="1" customWidth="1"/>
    <col min="17" max="17" width="1.85546875" style="1" hidden="1" customWidth="1"/>
    <col min="18" max="18" width="22.42578125" style="1" customWidth="1"/>
    <col min="19" max="19" width="26.140625" style="1" customWidth="1"/>
    <col min="20" max="20" width="25.7109375" style="1" customWidth="1"/>
    <col min="21" max="21" width="22.42578125" style="1" customWidth="1"/>
    <col min="22" max="22" width="26.140625" style="1" customWidth="1"/>
    <col min="23" max="23" width="25.7109375" style="1" customWidth="1"/>
    <col min="24" max="24" width="22.42578125" style="1" customWidth="1"/>
    <col min="25" max="25" width="26.140625" style="1" customWidth="1"/>
    <col min="26" max="26" width="25.7109375" style="1" customWidth="1"/>
    <col min="27" max="16384" width="9.140625" style="1"/>
  </cols>
  <sheetData>
    <row r="1" spans="1:26" ht="15.75">
      <c r="A1" s="157" t="s">
        <v>0</v>
      </c>
      <c r="B1" s="157"/>
      <c r="C1" s="157"/>
      <c r="D1" s="157"/>
      <c r="E1" s="157"/>
      <c r="F1" s="157"/>
      <c r="G1" s="157"/>
      <c r="H1" s="157"/>
      <c r="I1" s="157"/>
      <c r="J1" s="157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</row>
    <row r="2" spans="1:26" ht="15.75">
      <c r="A2" s="157" t="s">
        <v>259</v>
      </c>
      <c r="B2" s="157"/>
      <c r="C2" s="157"/>
      <c r="D2" s="157"/>
      <c r="E2" s="157"/>
      <c r="F2" s="157"/>
      <c r="G2" s="157"/>
      <c r="H2" s="157"/>
      <c r="I2" s="157"/>
      <c r="J2" s="157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</row>
    <row r="3" spans="1:26" ht="15.75">
      <c r="A3" s="157" t="s">
        <v>105</v>
      </c>
      <c r="B3" s="157"/>
      <c r="C3" s="157"/>
      <c r="D3" s="157"/>
      <c r="E3" s="157"/>
      <c r="F3" s="157"/>
      <c r="G3" s="157"/>
      <c r="H3" s="157"/>
      <c r="I3" s="157"/>
      <c r="J3" s="157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</row>
    <row r="4" spans="1:26" ht="15.75">
      <c r="A4" s="152"/>
      <c r="B4" s="152"/>
      <c r="C4" s="152"/>
      <c r="D4" s="152"/>
      <c r="E4" s="152"/>
      <c r="F4" s="152"/>
      <c r="G4" s="152"/>
      <c r="H4" s="152"/>
      <c r="I4" s="152"/>
      <c r="J4" s="152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213"/>
      <c r="V4" s="213"/>
      <c r="W4" s="213"/>
      <c r="X4" s="213"/>
      <c r="Y4" s="213"/>
      <c r="Z4" s="213"/>
    </row>
    <row r="5" spans="1:26" ht="15.75">
      <c r="A5" s="152"/>
      <c r="B5" s="152"/>
      <c r="C5" s="152"/>
      <c r="D5" s="152"/>
      <c r="E5" s="152"/>
      <c r="F5" s="152"/>
      <c r="G5" s="152"/>
      <c r="H5" s="152"/>
      <c r="I5" s="152"/>
      <c r="J5" s="152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213"/>
      <c r="V5" s="213"/>
      <c r="W5" s="213"/>
      <c r="X5" s="213"/>
      <c r="Y5" s="213"/>
      <c r="Z5" s="213"/>
    </row>
    <row r="6" spans="1:26" ht="16.5" thickBot="1">
      <c r="A6" s="4"/>
      <c r="B6" s="5"/>
      <c r="C6" s="6"/>
      <c r="D6" s="2"/>
      <c r="E6" s="2"/>
    </row>
    <row r="7" spans="1:26" s="137" customFormat="1" ht="129.75" customHeight="1" thickTop="1">
      <c r="A7" s="146"/>
      <c r="B7" s="147"/>
      <c r="C7" s="148"/>
      <c r="D7" s="148"/>
      <c r="E7" s="138" t="s">
        <v>188</v>
      </c>
      <c r="F7" s="139" t="s">
        <v>125</v>
      </c>
      <c r="G7" s="155" t="s">
        <v>117</v>
      </c>
      <c r="H7" s="140" t="s">
        <v>193</v>
      </c>
      <c r="I7" s="141" t="s">
        <v>190</v>
      </c>
      <c r="J7" s="142" t="s">
        <v>119</v>
      </c>
      <c r="K7" s="143" t="s">
        <v>191</v>
      </c>
      <c r="L7" s="144" t="s">
        <v>197</v>
      </c>
      <c r="M7" s="144" t="s">
        <v>209</v>
      </c>
      <c r="N7" s="144" t="s">
        <v>208</v>
      </c>
      <c r="O7" s="145" t="s">
        <v>207</v>
      </c>
      <c r="P7" s="145" t="s">
        <v>206</v>
      </c>
      <c r="Q7" s="145" t="s">
        <v>205</v>
      </c>
      <c r="R7" s="187" t="s">
        <v>240</v>
      </c>
      <c r="S7" s="187" t="s">
        <v>242</v>
      </c>
      <c r="T7" s="187" t="s">
        <v>243</v>
      </c>
      <c r="U7" s="145" t="s">
        <v>260</v>
      </c>
      <c r="V7" s="145" t="s">
        <v>261</v>
      </c>
      <c r="W7" s="145" t="s">
        <v>262</v>
      </c>
      <c r="X7" s="143" t="s">
        <v>263</v>
      </c>
      <c r="Y7" s="143" t="s">
        <v>264</v>
      </c>
      <c r="Z7" s="143" t="s">
        <v>243</v>
      </c>
    </row>
    <row r="8" spans="1:26" ht="19.5" customHeight="1">
      <c r="A8" s="65" t="s">
        <v>7</v>
      </c>
      <c r="B8" s="62"/>
      <c r="C8" s="62"/>
      <c r="D8" s="62"/>
      <c r="E8" s="68" t="s">
        <v>10</v>
      </c>
      <c r="F8" s="13" t="s">
        <v>10</v>
      </c>
      <c r="G8" s="13" t="s">
        <v>10</v>
      </c>
      <c r="H8" s="66"/>
      <c r="I8" s="13"/>
      <c r="J8" s="13" t="s">
        <v>10</v>
      </c>
      <c r="K8" s="13" t="s">
        <v>10</v>
      </c>
      <c r="L8" s="13" t="s">
        <v>10</v>
      </c>
      <c r="M8" s="13" t="s">
        <v>10</v>
      </c>
      <c r="N8" s="13" t="s">
        <v>10</v>
      </c>
      <c r="O8" s="13" t="s">
        <v>10</v>
      </c>
      <c r="P8" s="13" t="s">
        <v>10</v>
      </c>
      <c r="Q8" s="13" t="s">
        <v>10</v>
      </c>
      <c r="R8" s="13" t="s">
        <v>10</v>
      </c>
      <c r="S8" s="13" t="s">
        <v>10</v>
      </c>
      <c r="T8" s="13" t="s">
        <v>10</v>
      </c>
      <c r="U8" s="13" t="s">
        <v>10</v>
      </c>
      <c r="V8" s="13" t="s">
        <v>10</v>
      </c>
      <c r="W8" s="13" t="s">
        <v>10</v>
      </c>
      <c r="X8" s="13" t="s">
        <v>10</v>
      </c>
      <c r="Y8" s="13" t="s">
        <v>10</v>
      </c>
      <c r="Z8" s="13" t="s">
        <v>10</v>
      </c>
    </row>
    <row r="9" spans="1:26">
      <c r="A9" s="162" t="s">
        <v>11</v>
      </c>
      <c r="B9" s="163"/>
      <c r="C9" s="163"/>
      <c r="D9" s="163"/>
      <c r="E9" s="123">
        <f>SUM(E10:E11)</f>
        <v>105805</v>
      </c>
      <c r="F9" s="123">
        <f>SUM(F10:F11)</f>
        <v>118488</v>
      </c>
      <c r="G9" s="164">
        <f>SUM(G10:G11)</f>
        <v>223336</v>
      </c>
      <c r="H9" s="164">
        <v>216613.5864</v>
      </c>
      <c r="I9" s="164">
        <f>SUM(I10:I11)</f>
        <v>238328</v>
      </c>
      <c r="J9" s="164">
        <f>SUM(J10:J11)</f>
        <v>178581</v>
      </c>
      <c r="K9" s="164">
        <f>SUM(K10:K11)</f>
        <v>178581</v>
      </c>
      <c r="L9" s="164">
        <f>SUM(L10:L11)</f>
        <v>172474</v>
      </c>
      <c r="M9" s="164">
        <f>SUM(M10:M11)</f>
        <v>-50862</v>
      </c>
      <c r="N9" s="165">
        <f t="shared" ref="N9:N15" si="0">(+L9-$G9)/$G9</f>
        <v>-0.22773757925278504</v>
      </c>
      <c r="O9" s="164">
        <f>SUM(O10:O11)</f>
        <v>176252</v>
      </c>
      <c r="P9" s="164">
        <f>SUM(P10:P11)</f>
        <v>-47084</v>
      </c>
      <c r="Q9" s="165">
        <f t="shared" ref="Q9:Q15" si="1">(+O9-$G9)/$G9</f>
        <v>-0.21082136332700505</v>
      </c>
      <c r="R9" s="164" t="e">
        <f>+#REF!</f>
        <v>#REF!</v>
      </c>
      <c r="S9" s="63" t="e">
        <f>+R9-$G9</f>
        <v>#REF!</v>
      </c>
      <c r="T9" s="174" t="e">
        <f t="shared" ref="T9:T15" si="2">(+R9-$G9)/$G9</f>
        <v>#REF!</v>
      </c>
      <c r="U9" s="164" t="e">
        <f>+#REF!</f>
        <v>#REF!</v>
      </c>
      <c r="V9" s="63" t="e">
        <f>+U9-$G9</f>
        <v>#REF!</v>
      </c>
      <c r="W9" s="174" t="e">
        <f t="shared" ref="W9" si="3">(+U9-$G9)/$G9</f>
        <v>#REF!</v>
      </c>
      <c r="X9" s="164" t="e">
        <f>+#REF!</f>
        <v>#REF!</v>
      </c>
      <c r="Y9" s="63" t="e">
        <f>+X9-$G9</f>
        <v>#REF!</v>
      </c>
      <c r="Z9" s="174" t="e">
        <f t="shared" ref="Z9" si="4">(+X9-$G9)/$G9</f>
        <v>#REF!</v>
      </c>
    </row>
    <row r="10" spans="1:26" hidden="1">
      <c r="A10" s="16" t="s">
        <v>49</v>
      </c>
      <c r="B10" s="1"/>
      <c r="C10" s="1"/>
      <c r="D10" s="1"/>
      <c r="E10" s="63">
        <v>105805</v>
      </c>
      <c r="F10" s="63">
        <v>118488</v>
      </c>
      <c r="G10" s="63">
        <v>215717</v>
      </c>
      <c r="H10" s="63">
        <v>209223.91829999999</v>
      </c>
      <c r="I10" s="63">
        <f>+'[1]REVISED FY 2012 CS '!N10</f>
        <v>230709</v>
      </c>
      <c r="J10" s="63">
        <f>+[1]Component!W10</f>
        <v>170962</v>
      </c>
      <c r="K10" s="63">
        <f>+'[1]Component Re-submission'!W10</f>
        <v>170962</v>
      </c>
      <c r="L10" s="63">
        <f>+'[1]DOJ Pass'!$W10</f>
        <v>159794</v>
      </c>
      <c r="M10" s="63">
        <f>+L10-$G10</f>
        <v>-55923</v>
      </c>
      <c r="N10" s="83">
        <f t="shared" si="0"/>
        <v>-0.2592424333733549</v>
      </c>
      <c r="O10" s="63">
        <f>+'[1]DOJ Comp Appeal'!$W10</f>
        <v>163572</v>
      </c>
      <c r="P10" s="63">
        <f>+O10-$G10</f>
        <v>-52145</v>
      </c>
      <c r="Q10" s="83">
        <f t="shared" si="1"/>
        <v>-0.24172874645948164</v>
      </c>
      <c r="R10" s="63">
        <v>0</v>
      </c>
      <c r="S10" s="63">
        <v>0</v>
      </c>
      <c r="T10" s="175">
        <v>0</v>
      </c>
      <c r="U10" s="63">
        <v>0</v>
      </c>
      <c r="V10" s="63">
        <v>0</v>
      </c>
      <c r="W10" s="175">
        <v>0</v>
      </c>
      <c r="X10" s="63">
        <v>0</v>
      </c>
      <c r="Y10" s="63">
        <v>0</v>
      </c>
      <c r="Z10" s="175">
        <v>0</v>
      </c>
    </row>
    <row r="11" spans="1:26" hidden="1">
      <c r="A11" s="16" t="s">
        <v>114</v>
      </c>
      <c r="B11" s="1"/>
      <c r="C11" s="1"/>
      <c r="D11" s="1"/>
      <c r="E11" s="63">
        <v>0</v>
      </c>
      <c r="F11" s="63">
        <f>+E11-D11</f>
        <v>0</v>
      </c>
      <c r="G11" s="24">
        <v>7619</v>
      </c>
      <c r="H11" s="24">
        <v>7389.6680999999999</v>
      </c>
      <c r="I11" s="24">
        <f>+'[1]REVISED FY 2012 CS '!N11</f>
        <v>7619</v>
      </c>
      <c r="J11" s="24">
        <f>+[1]Component!W11</f>
        <v>7619</v>
      </c>
      <c r="K11" s="24">
        <f>+'[1]Component Re-submission'!W11</f>
        <v>7619</v>
      </c>
      <c r="L11" s="24">
        <f>+'[1]DOJ Pass'!$W11</f>
        <v>12680</v>
      </c>
      <c r="M11" s="24">
        <f>+L11-$G11</f>
        <v>5061</v>
      </c>
      <c r="N11" s="84">
        <f t="shared" si="0"/>
        <v>0.66426040162751021</v>
      </c>
      <c r="O11" s="24">
        <f>+'[1]DOJ Comp Appeal'!$W11</f>
        <v>12680</v>
      </c>
      <c r="P11" s="24">
        <f>+O11-$G11</f>
        <v>5061</v>
      </c>
      <c r="Q11" s="84">
        <f t="shared" si="1"/>
        <v>0.66426040162751021</v>
      </c>
      <c r="R11" s="24">
        <v>0</v>
      </c>
      <c r="S11" s="24">
        <v>0</v>
      </c>
      <c r="T11" s="176">
        <v>0</v>
      </c>
      <c r="U11" s="24">
        <v>0</v>
      </c>
      <c r="V11" s="24">
        <v>0</v>
      </c>
      <c r="W11" s="176">
        <v>0</v>
      </c>
      <c r="X11" s="24">
        <v>0</v>
      </c>
      <c r="Y11" s="24">
        <v>0</v>
      </c>
      <c r="Z11" s="176">
        <v>0</v>
      </c>
    </row>
    <row r="12" spans="1:26">
      <c r="A12" s="30" t="s">
        <v>97</v>
      </c>
      <c r="B12" s="1"/>
      <c r="C12" s="1"/>
      <c r="D12" s="1"/>
      <c r="E12" s="63">
        <v>44000</v>
      </c>
      <c r="F12" s="63">
        <v>44023</v>
      </c>
      <c r="G12" s="63">
        <v>44580</v>
      </c>
      <c r="H12" s="63">
        <v>43238.142</v>
      </c>
      <c r="I12" s="63">
        <f>+'[1]REVISED FY 2012 CS '!N12</f>
        <v>44995.397777777776</v>
      </c>
      <c r="J12" s="63">
        <f>+[1]Component!W12</f>
        <v>44996</v>
      </c>
      <c r="K12" s="63">
        <f>+'[1]Component Re-submission'!W12</f>
        <v>44995</v>
      </c>
      <c r="L12" s="63">
        <f>+'[1]DOJ Pass'!$W12</f>
        <v>45090</v>
      </c>
      <c r="M12" s="63">
        <f>+L12-$G12</f>
        <v>510</v>
      </c>
      <c r="N12" s="83">
        <f t="shared" si="0"/>
        <v>1.1440107671601614E-2</v>
      </c>
      <c r="O12" s="63">
        <f>+'[1]DOJ Comp Appeal'!$W12</f>
        <v>45090</v>
      </c>
      <c r="P12" s="63">
        <f>+O12-$G12</f>
        <v>510</v>
      </c>
      <c r="Q12" s="83">
        <f t="shared" si="1"/>
        <v>1.1440107671601614E-2</v>
      </c>
      <c r="R12" s="63" t="e">
        <f>+#REF!</f>
        <v>#REF!</v>
      </c>
      <c r="S12" s="63" t="e">
        <f>+R12-$G12</f>
        <v>#REF!</v>
      </c>
      <c r="T12" s="175" t="e">
        <f t="shared" si="2"/>
        <v>#REF!</v>
      </c>
      <c r="U12" s="63" t="e">
        <f>+#REF!</f>
        <v>#REF!</v>
      </c>
      <c r="V12" s="63" t="e">
        <f>+U12-$G12</f>
        <v>#REF!</v>
      </c>
      <c r="W12" s="175" t="e">
        <f t="shared" ref="W12:W15" si="5">(+U12-$G12)/$G12</f>
        <v>#REF!</v>
      </c>
      <c r="X12" s="63" t="e">
        <f>+#REF!</f>
        <v>#REF!</v>
      </c>
      <c r="Y12" s="63" t="e">
        <f>+X12-$G12</f>
        <v>#REF!</v>
      </c>
      <c r="Z12" s="175" t="e">
        <f t="shared" ref="Z12:Z15" si="6">(+X12-$G12)/$G12</f>
        <v>#REF!</v>
      </c>
    </row>
    <row r="13" spans="1:26">
      <c r="A13" s="12" t="s">
        <v>12</v>
      </c>
      <c r="B13" s="1"/>
      <c r="C13" s="1"/>
      <c r="D13" s="1"/>
      <c r="E13" s="63">
        <v>80000</v>
      </c>
      <c r="F13" s="63">
        <v>88285</v>
      </c>
      <c r="G13" s="24">
        <v>179785</v>
      </c>
      <c r="H13" s="24">
        <v>174373.47150000001</v>
      </c>
      <c r="I13" s="24">
        <f>+'[1]REVISED FY 2012 CS '!N13</f>
        <v>180567.28689655173</v>
      </c>
      <c r="J13" s="24">
        <f>+[1]Component!W13</f>
        <v>286931</v>
      </c>
      <c r="K13" s="24">
        <f>+'[1]Component Re-submission'!W13</f>
        <v>286931</v>
      </c>
      <c r="L13" s="24">
        <f>+'[1]DOJ Pass'!$W13</f>
        <v>190225</v>
      </c>
      <c r="M13" s="24">
        <f>+L13-$G13</f>
        <v>10440</v>
      </c>
      <c r="N13" s="84">
        <f t="shared" si="0"/>
        <v>5.8069360625191198E-2</v>
      </c>
      <c r="O13" s="24">
        <f>+'[1]DOJ Comp Appeal'!$W13</f>
        <v>190225</v>
      </c>
      <c r="P13" s="24">
        <f>+O13-$G13</f>
        <v>10440</v>
      </c>
      <c r="Q13" s="84">
        <f t="shared" si="1"/>
        <v>5.8069360625191198E-2</v>
      </c>
      <c r="R13" s="24" t="e">
        <f>+#REF!</f>
        <v>#REF!</v>
      </c>
      <c r="S13" s="24" t="e">
        <f>+R13-$G13</f>
        <v>#REF!</v>
      </c>
      <c r="T13" s="176" t="e">
        <f t="shared" si="2"/>
        <v>#REF!</v>
      </c>
      <c r="U13" s="24" t="e">
        <f>+#REF!</f>
        <v>#REF!</v>
      </c>
      <c r="V13" s="24" t="e">
        <f>+U13-$G13</f>
        <v>#REF!</v>
      </c>
      <c r="W13" s="176" t="e">
        <f t="shared" si="5"/>
        <v>#REF!</v>
      </c>
      <c r="X13" s="24" t="e">
        <f>+#REF!</f>
        <v>#REF!</v>
      </c>
      <c r="Y13" s="24" t="e">
        <f>+X13-$G13</f>
        <v>#REF!</v>
      </c>
      <c r="Z13" s="176" t="e">
        <f t="shared" si="6"/>
        <v>#REF!</v>
      </c>
    </row>
    <row r="14" spans="1:26">
      <c r="A14" s="151" t="s">
        <v>13</v>
      </c>
      <c r="B14" s="15"/>
      <c r="C14" s="15"/>
      <c r="D14" s="15"/>
      <c r="E14" s="23">
        <f t="shared" ref="E14:M14" si="7">+E15+E16</f>
        <v>2590638</v>
      </c>
      <c r="F14" s="23">
        <f t="shared" si="7"/>
        <v>1438663</v>
      </c>
      <c r="G14" s="23">
        <f t="shared" si="7"/>
        <v>1533863</v>
      </c>
      <c r="H14" s="23">
        <f t="shared" si="7"/>
        <v>1487693.7237</v>
      </c>
      <c r="I14" s="23">
        <f t="shared" si="7"/>
        <v>1541162.36</v>
      </c>
      <c r="J14" s="23">
        <f t="shared" si="7"/>
        <v>1833088</v>
      </c>
      <c r="K14" s="23">
        <f t="shared" si="7"/>
        <v>1534162</v>
      </c>
      <c r="L14" s="23">
        <f t="shared" si="7"/>
        <v>1570938</v>
      </c>
      <c r="M14" s="23">
        <f t="shared" si="7"/>
        <v>37075</v>
      </c>
      <c r="N14" s="87">
        <f t="shared" si="0"/>
        <v>2.4170998322535976E-2</v>
      </c>
      <c r="O14" s="23">
        <f>+O15+O16</f>
        <v>1605120</v>
      </c>
      <c r="P14" s="23">
        <f>+P15+P16</f>
        <v>71257</v>
      </c>
      <c r="Q14" s="87">
        <f t="shared" si="1"/>
        <v>4.6455909034900773E-2</v>
      </c>
      <c r="R14" s="23" t="e">
        <f>+R15+R16</f>
        <v>#REF!</v>
      </c>
      <c r="S14" s="23" t="e">
        <f>+S15+S16</f>
        <v>#REF!</v>
      </c>
      <c r="T14" s="177" t="e">
        <f t="shared" si="2"/>
        <v>#REF!</v>
      </c>
      <c r="U14" s="23" t="e">
        <f>+U15+U16</f>
        <v>#REF!</v>
      </c>
      <c r="V14" s="23" t="e">
        <f>+V15+V16</f>
        <v>#REF!</v>
      </c>
      <c r="W14" s="177" t="e">
        <f t="shared" si="5"/>
        <v>#REF!</v>
      </c>
      <c r="X14" s="23" t="e">
        <f>+X15+X16</f>
        <v>#REF!</v>
      </c>
      <c r="Y14" s="23" t="e">
        <f>+Y15+Y16</f>
        <v>#REF!</v>
      </c>
      <c r="Z14" s="177" t="e">
        <f t="shared" si="6"/>
        <v>#REF!</v>
      </c>
    </row>
    <row r="15" spans="1:26">
      <c r="A15" s="16" t="s">
        <v>204</v>
      </c>
      <c r="B15" s="1"/>
      <c r="C15" s="1"/>
      <c r="D15" s="1"/>
      <c r="E15" s="63">
        <v>1295319</v>
      </c>
      <c r="F15" s="63">
        <v>1438663</v>
      </c>
      <c r="G15" s="63">
        <v>1533863</v>
      </c>
      <c r="H15" s="63">
        <v>1487693.7237</v>
      </c>
      <c r="I15" s="63">
        <f>+'[1]REVISED FY 2012 CS '!N14</f>
        <v>1541162.36</v>
      </c>
      <c r="J15" s="63">
        <f>+[1]Component!W14</f>
        <v>1623754</v>
      </c>
      <c r="K15" s="63">
        <f>+'[1]Component Re-submission'!W14</f>
        <v>1534162</v>
      </c>
      <c r="L15" s="63">
        <f>+'[1]DOJ Pass'!$W14</f>
        <v>1570938</v>
      </c>
      <c r="M15" s="63">
        <f>+L15-$G15</f>
        <v>37075</v>
      </c>
      <c r="N15" s="83">
        <f t="shared" si="0"/>
        <v>2.4170998322535976E-2</v>
      </c>
      <c r="O15" s="63">
        <f>+'[1]DOJ Comp Appeal'!$W14</f>
        <v>1605120</v>
      </c>
      <c r="P15" s="63">
        <f>+O15-$G15</f>
        <v>71257</v>
      </c>
      <c r="Q15" s="83">
        <f t="shared" si="1"/>
        <v>4.6455909034900773E-2</v>
      </c>
      <c r="R15" s="63" t="e">
        <f>+#REF!</f>
        <v>#REF!</v>
      </c>
      <c r="S15" s="63" t="e">
        <f>+R15-$G15</f>
        <v>#REF!</v>
      </c>
      <c r="T15" s="175" t="e">
        <f t="shared" si="2"/>
        <v>#REF!</v>
      </c>
      <c r="U15" s="63" t="e">
        <f>+#REF!</f>
        <v>#REF!</v>
      </c>
      <c r="V15" s="63" t="e">
        <f>+U15-$G15</f>
        <v>#REF!</v>
      </c>
      <c r="W15" s="175" t="e">
        <f t="shared" si="5"/>
        <v>#REF!</v>
      </c>
      <c r="X15" s="63" t="e">
        <f>+#REF!</f>
        <v>#REF!</v>
      </c>
      <c r="Y15" s="63" t="e">
        <f>+X15-$G15</f>
        <v>#REF!</v>
      </c>
      <c r="Z15" s="175" t="e">
        <f t="shared" si="6"/>
        <v>#REF!</v>
      </c>
    </row>
    <row r="16" spans="1:26">
      <c r="A16" s="12" t="s">
        <v>66</v>
      </c>
      <c r="B16" s="1"/>
      <c r="C16" s="1"/>
      <c r="D16" s="1"/>
      <c r="E16" s="63">
        <v>1295319</v>
      </c>
      <c r="F16" s="63">
        <v>0</v>
      </c>
      <c r="G16" s="63">
        <v>0</v>
      </c>
      <c r="H16" s="63">
        <v>0</v>
      </c>
      <c r="I16" s="63">
        <v>0</v>
      </c>
      <c r="J16" s="63">
        <f>+[1]Component!W15</f>
        <v>209334</v>
      </c>
      <c r="K16" s="63">
        <v>0</v>
      </c>
      <c r="L16" s="63">
        <v>0</v>
      </c>
      <c r="M16" s="63">
        <f>+L16-$G16</f>
        <v>0</v>
      </c>
      <c r="N16" s="83">
        <v>0</v>
      </c>
      <c r="O16" s="63">
        <v>0</v>
      </c>
      <c r="P16" s="63">
        <f>+O16-$G16</f>
        <v>0</v>
      </c>
      <c r="Q16" s="83">
        <v>0</v>
      </c>
      <c r="R16" s="63" t="e">
        <f>+#REF!</f>
        <v>#REF!</v>
      </c>
      <c r="S16" s="63" t="e">
        <f>+R16-$G16</f>
        <v>#REF!</v>
      </c>
      <c r="T16" s="175">
        <v>0</v>
      </c>
      <c r="U16" s="63" t="e">
        <f>+#REF!</f>
        <v>#REF!</v>
      </c>
      <c r="V16" s="63" t="e">
        <f>+U16-$G16</f>
        <v>#REF!</v>
      </c>
      <c r="W16" s="175">
        <v>0</v>
      </c>
      <c r="X16" s="63" t="e">
        <f>+#REF!</f>
        <v>#REF!</v>
      </c>
      <c r="Y16" s="63" t="e">
        <f>+X16-$G16</f>
        <v>#REF!</v>
      </c>
      <c r="Z16" s="175">
        <v>0</v>
      </c>
    </row>
    <row r="17" spans="1:26">
      <c r="A17" s="12" t="s">
        <v>109</v>
      </c>
      <c r="B17" s="1"/>
      <c r="C17" s="1"/>
      <c r="D17" s="1"/>
      <c r="E17" s="63">
        <v>185000</v>
      </c>
      <c r="F17" s="63">
        <v>206143</v>
      </c>
      <c r="G17" s="63">
        <v>207727</v>
      </c>
      <c r="H17" s="63">
        <v>201474.4173</v>
      </c>
      <c r="I17" s="63">
        <f>+'[1]REVISED FY 2012 CS '!N15</f>
        <v>207861.34</v>
      </c>
      <c r="J17" s="63">
        <f>+[1]Component!W15</f>
        <v>209334</v>
      </c>
      <c r="K17" s="63">
        <f>+'[1]Component Re-submission'!W15</f>
        <v>209334</v>
      </c>
      <c r="L17" s="63">
        <f>+'[1]DOJ Pass'!$W15</f>
        <v>207847</v>
      </c>
      <c r="M17" s="63">
        <f>+L17-$G17</f>
        <v>120</v>
      </c>
      <c r="N17" s="83">
        <f>(+L17-$G17)/$G17</f>
        <v>5.7768128360781218E-4</v>
      </c>
      <c r="O17" s="63">
        <f>+'[1]DOJ Comp Appeal'!$W15</f>
        <v>207847</v>
      </c>
      <c r="P17" s="63">
        <f>+O17-$G17</f>
        <v>120</v>
      </c>
      <c r="Q17" s="83">
        <f>(+O17-$G17)/$G17</f>
        <v>5.7768128360781218E-4</v>
      </c>
      <c r="R17" s="63" t="e">
        <f>+#REF!</f>
        <v>#REF!</v>
      </c>
      <c r="S17" s="63" t="e">
        <f>+R17-$G17</f>
        <v>#REF!</v>
      </c>
      <c r="T17" s="175" t="e">
        <f>(+R17-$G17)/$G17</f>
        <v>#REF!</v>
      </c>
      <c r="U17" s="63" t="e">
        <f>+#REF!</f>
        <v>#REF!</v>
      </c>
      <c r="V17" s="63" t="e">
        <f>+U17-$G17</f>
        <v>#REF!</v>
      </c>
      <c r="W17" s="175" t="e">
        <f>(+U17-$G17)/$G17</f>
        <v>#REF!</v>
      </c>
      <c r="X17" s="63" t="e">
        <f>+#REF!</f>
        <v>#REF!</v>
      </c>
      <c r="Y17" s="63" t="e">
        <f>+X17-$G17</f>
        <v>#REF!</v>
      </c>
      <c r="Z17" s="175" t="e">
        <f>(+X17-$G17)/$G17</f>
        <v>#REF!</v>
      </c>
    </row>
    <row r="18" spans="1:26">
      <c r="A18" s="14" t="s">
        <v>14</v>
      </c>
      <c r="B18" s="15"/>
      <c r="C18" s="15"/>
      <c r="D18" s="15"/>
      <c r="E18" s="23">
        <f>+E19+E20</f>
        <v>270000</v>
      </c>
      <c r="F18" s="23">
        <f>+F19+F20</f>
        <v>300685</v>
      </c>
      <c r="G18" s="23">
        <f>+G19+G20</f>
        <v>319220</v>
      </c>
      <c r="H18" s="23">
        <v>309611.478</v>
      </c>
      <c r="I18" s="23">
        <f>+I19+I20</f>
        <v>336371.49941440613</v>
      </c>
      <c r="J18" s="23">
        <f>+J19+J20</f>
        <v>333317</v>
      </c>
      <c r="K18" s="23">
        <f>+K19+K20</f>
        <v>333317</v>
      </c>
      <c r="L18" s="23">
        <f>+L19+L20</f>
        <v>345761</v>
      </c>
      <c r="M18" s="23">
        <f>+M19+M20</f>
        <v>26541</v>
      </c>
      <c r="N18" s="87">
        <f>(+L18-$G18)/$G18</f>
        <v>8.3143286761481111E-2</v>
      </c>
      <c r="O18" s="23">
        <f>+O19+O20</f>
        <v>345761</v>
      </c>
      <c r="P18" s="23">
        <f>+P19+P20</f>
        <v>26541</v>
      </c>
      <c r="Q18" s="87">
        <f>(+O18-$G18)/$G18</f>
        <v>8.3143286761481111E-2</v>
      </c>
      <c r="R18" s="23" t="e">
        <f>+R19+R20</f>
        <v>#REF!</v>
      </c>
      <c r="S18" s="23" t="e">
        <f>+S19+S20</f>
        <v>#REF!</v>
      </c>
      <c r="T18" s="177" t="e">
        <f>(+R18-$G18)/$G18</f>
        <v>#REF!</v>
      </c>
      <c r="U18" s="23" t="e">
        <f>+U19+U20</f>
        <v>#REF!</v>
      </c>
      <c r="V18" s="23" t="e">
        <f>+V19+V20</f>
        <v>#REF!</v>
      </c>
      <c r="W18" s="177" t="e">
        <f>(+U18-$G18)/$G18</f>
        <v>#REF!</v>
      </c>
      <c r="X18" s="23" t="e">
        <f>+X19+X20</f>
        <v>#REF!</v>
      </c>
      <c r="Y18" s="23" t="e">
        <f>+Y19+Y20</f>
        <v>#REF!</v>
      </c>
      <c r="Z18" s="177" t="e">
        <f>(+X18-$G18)/$G18</f>
        <v>#REF!</v>
      </c>
    </row>
    <row r="19" spans="1:26">
      <c r="A19" s="16" t="s">
        <v>15</v>
      </c>
      <c r="B19" s="1"/>
      <c r="C19" s="1"/>
      <c r="D19" s="1"/>
      <c r="E19" s="63">
        <v>267613</v>
      </c>
      <c r="F19" s="63">
        <v>297955</v>
      </c>
      <c r="G19" s="63">
        <v>316442</v>
      </c>
      <c r="H19" s="63">
        <v>306917.09580000001</v>
      </c>
      <c r="I19" s="63">
        <f>+'[1]REVISED FY 2012 CS '!N17</f>
        <v>333556</v>
      </c>
      <c r="J19" s="63">
        <f>+[1]Component!W17</f>
        <v>330505</v>
      </c>
      <c r="K19" s="63">
        <f>+'[1]Component Re-submission'!W17</f>
        <v>330505</v>
      </c>
      <c r="L19" s="63">
        <f>+'[1]DOJ Pass'!$W17</f>
        <v>342950</v>
      </c>
      <c r="M19" s="63">
        <f t="shared" ref="M19:M24" si="8">+L19-$G19</f>
        <v>26508</v>
      </c>
      <c r="N19" s="83">
        <f>(+L19-$G19)/$G19</f>
        <v>8.3768905518230824E-2</v>
      </c>
      <c r="O19" s="63">
        <f>+'[1]DOJ Comp Appeal'!$W17</f>
        <v>342950</v>
      </c>
      <c r="P19" s="63">
        <f t="shared" ref="P19:P24" si="9">+O19-$G19</f>
        <v>26508</v>
      </c>
      <c r="Q19" s="83">
        <f>(+O19-$G19)/$G19</f>
        <v>8.3768905518230824E-2</v>
      </c>
      <c r="R19" s="63" t="e">
        <f>+#REF!</f>
        <v>#REF!</v>
      </c>
      <c r="S19" s="63" t="e">
        <f t="shared" ref="S19:S24" si="10">+R19-$G19</f>
        <v>#REF!</v>
      </c>
      <c r="T19" s="175" t="e">
        <f>(+R19-$G19)/$G19</f>
        <v>#REF!</v>
      </c>
      <c r="U19" s="63" t="e">
        <f>+#REF!</f>
        <v>#REF!</v>
      </c>
      <c r="V19" s="63" t="e">
        <f t="shared" ref="V19:V24" si="11">+U19-$G19</f>
        <v>#REF!</v>
      </c>
      <c r="W19" s="175" t="e">
        <f>(+U19-$G19)/$G19</f>
        <v>#REF!</v>
      </c>
      <c r="X19" s="63" t="e">
        <f>+#REF!</f>
        <v>#REF!</v>
      </c>
      <c r="Y19" s="63" t="e">
        <f t="shared" ref="Y19:Y24" si="12">+X19-$G19</f>
        <v>#REF!</v>
      </c>
      <c r="Z19" s="175" t="e">
        <f>(+X19-$G19)/$G19</f>
        <v>#REF!</v>
      </c>
    </row>
    <row r="20" spans="1:26">
      <c r="A20" s="16" t="s">
        <v>16</v>
      </c>
      <c r="B20" s="1"/>
      <c r="C20" s="1"/>
      <c r="D20" s="1"/>
      <c r="E20" s="63">
        <v>2387</v>
      </c>
      <c r="F20" s="63">
        <v>2730</v>
      </c>
      <c r="G20" s="63">
        <v>2778</v>
      </c>
      <c r="H20" s="63">
        <v>2694.3822</v>
      </c>
      <c r="I20" s="63">
        <f>+'[1]REVISED FY 2012 CS '!N18</f>
        <v>2815.4994144061302</v>
      </c>
      <c r="J20" s="63">
        <f>+[1]Component!W18</f>
        <v>2812</v>
      </c>
      <c r="K20" s="63">
        <f>+'[1]Component Re-submission'!W18</f>
        <v>2812</v>
      </c>
      <c r="L20" s="63">
        <f>+'[1]DOJ Pass'!$W18</f>
        <v>2811</v>
      </c>
      <c r="M20" s="63">
        <f t="shared" si="8"/>
        <v>33</v>
      </c>
      <c r="N20" s="83">
        <f>(+L20-$G20)/$G20</f>
        <v>1.1879049676025918E-2</v>
      </c>
      <c r="O20" s="63">
        <f>+'[1]DOJ Comp Appeal'!$W18</f>
        <v>2811</v>
      </c>
      <c r="P20" s="63">
        <f t="shared" si="9"/>
        <v>33</v>
      </c>
      <c r="Q20" s="83">
        <f>(+O20-$G20)/$G20</f>
        <v>1.1879049676025918E-2</v>
      </c>
      <c r="R20" s="63" t="e">
        <f>+#REF!</f>
        <v>#REF!</v>
      </c>
      <c r="S20" s="63" t="e">
        <f t="shared" si="10"/>
        <v>#REF!</v>
      </c>
      <c r="T20" s="175" t="e">
        <f>(+R20-$G20)/$G20</f>
        <v>#REF!</v>
      </c>
      <c r="U20" s="63" t="e">
        <f>+#REF!</f>
        <v>#REF!</v>
      </c>
      <c r="V20" s="63" t="e">
        <f t="shared" si="11"/>
        <v>#REF!</v>
      </c>
      <c r="W20" s="175" t="e">
        <f>(+U20-$G20)/$G20</f>
        <v>#REF!</v>
      </c>
      <c r="X20" s="63" t="e">
        <f>+#REF!</f>
        <v>#REF!</v>
      </c>
      <c r="Y20" s="63" t="e">
        <f t="shared" si="12"/>
        <v>#REF!</v>
      </c>
      <c r="Z20" s="175" t="e">
        <f>(+X20-$G20)/$G20</f>
        <v>#REF!</v>
      </c>
    </row>
    <row r="21" spans="1:26">
      <c r="A21" s="12" t="s">
        <v>17</v>
      </c>
      <c r="B21" s="1"/>
      <c r="C21" s="1"/>
      <c r="D21" s="1"/>
      <c r="E21" s="63">
        <v>75681</v>
      </c>
      <c r="F21" s="63">
        <v>84368</v>
      </c>
      <c r="G21" s="63">
        <v>88792</v>
      </c>
      <c r="H21" s="63">
        <v>86119.360799999995</v>
      </c>
      <c r="I21" s="63">
        <f>+'[1]REVISED FY 2012 CS '!N19</f>
        <v>90732</v>
      </c>
      <c r="J21" s="63">
        <f>+[1]Component!W19</f>
        <v>90738</v>
      </c>
      <c r="K21" s="63">
        <f>+'[1]Component Re-submission'!W19</f>
        <v>90738</v>
      </c>
      <c r="L21" s="63">
        <f>+'[1]DOJ Pass'!$W19</f>
        <v>89739</v>
      </c>
      <c r="M21" s="63">
        <f t="shared" si="8"/>
        <v>947</v>
      </c>
      <c r="N21" s="83">
        <f>(+L21-$G21)/$G21</f>
        <v>1.0665375259032345E-2</v>
      </c>
      <c r="O21" s="63">
        <f>+'[1]DOJ Comp Appeal'!$W19</f>
        <v>89739</v>
      </c>
      <c r="P21" s="63">
        <f t="shared" si="9"/>
        <v>947</v>
      </c>
      <c r="Q21" s="83">
        <f>(+O21-$G21)/$G21</f>
        <v>1.0665375259032345E-2</v>
      </c>
      <c r="R21" s="63" t="e">
        <f>+#REF!</f>
        <v>#REF!</v>
      </c>
      <c r="S21" s="63" t="e">
        <f t="shared" si="10"/>
        <v>#REF!</v>
      </c>
      <c r="T21" s="175" t="e">
        <f>(+R21-$G21)/$G21</f>
        <v>#REF!</v>
      </c>
      <c r="U21" s="63" t="e">
        <f>+#REF!</f>
        <v>#REF!</v>
      </c>
      <c r="V21" s="63" t="e">
        <f t="shared" si="11"/>
        <v>#REF!</v>
      </c>
      <c r="W21" s="175" t="e">
        <f>(+U21-$G21)/$G21</f>
        <v>#REF!</v>
      </c>
      <c r="X21" s="63" t="e">
        <f>+#REF!</f>
        <v>#REF!</v>
      </c>
      <c r="Y21" s="63" t="e">
        <f t="shared" si="12"/>
        <v>#REF!</v>
      </c>
      <c r="Z21" s="175" t="e">
        <f>(+X21-$G21)/$G21</f>
        <v>#REF!</v>
      </c>
    </row>
    <row r="22" spans="1:26" hidden="1">
      <c r="A22" s="59" t="s">
        <v>18</v>
      </c>
      <c r="B22" s="60"/>
      <c r="C22" s="60"/>
      <c r="D22" s="60"/>
      <c r="E22" s="74">
        <v>12570</v>
      </c>
      <c r="F22" s="63">
        <v>0</v>
      </c>
      <c r="G22" s="63">
        <v>0</v>
      </c>
      <c r="H22" s="63">
        <v>0</v>
      </c>
      <c r="I22" s="63">
        <f>+'[1]REVISED FY 2012 CS '!N20</f>
        <v>0</v>
      </c>
      <c r="J22" s="63">
        <f>+[1]Component!W20</f>
        <v>0</v>
      </c>
      <c r="K22" s="63">
        <f>+'[1]Component Re-submission'!W20</f>
        <v>0</v>
      </c>
      <c r="L22" s="63">
        <f>+'[1]DOJ Pass'!$W20</f>
        <v>0</v>
      </c>
      <c r="M22" s="63">
        <f t="shared" si="8"/>
        <v>0</v>
      </c>
      <c r="N22" s="83">
        <v>0</v>
      </c>
      <c r="O22" s="63">
        <f>+'[1]DOJ Comp Appeal'!$W20</f>
        <v>0</v>
      </c>
      <c r="P22" s="63">
        <f t="shared" si="9"/>
        <v>0</v>
      </c>
      <c r="Q22" s="83">
        <v>0</v>
      </c>
      <c r="R22" s="63" t="e">
        <f>+#REF!</f>
        <v>#REF!</v>
      </c>
      <c r="S22" s="63" t="e">
        <f t="shared" si="10"/>
        <v>#REF!</v>
      </c>
      <c r="T22" s="175">
        <v>0</v>
      </c>
      <c r="U22" s="63" t="e">
        <f>+#REF!</f>
        <v>#REF!</v>
      </c>
      <c r="V22" s="63" t="e">
        <f t="shared" si="11"/>
        <v>#REF!</v>
      </c>
      <c r="W22" s="175">
        <v>0</v>
      </c>
      <c r="X22" s="63" t="e">
        <f>+#REF!</f>
        <v>#REF!</v>
      </c>
      <c r="Y22" s="63" t="e">
        <f t="shared" si="12"/>
        <v>#REF!</v>
      </c>
      <c r="Z22" s="175">
        <v>0</v>
      </c>
    </row>
    <row r="23" spans="1:26">
      <c r="A23" s="12" t="s">
        <v>20</v>
      </c>
      <c r="B23" s="1"/>
      <c r="C23" s="1"/>
      <c r="D23" s="1"/>
      <c r="E23" s="63">
        <v>12570</v>
      </c>
      <c r="F23" s="63">
        <v>12859</v>
      </c>
      <c r="G23" s="63">
        <v>13582</v>
      </c>
      <c r="H23" s="63">
        <v>13173.1818</v>
      </c>
      <c r="I23" s="63">
        <f>+'[1]REVISED FY 2012 CS '!N21</f>
        <v>14037</v>
      </c>
      <c r="J23" s="63">
        <f>+[1]Component!W21</f>
        <v>14037</v>
      </c>
      <c r="K23" s="63">
        <f>+'[1]Component Re-submission'!W21</f>
        <v>14037</v>
      </c>
      <c r="L23" s="63">
        <f>+'[1]DOJ Pass'!$W21</f>
        <v>14875</v>
      </c>
      <c r="M23" s="63">
        <f t="shared" si="8"/>
        <v>1293</v>
      </c>
      <c r="N23" s="83">
        <f t="shared" ref="N23:N34" si="13">(+L23-$G23)/$G23</f>
        <v>9.5199528788101895E-2</v>
      </c>
      <c r="O23" s="63">
        <f>+'[1]DOJ Comp Appeal'!$W21</f>
        <v>14875</v>
      </c>
      <c r="P23" s="63">
        <f t="shared" si="9"/>
        <v>1293</v>
      </c>
      <c r="Q23" s="83">
        <f t="shared" ref="Q23:Q34" si="14">(+O23-$G23)/$G23</f>
        <v>9.5199528788101895E-2</v>
      </c>
      <c r="R23" s="63" t="e">
        <f>+#REF!</f>
        <v>#REF!</v>
      </c>
      <c r="S23" s="63" t="e">
        <f t="shared" si="10"/>
        <v>#REF!</v>
      </c>
      <c r="T23" s="175" t="e">
        <f t="shared" ref="T23:T34" si="15">(+R23-$G23)/$G23</f>
        <v>#REF!</v>
      </c>
      <c r="U23" s="63" t="e">
        <f>+#REF!</f>
        <v>#REF!</v>
      </c>
      <c r="V23" s="63" t="e">
        <f t="shared" si="11"/>
        <v>#REF!</v>
      </c>
      <c r="W23" s="175" t="e">
        <f t="shared" ref="W23:W34" si="16">(+U23-$G23)/$G23</f>
        <v>#REF!</v>
      </c>
      <c r="X23" s="63" t="e">
        <f>+#REF!</f>
        <v>#REF!</v>
      </c>
      <c r="Y23" s="63" t="e">
        <f t="shared" si="12"/>
        <v>#REF!</v>
      </c>
      <c r="Z23" s="175" t="e">
        <f t="shared" ref="Z23:Z34" si="17">(+X23-$G23)/$G23</f>
        <v>#REF!</v>
      </c>
    </row>
    <row r="24" spans="1:26">
      <c r="A24" s="59" t="s">
        <v>21</v>
      </c>
      <c r="B24" s="60"/>
      <c r="C24" s="60"/>
      <c r="D24" s="60"/>
      <c r="E24" s="74">
        <v>83789</v>
      </c>
      <c r="F24" s="63">
        <v>87938</v>
      </c>
      <c r="G24" s="63">
        <v>99537</v>
      </c>
      <c r="H24" s="63">
        <v>94059.936300000001</v>
      </c>
      <c r="I24" s="63">
        <f>+'[1]REVISED FY 2012 CS '!N22</f>
        <v>99829</v>
      </c>
      <c r="J24" s="63">
        <f>+[1]Component!W22</f>
        <v>99641</v>
      </c>
      <c r="K24" s="63">
        <f>+'[1]Component Re-submission'!W22</f>
        <v>98978</v>
      </c>
      <c r="L24" s="63">
        <f>+'[1]DOJ Pass'!$W22</f>
        <v>95147</v>
      </c>
      <c r="M24" s="63">
        <f t="shared" si="8"/>
        <v>-4390</v>
      </c>
      <c r="N24" s="83">
        <f t="shared" si="13"/>
        <v>-4.4104202457377659E-2</v>
      </c>
      <c r="O24" s="63">
        <f>+'[1]DOJ Comp Appeal'!$W22</f>
        <v>96384</v>
      </c>
      <c r="P24" s="63">
        <f t="shared" si="9"/>
        <v>-3153</v>
      </c>
      <c r="Q24" s="83">
        <f t="shared" si="14"/>
        <v>-3.167666294945598E-2</v>
      </c>
      <c r="R24" s="63" t="e">
        <f>+#REF!</f>
        <v>#REF!</v>
      </c>
      <c r="S24" s="63" t="e">
        <f t="shared" si="10"/>
        <v>#REF!</v>
      </c>
      <c r="T24" s="175" t="e">
        <f t="shared" si="15"/>
        <v>#REF!</v>
      </c>
      <c r="U24" s="63" t="e">
        <f>+#REF!</f>
        <v>#REF!</v>
      </c>
      <c r="V24" s="63" t="e">
        <f t="shared" si="11"/>
        <v>#REF!</v>
      </c>
      <c r="W24" s="175" t="e">
        <f t="shared" si="16"/>
        <v>#REF!</v>
      </c>
      <c r="X24" s="63" t="e">
        <f>+#REF!</f>
        <v>#REF!</v>
      </c>
      <c r="Y24" s="63" t="e">
        <f t="shared" si="12"/>
        <v>#REF!</v>
      </c>
      <c r="Z24" s="175" t="e">
        <f t="shared" si="17"/>
        <v>#REF!</v>
      </c>
    </row>
    <row r="25" spans="1:26">
      <c r="A25" s="14" t="s">
        <v>22</v>
      </c>
      <c r="B25" s="15"/>
      <c r="C25" s="15"/>
      <c r="D25" s="15"/>
      <c r="E25" s="23">
        <f>SUM(E26:E34)</f>
        <v>804007</v>
      </c>
      <c r="F25" s="23">
        <f>SUM(F26:F34)</f>
        <v>875097</v>
      </c>
      <c r="G25" s="23">
        <f>SUM(G26:G34)</f>
        <v>976389</v>
      </c>
      <c r="H25" s="23">
        <v>946999.69110000005</v>
      </c>
      <c r="I25" s="23">
        <f>SUM(I26:I34)</f>
        <v>1013703</v>
      </c>
      <c r="J25" s="23">
        <f>SUM(J26:J34)</f>
        <v>1016339</v>
      </c>
      <c r="K25" s="23">
        <f>SUM(K26:K34)</f>
        <v>1016297</v>
      </c>
      <c r="L25" s="23">
        <f>SUM(L26:L34)</f>
        <v>1032574</v>
      </c>
      <c r="M25" s="23">
        <f>SUM(M26:M34)</f>
        <v>56185</v>
      </c>
      <c r="N25" s="87">
        <f t="shared" si="13"/>
        <v>5.7543663437420949E-2</v>
      </c>
      <c r="O25" s="23">
        <f>SUM(O26:O34)</f>
        <v>1042889</v>
      </c>
      <c r="P25" s="23">
        <f>SUM(P26:P34)</f>
        <v>66500</v>
      </c>
      <c r="Q25" s="87">
        <f t="shared" si="14"/>
        <v>6.8108100357541917E-2</v>
      </c>
      <c r="R25" s="23" t="e">
        <f>SUM(R26:R34)</f>
        <v>#REF!</v>
      </c>
      <c r="S25" s="23" t="e">
        <f>SUM(S26:S34)</f>
        <v>#REF!</v>
      </c>
      <c r="T25" s="177" t="e">
        <f t="shared" si="15"/>
        <v>#REF!</v>
      </c>
      <c r="U25" s="23" t="e">
        <f>SUM(U26:U34)</f>
        <v>#REF!</v>
      </c>
      <c r="V25" s="23" t="e">
        <f>SUM(V26:V34)</f>
        <v>#REF!</v>
      </c>
      <c r="W25" s="177" t="e">
        <f t="shared" si="16"/>
        <v>#REF!</v>
      </c>
      <c r="X25" s="23" t="e">
        <f>SUM(X26:X34)</f>
        <v>#REF!</v>
      </c>
      <c r="Y25" s="23" t="e">
        <f>SUM(Y26:Y34)</f>
        <v>#REF!</v>
      </c>
      <c r="Z25" s="177" t="e">
        <f t="shared" si="17"/>
        <v>#REF!</v>
      </c>
    </row>
    <row r="26" spans="1:26">
      <c r="A26" s="16" t="s">
        <v>23</v>
      </c>
      <c r="B26" s="1"/>
      <c r="C26" s="1"/>
      <c r="D26" s="1"/>
      <c r="E26" s="63">
        <v>10440</v>
      </c>
      <c r="F26" s="63">
        <v>10809</v>
      </c>
      <c r="G26" s="63">
        <v>11018</v>
      </c>
      <c r="H26" s="63">
        <v>10686.358200000001</v>
      </c>
      <c r="I26" s="63">
        <f>+'[1]REVISED FY 2012 CS '!N24</f>
        <v>11151</v>
      </c>
      <c r="J26" s="63">
        <f>+[1]Component!W24</f>
        <v>11575</v>
      </c>
      <c r="K26" s="63">
        <f>+'[1]Component Re-submission'!W24</f>
        <v>11572</v>
      </c>
      <c r="L26" s="63">
        <f>+'[1]DOJ Pass'!$W24</f>
        <v>11624</v>
      </c>
      <c r="M26" s="63">
        <f t="shared" ref="M26:M34" si="18">+L26-$G26</f>
        <v>606</v>
      </c>
      <c r="N26" s="83">
        <f t="shared" si="13"/>
        <v>5.5000907605736067E-2</v>
      </c>
      <c r="O26" s="63">
        <f>+'[1]DOJ Comp Appeal'!$W24</f>
        <v>11624</v>
      </c>
      <c r="P26" s="63">
        <f t="shared" ref="P26:P34" si="19">+O26-$G26</f>
        <v>606</v>
      </c>
      <c r="Q26" s="83">
        <f t="shared" si="14"/>
        <v>5.5000907605736067E-2</v>
      </c>
      <c r="R26" s="63" t="e">
        <f>+#REF!</f>
        <v>#REF!</v>
      </c>
      <c r="S26" s="63" t="e">
        <f t="shared" ref="S26:S34" si="20">+R26-$G26</f>
        <v>#REF!</v>
      </c>
      <c r="T26" s="175" t="e">
        <f t="shared" si="15"/>
        <v>#REF!</v>
      </c>
      <c r="U26" s="63" t="e">
        <f>+#REF!</f>
        <v>#REF!</v>
      </c>
      <c r="V26" s="63" t="e">
        <f t="shared" ref="V26:V34" si="21">+U26-$G26</f>
        <v>#REF!</v>
      </c>
      <c r="W26" s="175" t="e">
        <f t="shared" si="16"/>
        <v>#REF!</v>
      </c>
      <c r="X26" s="63" t="e">
        <f>+#REF!</f>
        <v>#REF!</v>
      </c>
      <c r="Y26" s="63" t="e">
        <f t="shared" ref="Y26:Y34" si="22">+X26-$G26</f>
        <v>#REF!</v>
      </c>
      <c r="Z26" s="175" t="e">
        <f t="shared" si="17"/>
        <v>#REF!</v>
      </c>
    </row>
    <row r="27" spans="1:26">
      <c r="A27" s="16" t="s">
        <v>24</v>
      </c>
      <c r="B27" s="1"/>
      <c r="C27" s="1"/>
      <c r="D27" s="1"/>
      <c r="E27" s="63">
        <v>101016</v>
      </c>
      <c r="F27" s="63">
        <v>105877</v>
      </c>
      <c r="G27" s="63">
        <v>115972</v>
      </c>
      <c r="H27" s="63">
        <v>112481.24280000001</v>
      </c>
      <c r="I27" s="63">
        <f>+'[1]REVISED FY 2012 CS '!N25</f>
        <v>117487</v>
      </c>
      <c r="J27" s="63">
        <f>+[1]Component!W25</f>
        <v>117487</v>
      </c>
      <c r="K27" s="63">
        <f>+'[1]Component Re-submission'!W25</f>
        <v>117487</v>
      </c>
      <c r="L27" s="63">
        <f>+'[1]DOJ Pass'!$W25</f>
        <v>120732</v>
      </c>
      <c r="M27" s="63">
        <f t="shared" si="18"/>
        <v>4760</v>
      </c>
      <c r="N27" s="83">
        <f t="shared" si="13"/>
        <v>4.1044390025178491E-2</v>
      </c>
      <c r="O27" s="63">
        <f>+'[1]DOJ Comp Appeal'!$W25</f>
        <v>120732</v>
      </c>
      <c r="P27" s="63">
        <f t="shared" si="19"/>
        <v>4760</v>
      </c>
      <c r="Q27" s="83">
        <f t="shared" si="14"/>
        <v>4.1044390025178491E-2</v>
      </c>
      <c r="R27" s="63" t="e">
        <f>+#REF!</f>
        <v>#REF!</v>
      </c>
      <c r="S27" s="63" t="e">
        <f t="shared" si="20"/>
        <v>#REF!</v>
      </c>
      <c r="T27" s="175" t="e">
        <f t="shared" si="15"/>
        <v>#REF!</v>
      </c>
      <c r="U27" s="63" t="e">
        <f>+#REF!</f>
        <v>#REF!</v>
      </c>
      <c r="V27" s="63" t="e">
        <f t="shared" si="21"/>
        <v>#REF!</v>
      </c>
      <c r="W27" s="175" t="e">
        <f t="shared" si="16"/>
        <v>#REF!</v>
      </c>
      <c r="X27" s="63" t="e">
        <f>+#REF!</f>
        <v>#REF!</v>
      </c>
      <c r="Y27" s="63" t="e">
        <f t="shared" si="22"/>
        <v>#REF!</v>
      </c>
      <c r="Z27" s="175" t="e">
        <f t="shared" si="17"/>
        <v>#REF!</v>
      </c>
    </row>
    <row r="28" spans="1:26">
      <c r="A28" s="16" t="s">
        <v>25</v>
      </c>
      <c r="B28" s="1"/>
      <c r="C28" s="1"/>
      <c r="D28" s="1"/>
      <c r="E28" s="63">
        <v>164061</v>
      </c>
      <c r="F28" s="63">
        <v>176861</v>
      </c>
      <c r="G28" s="63">
        <v>187625</v>
      </c>
      <c r="H28" s="63">
        <v>181977.48749999999</v>
      </c>
      <c r="I28" s="63">
        <f>+'[1]REVISED FY 2012 CS '!N26</f>
        <v>197714</v>
      </c>
      <c r="J28" s="63">
        <f>+[1]Component!W26</f>
        <v>191065</v>
      </c>
      <c r="K28" s="63">
        <f>+'[1]Component Re-submission'!W26</f>
        <v>191026</v>
      </c>
      <c r="L28" s="63">
        <f>+'[1]DOJ Pass'!$W26</f>
        <v>205073</v>
      </c>
      <c r="M28" s="63">
        <f t="shared" si="18"/>
        <v>17448</v>
      </c>
      <c r="N28" s="83">
        <f t="shared" si="13"/>
        <v>9.2994003997335109E-2</v>
      </c>
      <c r="O28" s="63">
        <f>+'[1]DOJ Comp Appeal'!$W26</f>
        <v>211921</v>
      </c>
      <c r="P28" s="63">
        <f t="shared" si="19"/>
        <v>24296</v>
      </c>
      <c r="Q28" s="83">
        <f t="shared" si="14"/>
        <v>0.1294923384410393</v>
      </c>
      <c r="R28" s="63" t="e">
        <f>+#REF!</f>
        <v>#REF!</v>
      </c>
      <c r="S28" s="63" t="e">
        <f t="shared" si="20"/>
        <v>#REF!</v>
      </c>
      <c r="T28" s="175" t="e">
        <f t="shared" si="15"/>
        <v>#REF!</v>
      </c>
      <c r="U28" s="63" t="e">
        <f>+#REF!</f>
        <v>#REF!</v>
      </c>
      <c r="V28" s="63" t="e">
        <f t="shared" si="21"/>
        <v>#REF!</v>
      </c>
      <c r="W28" s="175" t="e">
        <f t="shared" si="16"/>
        <v>#REF!</v>
      </c>
      <c r="X28" s="63" t="e">
        <f>+#REF!</f>
        <v>#REF!</v>
      </c>
      <c r="Y28" s="63" t="e">
        <f t="shared" si="22"/>
        <v>#REF!</v>
      </c>
      <c r="Z28" s="175" t="e">
        <f t="shared" si="17"/>
        <v>#REF!</v>
      </c>
    </row>
    <row r="29" spans="1:26">
      <c r="A29" s="16" t="s">
        <v>26</v>
      </c>
      <c r="B29" s="1"/>
      <c r="C29" s="1"/>
      <c r="D29" s="1"/>
      <c r="E29" s="63">
        <v>270431</v>
      </c>
      <c r="F29" s="63">
        <v>287758</v>
      </c>
      <c r="G29" s="63">
        <v>334944</v>
      </c>
      <c r="H29" s="63">
        <v>324862.18560000003</v>
      </c>
      <c r="I29" s="63">
        <f>+'[1]REVISED FY 2012 CS '!N27</f>
        <v>345048</v>
      </c>
      <c r="J29" s="63">
        <f>+[1]Component!W27</f>
        <v>351134</v>
      </c>
      <c r="K29" s="63">
        <f>+'[1]Component Re-submission'!W27</f>
        <v>351134</v>
      </c>
      <c r="L29" s="63">
        <f>+'[1]DOJ Pass'!$W27</f>
        <v>347086</v>
      </c>
      <c r="M29" s="63">
        <f t="shared" si="18"/>
        <v>12142</v>
      </c>
      <c r="N29" s="83">
        <f t="shared" si="13"/>
        <v>3.6250835960638196E-2</v>
      </c>
      <c r="O29" s="63">
        <f>+'[1]DOJ Comp Appeal'!$W27</f>
        <v>349602</v>
      </c>
      <c r="P29" s="63">
        <f t="shared" si="19"/>
        <v>14658</v>
      </c>
      <c r="Q29" s="83">
        <f t="shared" si="14"/>
        <v>4.3762539409572941E-2</v>
      </c>
      <c r="R29" s="63" t="e">
        <f>+#REF!</f>
        <v>#REF!</v>
      </c>
      <c r="S29" s="63" t="e">
        <f t="shared" si="20"/>
        <v>#REF!</v>
      </c>
      <c r="T29" s="175" t="e">
        <f t="shared" si="15"/>
        <v>#REF!</v>
      </c>
      <c r="U29" s="63" t="e">
        <f>+#REF!</f>
        <v>#REF!</v>
      </c>
      <c r="V29" s="63" t="e">
        <f t="shared" si="21"/>
        <v>#REF!</v>
      </c>
      <c r="W29" s="175" t="e">
        <f t="shared" si="16"/>
        <v>#REF!</v>
      </c>
      <c r="X29" s="63" t="e">
        <f>+#REF!</f>
        <v>#REF!</v>
      </c>
      <c r="Y29" s="63" t="e">
        <f t="shared" si="22"/>
        <v>#REF!</v>
      </c>
      <c r="Z29" s="175" t="e">
        <f t="shared" si="17"/>
        <v>#REF!</v>
      </c>
    </row>
    <row r="30" spans="1:26">
      <c r="A30" s="16" t="s">
        <v>108</v>
      </c>
      <c r="B30" s="1"/>
      <c r="C30" s="1"/>
      <c r="D30" s="1"/>
      <c r="E30" s="63">
        <v>103093</v>
      </c>
      <c r="F30" s="63">
        <v>109785</v>
      </c>
      <c r="G30" s="63">
        <v>119310</v>
      </c>
      <c r="H30" s="63">
        <v>115718.769</v>
      </c>
      <c r="I30" s="63">
        <f>+'[1]REVISED FY 2012 CS '!N28</f>
        <v>127494</v>
      </c>
      <c r="J30" s="63">
        <f>+[1]Component!W28</f>
        <v>130240</v>
      </c>
      <c r="K30" s="63">
        <f>+'[1]Component Re-submission'!W28</f>
        <v>130240</v>
      </c>
      <c r="L30" s="63">
        <f>+'[1]DOJ Pass'!$W28</f>
        <v>130831</v>
      </c>
      <c r="M30" s="63">
        <f t="shared" si="18"/>
        <v>11521</v>
      </c>
      <c r="N30" s="83">
        <f t="shared" si="13"/>
        <v>9.6563573883161516E-2</v>
      </c>
      <c r="O30" s="63">
        <f>+'[1]DOJ Comp Appeal'!$W28</f>
        <v>130871</v>
      </c>
      <c r="P30" s="63">
        <f t="shared" si="19"/>
        <v>11561</v>
      </c>
      <c r="Q30" s="83">
        <f t="shared" si="14"/>
        <v>9.6898834967731121E-2</v>
      </c>
      <c r="R30" s="63" t="e">
        <f>+#REF!</f>
        <v>#REF!</v>
      </c>
      <c r="S30" s="63" t="e">
        <f t="shared" si="20"/>
        <v>#REF!</v>
      </c>
      <c r="T30" s="175" t="e">
        <f t="shared" si="15"/>
        <v>#REF!</v>
      </c>
      <c r="U30" s="63" t="e">
        <f>+#REF!</f>
        <v>#REF!</v>
      </c>
      <c r="V30" s="63" t="e">
        <f t="shared" si="21"/>
        <v>#REF!</v>
      </c>
      <c r="W30" s="175" t="e">
        <f t="shared" si="16"/>
        <v>#REF!</v>
      </c>
      <c r="X30" s="63" t="e">
        <f>+#REF!</f>
        <v>#REF!</v>
      </c>
      <c r="Y30" s="63" t="e">
        <f t="shared" si="22"/>
        <v>#REF!</v>
      </c>
      <c r="Z30" s="175" t="e">
        <f t="shared" si="17"/>
        <v>#REF!</v>
      </c>
    </row>
    <row r="31" spans="1:26">
      <c r="A31" s="16" t="s">
        <v>27</v>
      </c>
      <c r="B31" s="1"/>
      <c r="C31" s="1"/>
      <c r="D31" s="1"/>
      <c r="E31" s="63">
        <v>6693</v>
      </c>
      <c r="F31" s="63">
        <v>7665</v>
      </c>
      <c r="G31" s="63">
        <v>7782</v>
      </c>
      <c r="H31" s="63">
        <v>7547.7618000000002</v>
      </c>
      <c r="I31" s="63">
        <f>+'[1]REVISED FY 2012 CS '!N29</f>
        <v>7861</v>
      </c>
      <c r="J31" s="63">
        <f>+[1]Component!W29</f>
        <v>8013</v>
      </c>
      <c r="K31" s="63">
        <f>+'[1]Component Re-submission'!W29</f>
        <v>8013</v>
      </c>
      <c r="L31" s="63">
        <f>+'[1]DOJ Pass'!$W29</f>
        <v>8048</v>
      </c>
      <c r="M31" s="63">
        <f t="shared" si="18"/>
        <v>266</v>
      </c>
      <c r="N31" s="83">
        <f t="shared" si="13"/>
        <v>3.4181444358776666E-2</v>
      </c>
      <c r="O31" s="63">
        <f>+'[1]DOJ Comp Appeal'!$W29</f>
        <v>8048</v>
      </c>
      <c r="P31" s="63">
        <f t="shared" si="19"/>
        <v>266</v>
      </c>
      <c r="Q31" s="83">
        <f t="shared" si="14"/>
        <v>3.4181444358776666E-2</v>
      </c>
      <c r="R31" s="63" t="e">
        <f>+#REF!</f>
        <v>#REF!</v>
      </c>
      <c r="S31" s="63" t="e">
        <f t="shared" si="20"/>
        <v>#REF!</v>
      </c>
      <c r="T31" s="175" t="e">
        <f t="shared" si="15"/>
        <v>#REF!</v>
      </c>
      <c r="U31" s="63" t="e">
        <f>+#REF!</f>
        <v>#REF!</v>
      </c>
      <c r="V31" s="63" t="e">
        <f t="shared" si="21"/>
        <v>#REF!</v>
      </c>
      <c r="W31" s="175" t="e">
        <f t="shared" si="16"/>
        <v>#REF!</v>
      </c>
      <c r="X31" s="63" t="e">
        <f>+#REF!</f>
        <v>#REF!</v>
      </c>
      <c r="Y31" s="63" t="e">
        <f t="shared" si="22"/>
        <v>#REF!</v>
      </c>
      <c r="Z31" s="175" t="e">
        <f t="shared" si="17"/>
        <v>#REF!</v>
      </c>
    </row>
    <row r="32" spans="1:26">
      <c r="A32" s="16" t="s">
        <v>28</v>
      </c>
      <c r="B32" s="1"/>
      <c r="C32" s="1"/>
      <c r="D32" s="1"/>
      <c r="E32" s="63">
        <v>123151</v>
      </c>
      <c r="F32" s="63">
        <v>145449</v>
      </c>
      <c r="G32" s="63">
        <v>161885</v>
      </c>
      <c r="H32" s="63">
        <v>157012.26149999999</v>
      </c>
      <c r="I32" s="63">
        <f>+'[1]REVISED FY 2012 CS '!N30</f>
        <v>168266</v>
      </c>
      <c r="J32" s="63">
        <f>+[1]Component!W30</f>
        <v>168660</v>
      </c>
      <c r="K32" s="63">
        <f>+'[1]Component Re-submission'!W30</f>
        <v>168660</v>
      </c>
      <c r="L32" s="63">
        <f>+'[1]DOJ Pass'!$W30</f>
        <v>170527</v>
      </c>
      <c r="M32" s="63">
        <f t="shared" si="18"/>
        <v>8642</v>
      </c>
      <c r="N32" s="83">
        <f t="shared" si="13"/>
        <v>5.3383574759860393E-2</v>
      </c>
      <c r="O32" s="63">
        <f>+'[1]DOJ Comp Appeal'!$W30</f>
        <v>170527</v>
      </c>
      <c r="P32" s="63">
        <f t="shared" si="19"/>
        <v>8642</v>
      </c>
      <c r="Q32" s="83">
        <f t="shared" si="14"/>
        <v>5.3383574759860393E-2</v>
      </c>
      <c r="R32" s="63" t="e">
        <f>+#REF!</f>
        <v>#REF!</v>
      </c>
      <c r="S32" s="63" t="e">
        <f t="shared" si="20"/>
        <v>#REF!</v>
      </c>
      <c r="T32" s="175" t="e">
        <f t="shared" si="15"/>
        <v>#REF!</v>
      </c>
      <c r="U32" s="63" t="e">
        <f>+#REF!</f>
        <v>#REF!</v>
      </c>
      <c r="V32" s="63" t="e">
        <f t="shared" si="21"/>
        <v>#REF!</v>
      </c>
      <c r="W32" s="175" t="e">
        <f t="shared" si="16"/>
        <v>#REF!</v>
      </c>
      <c r="X32" s="63" t="e">
        <f>+#REF!</f>
        <v>#REF!</v>
      </c>
      <c r="Y32" s="63" t="e">
        <f t="shared" si="22"/>
        <v>#REF!</v>
      </c>
      <c r="Z32" s="175" t="e">
        <f t="shared" si="17"/>
        <v>#REF!</v>
      </c>
    </row>
    <row r="33" spans="1:26">
      <c r="A33" s="16" t="s">
        <v>29</v>
      </c>
      <c r="B33" s="1"/>
      <c r="C33" s="1"/>
      <c r="D33" s="1"/>
      <c r="E33" s="63">
        <v>24548</v>
      </c>
      <c r="F33" s="63">
        <v>30091</v>
      </c>
      <c r="G33" s="63">
        <v>37018</v>
      </c>
      <c r="H33" s="63">
        <v>35903.758199999997</v>
      </c>
      <c r="I33" s="63">
        <f>+'[1]REVISED FY 2012 CS '!N31</f>
        <v>37833</v>
      </c>
      <c r="J33" s="63">
        <f>+[1]Component!W31</f>
        <v>37316</v>
      </c>
      <c r="K33" s="63">
        <f>+'[1]Component Re-submission'!W31</f>
        <v>37316</v>
      </c>
      <c r="L33" s="63">
        <f>+'[1]DOJ Pass'!$W31</f>
        <v>38653</v>
      </c>
      <c r="M33" s="63">
        <f t="shared" si="18"/>
        <v>1635</v>
      </c>
      <c r="N33" s="83">
        <f t="shared" si="13"/>
        <v>4.416770219893025E-2</v>
      </c>
      <c r="O33" s="63">
        <f>+'[1]DOJ Comp Appeal'!$W31</f>
        <v>38653</v>
      </c>
      <c r="P33" s="63">
        <f t="shared" si="19"/>
        <v>1635</v>
      </c>
      <c r="Q33" s="83">
        <f t="shared" si="14"/>
        <v>4.416770219893025E-2</v>
      </c>
      <c r="R33" s="63" t="e">
        <f>+#REF!</f>
        <v>#REF!</v>
      </c>
      <c r="S33" s="63" t="e">
        <f t="shared" si="20"/>
        <v>#REF!</v>
      </c>
      <c r="T33" s="175" t="e">
        <f t="shared" si="15"/>
        <v>#REF!</v>
      </c>
      <c r="U33" s="63" t="e">
        <f>+#REF!</f>
        <v>#REF!</v>
      </c>
      <c r="V33" s="63" t="e">
        <f t="shared" si="21"/>
        <v>#REF!</v>
      </c>
      <c r="W33" s="175" t="e">
        <f t="shared" si="16"/>
        <v>#REF!</v>
      </c>
      <c r="X33" s="63" t="e">
        <f>+#REF!</f>
        <v>#REF!</v>
      </c>
      <c r="Y33" s="63" t="e">
        <f t="shared" si="22"/>
        <v>#REF!</v>
      </c>
      <c r="Z33" s="175" t="e">
        <f t="shared" si="17"/>
        <v>#REF!</v>
      </c>
    </row>
    <row r="34" spans="1:26">
      <c r="A34" s="16" t="s">
        <v>30</v>
      </c>
      <c r="B34" s="1"/>
      <c r="C34" s="1"/>
      <c r="D34" s="1"/>
      <c r="E34" s="63">
        <v>574</v>
      </c>
      <c r="F34" s="63">
        <v>802</v>
      </c>
      <c r="G34" s="63">
        <v>835</v>
      </c>
      <c r="H34" s="63">
        <v>809.86649999999997</v>
      </c>
      <c r="I34" s="63">
        <f>+'[1]REVISED FY 2012 CS '!N32</f>
        <v>849</v>
      </c>
      <c r="J34" s="63">
        <f>+[1]Component!W32</f>
        <v>849</v>
      </c>
      <c r="K34" s="63">
        <f>+'[1]Component Re-submission'!W32</f>
        <v>849</v>
      </c>
      <c r="L34" s="63">
        <f>+'[1]DOJ Pass'!$W32</f>
        <v>0</v>
      </c>
      <c r="M34" s="63">
        <f t="shared" si="18"/>
        <v>-835</v>
      </c>
      <c r="N34" s="83">
        <f t="shared" si="13"/>
        <v>-1</v>
      </c>
      <c r="O34" s="63">
        <f>+'[1]DOJ Comp Appeal'!$W32</f>
        <v>911</v>
      </c>
      <c r="P34" s="63">
        <f t="shared" si="19"/>
        <v>76</v>
      </c>
      <c r="Q34" s="83">
        <f t="shared" si="14"/>
        <v>9.1017964071856292E-2</v>
      </c>
      <c r="R34" s="63" t="e">
        <f>+#REF!</f>
        <v>#REF!</v>
      </c>
      <c r="S34" s="63" t="e">
        <f t="shared" si="20"/>
        <v>#REF!</v>
      </c>
      <c r="T34" s="175" t="e">
        <f t="shared" si="15"/>
        <v>#REF!</v>
      </c>
      <c r="U34" s="63" t="e">
        <f>+#REF!</f>
        <v>#REF!</v>
      </c>
      <c r="V34" s="63" t="e">
        <f t="shared" si="21"/>
        <v>#REF!</v>
      </c>
      <c r="W34" s="175" t="e">
        <f t="shared" si="16"/>
        <v>#REF!</v>
      </c>
      <c r="X34" s="63" t="e">
        <f>+#REF!</f>
        <v>#REF!</v>
      </c>
      <c r="Y34" s="63" t="e">
        <f t="shared" si="22"/>
        <v>#REF!</v>
      </c>
      <c r="Z34" s="175" t="e">
        <f t="shared" si="17"/>
        <v>#REF!</v>
      </c>
    </row>
    <row r="35" spans="1:26">
      <c r="A35" s="12" t="s">
        <v>31</v>
      </c>
      <c r="B35" s="1"/>
      <c r="C35" s="1"/>
      <c r="D35" s="1"/>
      <c r="E35" s="24" t="s">
        <v>33</v>
      </c>
      <c r="F35" s="24" t="s">
        <v>33</v>
      </c>
      <c r="G35" s="24" t="s">
        <v>33</v>
      </c>
      <c r="H35" s="24" t="s">
        <v>33</v>
      </c>
      <c r="I35" s="24" t="str">
        <f>+'[1]REVISED FY 2012 CS '!N33</f>
        <v>[7,833]</v>
      </c>
      <c r="J35" s="24" t="str">
        <f>+[1]Component!W33</f>
        <v>[7,833]</v>
      </c>
      <c r="K35" s="24" t="str">
        <f>+'[1]Component Re-submission'!W33</f>
        <v>[7,833]</v>
      </c>
      <c r="L35" s="24" t="str">
        <f>+'[1]DOJ Pass'!$W33</f>
        <v>[7,833]</v>
      </c>
      <c r="M35" s="24">
        <v>0</v>
      </c>
      <c r="N35" s="84">
        <v>0</v>
      </c>
      <c r="O35" s="24" t="str">
        <f>+'[1]DOJ Comp Appeal'!$W33</f>
        <v>[7,833]</v>
      </c>
      <c r="P35" s="24">
        <v>0</v>
      </c>
      <c r="Q35" s="84">
        <v>0</v>
      </c>
      <c r="R35" s="24" t="e">
        <f>+#REF!</f>
        <v>#REF!</v>
      </c>
      <c r="S35" s="24">
        <v>0</v>
      </c>
      <c r="T35" s="176">
        <v>0</v>
      </c>
      <c r="U35" s="24" t="e">
        <f>+#REF!</f>
        <v>#REF!</v>
      </c>
      <c r="V35" s="24">
        <v>0</v>
      </c>
      <c r="W35" s="176">
        <v>0</v>
      </c>
      <c r="X35" s="24" t="e">
        <f>+#REF!</f>
        <v>#REF!</v>
      </c>
      <c r="Y35" s="24">
        <v>0</v>
      </c>
      <c r="Z35" s="176">
        <v>0</v>
      </c>
    </row>
    <row r="36" spans="1:26">
      <c r="A36" s="12" t="s">
        <v>34</v>
      </c>
      <c r="B36" s="1"/>
      <c r="C36" s="1"/>
      <c r="D36" s="1"/>
      <c r="E36" s="63">
        <v>157788</v>
      </c>
      <c r="F36" s="63">
        <v>163170</v>
      </c>
      <c r="G36" s="63">
        <v>167028</v>
      </c>
      <c r="H36" s="63">
        <v>162000.4572</v>
      </c>
      <c r="I36" s="63">
        <f>+'[1]REVISED FY 2012 CS '!N34</f>
        <v>169105</v>
      </c>
      <c r="J36" s="63">
        <f>+[1]Component!W34</f>
        <v>169164</v>
      </c>
      <c r="K36" s="63">
        <f>+'[1]Component Re-submission'!W34</f>
        <v>169146</v>
      </c>
      <c r="L36" s="63">
        <f>+'[1]DOJ Pass'!$W34</f>
        <v>169001</v>
      </c>
      <c r="M36" s="63">
        <f>+L36-$G36</f>
        <v>1973</v>
      </c>
      <c r="N36" s="83">
        <f t="shared" ref="N36:N50" si="23">(+L36-$G36)/$G36</f>
        <v>1.1812390736882439E-2</v>
      </c>
      <c r="O36" s="63">
        <f>+'[1]DOJ Comp Appeal'!$W34</f>
        <v>169001</v>
      </c>
      <c r="P36" s="63">
        <f>+O36-$G36</f>
        <v>1973</v>
      </c>
      <c r="Q36" s="83">
        <f t="shared" ref="Q36:Q50" si="24">(+O36-$G36)/$G36</f>
        <v>1.1812390736882439E-2</v>
      </c>
      <c r="R36" s="63" t="e">
        <f>+#REF!</f>
        <v>#REF!</v>
      </c>
      <c r="S36" s="63" t="e">
        <f>+R36-$G36</f>
        <v>#REF!</v>
      </c>
      <c r="T36" s="175" t="e">
        <f t="shared" ref="T36:T50" si="25">(+R36-$G36)/$G36</f>
        <v>#REF!</v>
      </c>
      <c r="U36" s="63" t="e">
        <f>+#REF!</f>
        <v>#REF!</v>
      </c>
      <c r="V36" s="63" t="e">
        <f>+U36-$G36</f>
        <v>#REF!</v>
      </c>
      <c r="W36" s="175" t="e">
        <f t="shared" ref="W36:W42" si="26">(+U36-$G36)/$G36</f>
        <v>#REF!</v>
      </c>
      <c r="X36" s="63" t="e">
        <f>+#REF!</f>
        <v>#REF!</v>
      </c>
      <c r="Y36" s="63" t="e">
        <f>+X36-$G36</f>
        <v>#REF!</v>
      </c>
      <c r="Z36" s="175" t="e">
        <f t="shared" ref="Z36:Z42" si="27">(+X36-$G36)/$G36</f>
        <v>#REF!</v>
      </c>
    </row>
    <row r="37" spans="1:26">
      <c r="A37" s="12" t="s">
        <v>36</v>
      </c>
      <c r="B37" s="1"/>
      <c r="C37" s="1"/>
      <c r="D37" s="1"/>
      <c r="E37" s="63">
        <v>-157788</v>
      </c>
      <c r="F37" s="63">
        <v>-102000</v>
      </c>
      <c r="G37" s="63">
        <v>-110000</v>
      </c>
      <c r="H37" s="63">
        <v>-110000</v>
      </c>
      <c r="I37" s="63">
        <f>+'[1]REVISED FY 2012 CS '!N35</f>
        <v>-110000</v>
      </c>
      <c r="J37" s="63">
        <f>+[1]Component!W35</f>
        <v>-110000</v>
      </c>
      <c r="K37" s="63">
        <f>+'[1]Component Re-submission'!W35</f>
        <v>-110000</v>
      </c>
      <c r="L37" s="63">
        <f>+'[1]DOJ Pass'!$W35</f>
        <v>-110000</v>
      </c>
      <c r="M37" s="63">
        <f>+L37-$G37</f>
        <v>0</v>
      </c>
      <c r="N37" s="83">
        <f t="shared" si="23"/>
        <v>0</v>
      </c>
      <c r="O37" s="63">
        <f>+'[1]DOJ Comp Appeal'!$W35</f>
        <v>-110000</v>
      </c>
      <c r="P37" s="63">
        <f>+O37-$G37</f>
        <v>0</v>
      </c>
      <c r="Q37" s="83">
        <f t="shared" si="24"/>
        <v>0</v>
      </c>
      <c r="R37" s="63" t="e">
        <f>+#REF!</f>
        <v>#REF!</v>
      </c>
      <c r="S37" s="63" t="e">
        <f>+R37-$G37</f>
        <v>#REF!</v>
      </c>
      <c r="T37" s="175" t="e">
        <f t="shared" si="25"/>
        <v>#REF!</v>
      </c>
      <c r="U37" s="63" t="e">
        <f>+#REF!</f>
        <v>#REF!</v>
      </c>
      <c r="V37" s="63" t="e">
        <f>+U37-$G37</f>
        <v>#REF!</v>
      </c>
      <c r="W37" s="175" t="e">
        <f t="shared" si="26"/>
        <v>#REF!</v>
      </c>
      <c r="X37" s="63" t="e">
        <f>+#REF!</f>
        <v>#REF!</v>
      </c>
      <c r="Y37" s="63" t="e">
        <f>+X37-$G37</f>
        <v>#REF!</v>
      </c>
      <c r="Z37" s="175" t="e">
        <f t="shared" si="27"/>
        <v>#REF!</v>
      </c>
    </row>
    <row r="38" spans="1:26">
      <c r="A38" s="59" t="s">
        <v>37</v>
      </c>
      <c r="B38" s="60"/>
      <c r="C38" s="60"/>
      <c r="D38" s="60"/>
      <c r="E38" s="74">
        <v>1836336</v>
      </c>
      <c r="F38" s="63">
        <v>1934003</v>
      </c>
      <c r="G38" s="24">
        <v>2041269</v>
      </c>
      <c r="H38" s="24">
        <v>1977826.8030999999</v>
      </c>
      <c r="I38" s="24">
        <f>+'[1]REVISED FY 2012 CS '!N36</f>
        <v>2093947</v>
      </c>
      <c r="J38" s="24">
        <f>+[1]Component!W36</f>
        <v>2136270</v>
      </c>
      <c r="K38" s="24">
        <f>+'[1]Component Re-submission'!W36</f>
        <v>2110082</v>
      </c>
      <c r="L38" s="24">
        <f>+'[1]DOJ Pass'!$W36</f>
        <v>2098869</v>
      </c>
      <c r="M38" s="24">
        <f>+L38-$G38</f>
        <v>57600</v>
      </c>
      <c r="N38" s="84">
        <f t="shared" si="23"/>
        <v>2.8217741022863719E-2</v>
      </c>
      <c r="O38" s="24">
        <f>+'[1]DOJ Comp Appeal'!$W36</f>
        <v>2098869</v>
      </c>
      <c r="P38" s="24">
        <f>+O38-$G38</f>
        <v>57600</v>
      </c>
      <c r="Q38" s="84">
        <f t="shared" si="24"/>
        <v>2.8217741022863719E-2</v>
      </c>
      <c r="R38" s="24" t="e">
        <f>+#REF!</f>
        <v>#REF!</v>
      </c>
      <c r="S38" s="24" t="e">
        <f>+R38-$G38</f>
        <v>#REF!</v>
      </c>
      <c r="T38" s="176" t="e">
        <f t="shared" si="25"/>
        <v>#REF!</v>
      </c>
      <c r="U38" s="24" t="e">
        <f>+#REF!</f>
        <v>#REF!</v>
      </c>
      <c r="V38" s="24" t="e">
        <f>+U38-$G38</f>
        <v>#REF!</v>
      </c>
      <c r="W38" s="176" t="e">
        <f t="shared" si="26"/>
        <v>#REF!</v>
      </c>
      <c r="X38" s="24" t="e">
        <f>+#REF!</f>
        <v>#REF!</v>
      </c>
      <c r="Y38" s="24" t="e">
        <f>+X38-$G38</f>
        <v>#REF!</v>
      </c>
      <c r="Z38" s="176" t="e">
        <f t="shared" si="27"/>
        <v>#REF!</v>
      </c>
    </row>
    <row r="39" spans="1:26">
      <c r="A39" s="14" t="s">
        <v>38</v>
      </c>
      <c r="B39" s="15"/>
      <c r="C39" s="15"/>
      <c r="D39" s="15"/>
      <c r="E39" s="25">
        <f>SUM(E40:E41)</f>
        <v>52416</v>
      </c>
      <c r="F39" s="25">
        <f>SUM(F40:F41)</f>
        <v>4250</v>
      </c>
      <c r="G39" s="25">
        <f>SUM(G40:G41)</f>
        <v>-45394</v>
      </c>
      <c r="H39" s="25">
        <v>-52510.693499999994</v>
      </c>
      <c r="I39" s="25">
        <f>SUM(I40:I41)</f>
        <v>-39933</v>
      </c>
      <c r="J39" s="25">
        <f>SUM(J40:J41)</f>
        <v>-36414</v>
      </c>
      <c r="K39" s="25">
        <f>SUM(K40:K41)</f>
        <v>-36414</v>
      </c>
      <c r="L39" s="25">
        <f>SUM(L40:L41)</f>
        <v>-28011</v>
      </c>
      <c r="M39" s="25">
        <f>SUM(M40:M41)</f>
        <v>17383</v>
      </c>
      <c r="N39" s="85">
        <f t="shared" si="23"/>
        <v>-0.38293607084636738</v>
      </c>
      <c r="O39" s="25">
        <f>SUM(O40:O41)</f>
        <v>-28011</v>
      </c>
      <c r="P39" s="25">
        <f>SUM(P40:P41)</f>
        <v>17383</v>
      </c>
      <c r="Q39" s="85">
        <f t="shared" si="24"/>
        <v>-0.38293607084636738</v>
      </c>
      <c r="R39" s="25" t="e">
        <f>SUM(R40:R41)</f>
        <v>#REF!</v>
      </c>
      <c r="S39" s="25" t="e">
        <f>SUM(S40:S41)</f>
        <v>#REF!</v>
      </c>
      <c r="T39" s="178" t="e">
        <f t="shared" si="25"/>
        <v>#REF!</v>
      </c>
      <c r="U39" s="25" t="e">
        <f>SUM(U40:U41)</f>
        <v>#REF!</v>
      </c>
      <c r="V39" s="25" t="e">
        <f>SUM(V40:V41)</f>
        <v>#REF!</v>
      </c>
      <c r="W39" s="178" t="e">
        <f t="shared" si="26"/>
        <v>#REF!</v>
      </c>
      <c r="X39" s="25" t="e">
        <f>SUM(X40:X41)</f>
        <v>#REF!</v>
      </c>
      <c r="Y39" s="25" t="e">
        <f>SUM(Y40:Y41)</f>
        <v>#REF!</v>
      </c>
      <c r="Z39" s="178" t="e">
        <f t="shared" si="27"/>
        <v>#REF!</v>
      </c>
    </row>
    <row r="40" spans="1:26">
      <c r="A40" s="16" t="s">
        <v>39</v>
      </c>
      <c r="B40" s="1"/>
      <c r="C40" s="1"/>
      <c r="D40" s="1"/>
      <c r="E40" s="63">
        <v>217416</v>
      </c>
      <c r="F40" s="63">
        <v>219250</v>
      </c>
      <c r="G40" s="63">
        <v>236435</v>
      </c>
      <c r="H40" s="63">
        <v>229318.30650000001</v>
      </c>
      <c r="I40" s="63">
        <f>+'[1]REVISED FY 2012 CS '!N38</f>
        <v>241896</v>
      </c>
      <c r="J40" s="63">
        <f>+[1]Component!W38</f>
        <v>245415</v>
      </c>
      <c r="K40" s="63">
        <f>+'[1]Component Re-submission'!W38</f>
        <v>245415</v>
      </c>
      <c r="L40" s="63">
        <f>+'[1]DOJ Pass'!$W38</f>
        <v>245989</v>
      </c>
      <c r="M40" s="63">
        <f>+L40-$G40</f>
        <v>9554</v>
      </c>
      <c r="N40" s="83">
        <f t="shared" si="23"/>
        <v>4.0408568951297394E-2</v>
      </c>
      <c r="O40" s="63">
        <f>+'[1]DOJ Comp Appeal'!$W38</f>
        <v>245989</v>
      </c>
      <c r="P40" s="63">
        <f>+O40-$G40</f>
        <v>9554</v>
      </c>
      <c r="Q40" s="83">
        <f t="shared" si="24"/>
        <v>4.0408568951297394E-2</v>
      </c>
      <c r="R40" s="63" t="e">
        <f>+#REF!</f>
        <v>#REF!</v>
      </c>
      <c r="S40" s="63" t="e">
        <f>+R40-$G40</f>
        <v>#REF!</v>
      </c>
      <c r="T40" s="175" t="e">
        <f t="shared" si="25"/>
        <v>#REF!</v>
      </c>
      <c r="U40" s="63" t="e">
        <f>+#REF!</f>
        <v>#REF!</v>
      </c>
      <c r="V40" s="63" t="e">
        <f>+U40-$G40</f>
        <v>#REF!</v>
      </c>
      <c r="W40" s="175" t="e">
        <f t="shared" si="26"/>
        <v>#REF!</v>
      </c>
      <c r="X40" s="63" t="e">
        <f>+#REF!</f>
        <v>#REF!</v>
      </c>
      <c r="Y40" s="63" t="e">
        <f>+X40-$G40</f>
        <v>#REF!</v>
      </c>
      <c r="Z40" s="175" t="e">
        <f t="shared" si="27"/>
        <v>#REF!</v>
      </c>
    </row>
    <row r="41" spans="1:26">
      <c r="A41" s="16" t="s">
        <v>40</v>
      </c>
      <c r="B41" s="1"/>
      <c r="C41" s="1"/>
      <c r="D41" s="1"/>
      <c r="E41" s="63">
        <v>-165000</v>
      </c>
      <c r="F41" s="63">
        <v>-215000</v>
      </c>
      <c r="G41" s="63">
        <v>-281829</v>
      </c>
      <c r="H41" s="63">
        <v>-281829</v>
      </c>
      <c r="I41" s="63">
        <f>+'[1]REVISED FY 2012 CS '!N39</f>
        <v>-281829</v>
      </c>
      <c r="J41" s="63">
        <f>+[1]Component!W39</f>
        <v>-281829</v>
      </c>
      <c r="K41" s="63">
        <f>+'[1]Component Re-submission'!W39</f>
        <v>-281829</v>
      </c>
      <c r="L41" s="63">
        <f>+'[1]DOJ Pass'!$W39</f>
        <v>-274000</v>
      </c>
      <c r="M41" s="63">
        <f>+L41-$G41</f>
        <v>7829</v>
      </c>
      <c r="N41" s="83">
        <f t="shared" si="23"/>
        <v>-2.7779256215648498E-2</v>
      </c>
      <c r="O41" s="63">
        <f>+'[1]DOJ Comp Appeal'!$W39</f>
        <v>-274000</v>
      </c>
      <c r="P41" s="63">
        <f>+O41-$G41</f>
        <v>7829</v>
      </c>
      <c r="Q41" s="83">
        <f t="shared" si="24"/>
        <v>-2.7779256215648498E-2</v>
      </c>
      <c r="R41" s="63" t="e">
        <f>+#REF!</f>
        <v>#REF!</v>
      </c>
      <c r="S41" s="63" t="e">
        <f>+R41-$G41</f>
        <v>#REF!</v>
      </c>
      <c r="T41" s="175" t="e">
        <f t="shared" si="25"/>
        <v>#REF!</v>
      </c>
      <c r="U41" s="63" t="e">
        <f>+#REF!</f>
        <v>#REF!</v>
      </c>
      <c r="V41" s="63" t="e">
        <f>+U41-$G41</f>
        <v>#REF!</v>
      </c>
      <c r="W41" s="175" t="e">
        <f t="shared" si="26"/>
        <v>#REF!</v>
      </c>
      <c r="X41" s="63" t="e">
        <f>+#REF!</f>
        <v>#REF!</v>
      </c>
      <c r="Y41" s="63" t="e">
        <f>+X41-$G41</f>
        <v>#REF!</v>
      </c>
      <c r="Z41" s="175" t="e">
        <f t="shared" si="27"/>
        <v>#REF!</v>
      </c>
    </row>
    <row r="42" spans="1:26">
      <c r="A42" s="12" t="s">
        <v>41</v>
      </c>
      <c r="B42" s="1"/>
      <c r="C42" s="1"/>
      <c r="D42" s="1"/>
      <c r="E42" s="63">
        <v>1823</v>
      </c>
      <c r="F42" s="63">
        <v>2117</v>
      </c>
      <c r="G42" s="63">
        <v>2159</v>
      </c>
      <c r="H42" s="63">
        <v>2094.0140999999999</v>
      </c>
      <c r="I42" s="63">
        <f>+'[1]REVISED FY 2012 CS '!N40</f>
        <v>2201</v>
      </c>
      <c r="J42" s="63">
        <f>+[1]Component!W40</f>
        <v>2201</v>
      </c>
      <c r="K42" s="63">
        <f>+'[1]Component Re-submission'!W40</f>
        <v>2201</v>
      </c>
      <c r="L42" s="63">
        <f>+'[1]DOJ Pass'!$W40</f>
        <v>2198</v>
      </c>
      <c r="M42" s="63">
        <f>+L42-$G42</f>
        <v>39</v>
      </c>
      <c r="N42" s="83">
        <f t="shared" si="23"/>
        <v>1.8063918480778138E-2</v>
      </c>
      <c r="O42" s="63">
        <f>+'[1]DOJ Comp Appeal'!$W40</f>
        <v>2264</v>
      </c>
      <c r="P42" s="63">
        <f>+O42-$G42</f>
        <v>105</v>
      </c>
      <c r="Q42" s="83">
        <f t="shared" si="24"/>
        <v>4.8633626679018063E-2</v>
      </c>
      <c r="R42" s="63" t="e">
        <f>+#REF!</f>
        <v>#REF!</v>
      </c>
      <c r="S42" s="63" t="e">
        <f>+R42-$G42</f>
        <v>#REF!</v>
      </c>
      <c r="T42" s="175" t="e">
        <f t="shared" si="25"/>
        <v>#REF!</v>
      </c>
      <c r="U42" s="63" t="e">
        <f>+#REF!</f>
        <v>#REF!</v>
      </c>
      <c r="V42" s="63" t="e">
        <f>+U42-$G42</f>
        <v>#REF!</v>
      </c>
      <c r="W42" s="175" t="e">
        <f t="shared" si="26"/>
        <v>#REF!</v>
      </c>
      <c r="X42" s="63" t="e">
        <f>+#REF!</f>
        <v>#REF!</v>
      </c>
      <c r="Y42" s="63" t="e">
        <f>+X42-$G42</f>
        <v>#REF!</v>
      </c>
      <c r="Z42" s="175" t="e">
        <f t="shared" si="27"/>
        <v>#REF!</v>
      </c>
    </row>
    <row r="43" spans="1:26">
      <c r="A43" s="14" t="s">
        <v>42</v>
      </c>
      <c r="B43" s="15"/>
      <c r="C43" s="15"/>
      <c r="D43" s="15"/>
      <c r="E43" s="17">
        <f>+E44+E45</f>
        <v>954000</v>
      </c>
      <c r="F43" s="17">
        <f>+F44+F45</f>
        <v>1152388</v>
      </c>
      <c r="G43" s="23">
        <f>+G44+G45</f>
        <v>1207159</v>
      </c>
      <c r="H43" s="23">
        <v>1167476.5140999998</v>
      </c>
      <c r="I43" s="23">
        <f>+I44+I45</f>
        <v>1307745</v>
      </c>
      <c r="J43" s="23">
        <f>+J44+J45</f>
        <v>1277884</v>
      </c>
      <c r="K43" s="23">
        <f>+K44+K45</f>
        <v>1277884</v>
      </c>
      <c r="L43" s="23">
        <f>+L44+L45</f>
        <v>1318433</v>
      </c>
      <c r="M43" s="23">
        <f>+M44+M45</f>
        <v>111274</v>
      </c>
      <c r="N43" s="87">
        <f t="shared" si="23"/>
        <v>9.2178412288687742E-2</v>
      </c>
      <c r="O43" s="23">
        <f>+O44+O45</f>
        <v>1328403</v>
      </c>
      <c r="P43" s="23">
        <f>+P44+P45</f>
        <v>121244</v>
      </c>
      <c r="Q43" s="87">
        <f t="shared" si="24"/>
        <v>0.1004374734397043</v>
      </c>
      <c r="R43" s="23" t="e">
        <f t="shared" ref="R43:T43" si="28">+R44+R45</f>
        <v>#REF!</v>
      </c>
      <c r="S43" s="23" t="e">
        <f t="shared" si="28"/>
        <v>#REF!</v>
      </c>
      <c r="T43" s="23" t="e">
        <f t="shared" si="28"/>
        <v>#REF!</v>
      </c>
      <c r="U43" s="23" t="e">
        <f t="shared" ref="U43:W43" si="29">+U44+U45</f>
        <v>#REF!</v>
      </c>
      <c r="V43" s="23" t="e">
        <f t="shared" si="29"/>
        <v>#REF!</v>
      </c>
      <c r="W43" s="23" t="e">
        <f t="shared" si="29"/>
        <v>#REF!</v>
      </c>
      <c r="X43" s="23" t="e">
        <f t="shared" ref="X43:Z43" si="30">+X44+X45</f>
        <v>#REF!</v>
      </c>
      <c r="Y43" s="23" t="e">
        <f t="shared" si="30"/>
        <v>#REF!</v>
      </c>
      <c r="Z43" s="23" t="e">
        <f t="shared" si="30"/>
        <v>#REF!</v>
      </c>
    </row>
    <row r="44" spans="1:26">
      <c r="A44" s="16" t="s">
        <v>43</v>
      </c>
      <c r="B44" s="1"/>
      <c r="C44" s="1"/>
      <c r="D44" s="1"/>
      <c r="E44" s="63">
        <v>950000</v>
      </c>
      <c r="F44" s="63">
        <v>1125763</v>
      </c>
      <c r="G44" s="24">
        <v>1180534</v>
      </c>
      <c r="H44" s="24">
        <v>1144999.9265999999</v>
      </c>
      <c r="I44" s="24">
        <f>+'[1]REVISED FY 2012 CS '!N42</f>
        <v>1281120</v>
      </c>
      <c r="J44" s="24">
        <f>+[1]Component!W42</f>
        <v>1251259</v>
      </c>
      <c r="K44" s="24">
        <f>+'[1]Component Re-submission'!W42</f>
        <v>1251259</v>
      </c>
      <c r="L44" s="24">
        <f>+'[1]DOJ Pass'!$W42</f>
        <v>1291808</v>
      </c>
      <c r="M44" s="24">
        <f>+L44-$G44</f>
        <v>111274</v>
      </c>
      <c r="N44" s="84">
        <f t="shared" si="23"/>
        <v>9.4257344557632392E-2</v>
      </c>
      <c r="O44" s="24">
        <f>+'[1]DOJ Comp Appeal'!$W42</f>
        <v>1301778</v>
      </c>
      <c r="P44" s="24">
        <f>+O44-$G44</f>
        <v>121244</v>
      </c>
      <c r="Q44" s="84">
        <f t="shared" si="24"/>
        <v>0.10270267523002302</v>
      </c>
      <c r="R44" s="24" t="e">
        <f>+#REF!</f>
        <v>#REF!</v>
      </c>
      <c r="S44" s="24" t="e">
        <f>+R44-$G44</f>
        <v>#REF!</v>
      </c>
      <c r="T44" s="176" t="e">
        <f t="shared" si="25"/>
        <v>#REF!</v>
      </c>
      <c r="U44" s="24" t="e">
        <f>+#REF!</f>
        <v>#REF!</v>
      </c>
      <c r="V44" s="24" t="e">
        <f>+U44-$G44</f>
        <v>#REF!</v>
      </c>
      <c r="W44" s="176" t="e">
        <f t="shared" ref="W44:W50" si="31">(+U44-$G44)/$G44</f>
        <v>#REF!</v>
      </c>
      <c r="X44" s="24" t="e">
        <f>+#REF!</f>
        <v>#REF!</v>
      </c>
      <c r="Y44" s="24" t="e">
        <f>+X44-$G44</f>
        <v>#REF!</v>
      </c>
      <c r="Z44" s="176" t="e">
        <f t="shared" ref="Z44:Z50" si="32">(+X44-$G44)/$G44</f>
        <v>#REF!</v>
      </c>
    </row>
    <row r="45" spans="1:26">
      <c r="A45" s="16" t="s">
        <v>44</v>
      </c>
      <c r="B45" s="1"/>
      <c r="C45" s="1"/>
      <c r="D45" s="1"/>
      <c r="E45" s="63">
        <v>4000</v>
      </c>
      <c r="F45" s="63">
        <v>26625</v>
      </c>
      <c r="G45" s="63">
        <v>26625</v>
      </c>
      <c r="H45" s="63">
        <v>22476.587500000001</v>
      </c>
      <c r="I45" s="63">
        <f>+'[1]REVISED FY 2012 CS '!N43</f>
        <v>26625</v>
      </c>
      <c r="J45" s="63">
        <f>+[1]Component!W43</f>
        <v>26625</v>
      </c>
      <c r="K45" s="63">
        <f>+'[1]Component Re-submission'!W43</f>
        <v>26625</v>
      </c>
      <c r="L45" s="63">
        <f>+'[1]DOJ Pass'!$W43</f>
        <v>26625</v>
      </c>
      <c r="M45" s="63">
        <f>+L45-$G45</f>
        <v>0</v>
      </c>
      <c r="N45" s="83">
        <f t="shared" si="23"/>
        <v>0</v>
      </c>
      <c r="O45" s="63">
        <f>+'[1]DOJ Comp Appeal'!$W43</f>
        <v>26625</v>
      </c>
      <c r="P45" s="63">
        <f>+O45-$G45</f>
        <v>0</v>
      </c>
      <c r="Q45" s="83">
        <f t="shared" si="24"/>
        <v>0</v>
      </c>
      <c r="R45" s="63" t="e">
        <f>+#REF!</f>
        <v>#REF!</v>
      </c>
      <c r="S45" s="63" t="e">
        <f>+R45-$G45</f>
        <v>#REF!</v>
      </c>
      <c r="T45" s="175" t="e">
        <f t="shared" si="25"/>
        <v>#REF!</v>
      </c>
      <c r="U45" s="63" t="e">
        <f>+#REF!</f>
        <v>#REF!</v>
      </c>
      <c r="V45" s="63" t="e">
        <f>+U45-$G45</f>
        <v>#REF!</v>
      </c>
      <c r="W45" s="175" t="e">
        <f t="shared" si="31"/>
        <v>#REF!</v>
      </c>
      <c r="X45" s="63" t="e">
        <f>+#REF!</f>
        <v>#REF!</v>
      </c>
      <c r="Y45" s="63" t="e">
        <f>+X45-$G45</f>
        <v>#REF!</v>
      </c>
      <c r="Z45" s="175" t="e">
        <f t="shared" si="32"/>
        <v>#REF!</v>
      </c>
    </row>
    <row r="46" spans="1:26">
      <c r="A46" s="12" t="s">
        <v>45</v>
      </c>
      <c r="B46" s="1"/>
      <c r="C46" s="1"/>
      <c r="D46" s="1"/>
      <c r="E46" s="63">
        <v>9873</v>
      </c>
      <c r="F46" s="63">
        <v>11479</v>
      </c>
      <c r="G46" s="63">
        <v>12606</v>
      </c>
      <c r="H46" s="63">
        <v>12226.5594</v>
      </c>
      <c r="I46" s="63">
        <f>+'[1]REVISED FY 2012 CS '!N44</f>
        <v>12704</v>
      </c>
      <c r="J46" s="63">
        <f>+[1]Component!W44</f>
        <v>14784</v>
      </c>
      <c r="K46" s="63">
        <f>+'[1]Component Re-submission'!W44</f>
        <v>12690</v>
      </c>
      <c r="L46" s="63">
        <f>+'[1]DOJ Pass'!$W44</f>
        <v>14199</v>
      </c>
      <c r="M46" s="63">
        <f>+L46-$G46</f>
        <v>1593</v>
      </c>
      <c r="N46" s="83">
        <f t="shared" si="23"/>
        <v>0.12636839600190386</v>
      </c>
      <c r="O46" s="63">
        <f>+'[1]DOJ Comp Appeal'!$W44</f>
        <v>14199</v>
      </c>
      <c r="P46" s="63">
        <f>+O46-$G46</f>
        <v>1593</v>
      </c>
      <c r="Q46" s="83">
        <f t="shared" si="24"/>
        <v>0.12636839600190386</v>
      </c>
      <c r="R46" s="63" t="e">
        <f>+#REF!</f>
        <v>#REF!</v>
      </c>
      <c r="S46" s="63" t="e">
        <f>+R46-$G46</f>
        <v>#REF!</v>
      </c>
      <c r="T46" s="175" t="e">
        <f t="shared" si="25"/>
        <v>#REF!</v>
      </c>
      <c r="U46" s="63" t="e">
        <f>+#REF!</f>
        <v>#REF!</v>
      </c>
      <c r="V46" s="63" t="e">
        <f>+U46-$G46</f>
        <v>#REF!</v>
      </c>
      <c r="W46" s="175" t="e">
        <f t="shared" si="31"/>
        <v>#REF!</v>
      </c>
      <c r="X46" s="63" t="e">
        <f>+#REF!</f>
        <v>#REF!</v>
      </c>
      <c r="Y46" s="63" t="e">
        <f>+X46-$G46</f>
        <v>#REF!</v>
      </c>
      <c r="Z46" s="175" t="e">
        <f t="shared" si="32"/>
        <v>#REF!</v>
      </c>
    </row>
    <row r="47" spans="1:26">
      <c r="A47" s="12" t="s">
        <v>46</v>
      </c>
      <c r="B47" s="1"/>
      <c r="C47" s="1"/>
      <c r="D47" s="1"/>
      <c r="E47" s="63">
        <v>20990</v>
      </c>
      <c r="F47" s="63">
        <v>20990</v>
      </c>
      <c r="G47" s="63">
        <v>20990</v>
      </c>
      <c r="H47" s="63">
        <v>20358.201000000001</v>
      </c>
      <c r="I47" s="63">
        <f>+'[1]REVISED FY 2012 CS '!N45</f>
        <v>20990</v>
      </c>
      <c r="J47" s="63">
        <f>+[1]Component!W45</f>
        <v>20990</v>
      </c>
      <c r="K47" s="63">
        <f>+'[1]Component Re-submission'!W45</f>
        <v>20990</v>
      </c>
      <c r="L47" s="63">
        <f>+'[1]DOJ Pass'!$W45</f>
        <v>20990</v>
      </c>
      <c r="M47" s="63">
        <f>+L47-$G47</f>
        <v>0</v>
      </c>
      <c r="N47" s="83">
        <f t="shared" si="23"/>
        <v>0</v>
      </c>
      <c r="O47" s="63">
        <f>+'[1]DOJ Comp Appeal'!$W45</f>
        <v>20990</v>
      </c>
      <c r="P47" s="63">
        <f>+O47-$G47</f>
        <v>0</v>
      </c>
      <c r="Q47" s="83">
        <f t="shared" si="24"/>
        <v>0</v>
      </c>
      <c r="R47" s="63" t="e">
        <f>+#REF!</f>
        <v>#REF!</v>
      </c>
      <c r="S47" s="63" t="e">
        <f>+R47-$G47</f>
        <v>#REF!</v>
      </c>
      <c r="T47" s="175" t="e">
        <f t="shared" si="25"/>
        <v>#REF!</v>
      </c>
      <c r="U47" s="63" t="e">
        <f>+#REF!</f>
        <v>#REF!</v>
      </c>
      <c r="V47" s="63" t="e">
        <f>+U47-$G47</f>
        <v>#REF!</v>
      </c>
      <c r="W47" s="175" t="e">
        <f t="shared" si="31"/>
        <v>#REF!</v>
      </c>
      <c r="X47" s="63" t="e">
        <f>+#REF!</f>
        <v>#REF!</v>
      </c>
      <c r="Y47" s="63" t="e">
        <f>+X47-$G47</f>
        <v>#REF!</v>
      </c>
      <c r="Z47" s="175" t="e">
        <f t="shared" si="32"/>
        <v>#REF!</v>
      </c>
    </row>
    <row r="48" spans="1:26">
      <c r="A48" s="12" t="s">
        <v>47</v>
      </c>
      <c r="B48" s="1"/>
      <c r="C48" s="1"/>
      <c r="D48" s="1"/>
      <c r="E48" s="63">
        <v>515000</v>
      </c>
      <c r="F48" s="63">
        <v>528569</v>
      </c>
      <c r="G48" s="63">
        <v>579319</v>
      </c>
      <c r="H48" s="63">
        <v>561881.49809999997</v>
      </c>
      <c r="I48" s="63">
        <f>+'[1]REVISED FY 2012 CS '!N46</f>
        <v>618349</v>
      </c>
      <c r="J48" s="63">
        <f>+[1]Component!W46</f>
        <v>598078</v>
      </c>
      <c r="K48" s="63">
        <f>+'[1]Component Re-submission'!W46</f>
        <v>598078</v>
      </c>
      <c r="L48" s="63">
        <f>+'[1]DOJ Pass'!$W46</f>
        <v>601124</v>
      </c>
      <c r="M48" s="63">
        <f>+L48-$G48</f>
        <v>21805</v>
      </c>
      <c r="N48" s="83">
        <f t="shared" si="23"/>
        <v>3.7639020988436425E-2</v>
      </c>
      <c r="O48" s="63">
        <f>+'[1]DOJ Comp Appeal'!$W46</f>
        <v>601382</v>
      </c>
      <c r="P48" s="63">
        <f>+O48-$G48</f>
        <v>22063</v>
      </c>
      <c r="Q48" s="83">
        <f t="shared" si="24"/>
        <v>3.808437147754519E-2</v>
      </c>
      <c r="R48" s="63" t="e">
        <f>+#REF!</f>
        <v>#REF!</v>
      </c>
      <c r="S48" s="63" t="e">
        <f>+R48-$G48</f>
        <v>#REF!</v>
      </c>
      <c r="T48" s="175" t="e">
        <f t="shared" si="25"/>
        <v>#REF!</v>
      </c>
      <c r="U48" s="63" t="e">
        <f>+#REF!</f>
        <v>#REF!</v>
      </c>
      <c r="V48" s="63" t="e">
        <f>+U48-$G48</f>
        <v>#REF!</v>
      </c>
      <c r="W48" s="175" t="e">
        <f t="shared" si="31"/>
        <v>#REF!</v>
      </c>
      <c r="X48" s="63" t="e">
        <f>+#REF!</f>
        <v>#REF!</v>
      </c>
      <c r="Y48" s="63" t="e">
        <f>+X48-$G48</f>
        <v>#REF!</v>
      </c>
      <c r="Z48" s="175" t="e">
        <f t="shared" si="32"/>
        <v>#REF!</v>
      </c>
    </row>
    <row r="49" spans="1:26">
      <c r="A49" s="14" t="s">
        <v>48</v>
      </c>
      <c r="B49" s="15"/>
      <c r="C49" s="15"/>
      <c r="D49" s="15"/>
      <c r="E49" s="23">
        <f>SUM(E50:E53)</f>
        <v>7218591</v>
      </c>
      <c r="F49" s="23">
        <f>SUM(F50:F53)</f>
        <v>7848537</v>
      </c>
      <c r="G49" s="23">
        <f>SUM(G50:G53)</f>
        <v>8165791</v>
      </c>
      <c r="H49" s="23">
        <v>7966629.2222999996</v>
      </c>
      <c r="I49" s="23" t="e">
        <f>SUM(I50:I53)</f>
        <v>#REF!</v>
      </c>
      <c r="J49" s="23" t="e">
        <f>SUM(J50:J53)</f>
        <v>#REF!</v>
      </c>
      <c r="K49" s="23" t="e">
        <f>SUM(K50:K53)</f>
        <v>#REF!</v>
      </c>
      <c r="L49" s="23" t="e">
        <f>SUM(L50:L53)</f>
        <v>#REF!</v>
      </c>
      <c r="M49" s="23" t="e">
        <f>SUM(M50:M53)</f>
        <v>#REF!</v>
      </c>
      <c r="N49" s="87" t="e">
        <f t="shared" si="23"/>
        <v>#REF!</v>
      </c>
      <c r="O49" s="23" t="e">
        <f>SUM(O50:O53)</f>
        <v>#REF!</v>
      </c>
      <c r="P49" s="23" t="e">
        <f>SUM(P50:P53)</f>
        <v>#REF!</v>
      </c>
      <c r="Q49" s="87" t="e">
        <f t="shared" si="24"/>
        <v>#REF!</v>
      </c>
      <c r="R49" s="23" t="e">
        <f>SUM(R50:R53)</f>
        <v>#REF!</v>
      </c>
      <c r="S49" s="23" t="e">
        <f>SUM(S50:S53)</f>
        <v>#REF!</v>
      </c>
      <c r="T49" s="177" t="e">
        <f t="shared" si="25"/>
        <v>#REF!</v>
      </c>
      <c r="U49" s="23" t="e">
        <f>SUM(U50:U53)</f>
        <v>#REF!</v>
      </c>
      <c r="V49" s="23" t="e">
        <f>SUM(V50:V53)</f>
        <v>#REF!</v>
      </c>
      <c r="W49" s="177" t="e">
        <f t="shared" si="31"/>
        <v>#REF!</v>
      </c>
      <c r="X49" s="23" t="e">
        <f>SUM(X50:X53)</f>
        <v>#REF!</v>
      </c>
      <c r="Y49" s="23" t="e">
        <f>SUM(Y50:Y53)</f>
        <v>#REF!</v>
      </c>
      <c r="Z49" s="177" t="e">
        <f t="shared" si="32"/>
        <v>#REF!</v>
      </c>
    </row>
    <row r="50" spans="1:26">
      <c r="A50" s="16" t="s">
        <v>49</v>
      </c>
      <c r="B50" s="1"/>
      <c r="C50" s="1"/>
      <c r="D50" s="1"/>
      <c r="E50" s="63">
        <v>7065100</v>
      </c>
      <c r="F50" s="63">
        <v>7557556</v>
      </c>
      <c r="G50" s="63">
        <v>8083475</v>
      </c>
      <c r="H50" s="63">
        <v>7840162.4024999999</v>
      </c>
      <c r="I50" s="63">
        <f>+'[1]REVISED FY 2012 CS '!N48</f>
        <v>8298843</v>
      </c>
      <c r="J50" s="63">
        <f>+[1]Component!W48</f>
        <v>8417806</v>
      </c>
      <c r="K50" s="63">
        <f>+'[1]Component Re-submission'!W48</f>
        <v>8417806</v>
      </c>
      <c r="L50" s="63">
        <f>+'[1]DOJ Pass'!$W48</f>
        <v>8368272</v>
      </c>
      <c r="M50" s="63">
        <f>+L50-$G50</f>
        <v>284797</v>
      </c>
      <c r="N50" s="83">
        <f t="shared" si="23"/>
        <v>3.5232001088640712E-2</v>
      </c>
      <c r="O50" s="63">
        <f>+'[1]DOJ Comp Appeal'!$W48</f>
        <v>8416437</v>
      </c>
      <c r="P50" s="63">
        <f>+O50-$G50</f>
        <v>332962</v>
      </c>
      <c r="Q50" s="83">
        <f t="shared" si="24"/>
        <v>4.1190453363188481E-2</v>
      </c>
      <c r="R50" s="63" t="e">
        <f>+#REF!</f>
        <v>#REF!</v>
      </c>
      <c r="S50" s="63" t="e">
        <f>+R50-$G50</f>
        <v>#REF!</v>
      </c>
      <c r="T50" s="175" t="e">
        <f t="shared" si="25"/>
        <v>#REF!</v>
      </c>
      <c r="U50" s="63" t="e">
        <f>+#REF!</f>
        <v>#REF!</v>
      </c>
      <c r="V50" s="63" t="e">
        <f>+U50-$G50</f>
        <v>#REF!</v>
      </c>
      <c r="W50" s="175" t="e">
        <f t="shared" si="31"/>
        <v>#REF!</v>
      </c>
      <c r="X50" s="63" t="e">
        <f>+#REF!</f>
        <v>#REF!</v>
      </c>
      <c r="Y50" s="63" t="e">
        <f>+X50-$G50</f>
        <v>#REF!</v>
      </c>
      <c r="Z50" s="175" t="e">
        <f t="shared" si="32"/>
        <v>#REF!</v>
      </c>
    </row>
    <row r="51" spans="1:26">
      <c r="A51" s="16" t="s">
        <v>126</v>
      </c>
      <c r="B51" s="1"/>
      <c r="C51" s="1"/>
      <c r="D51" s="1"/>
      <c r="E51" s="63">
        <v>0</v>
      </c>
      <c r="F51" s="63">
        <v>101066</v>
      </c>
      <c r="G51" s="63">
        <v>0</v>
      </c>
      <c r="H51" s="63"/>
      <c r="I51" s="63" t="e">
        <f>+'[1]REVISED FY 2012 CS '!N49</f>
        <v>#REF!</v>
      </c>
      <c r="J51" s="63" t="e">
        <f>+[1]Component!W49</f>
        <v>#REF!</v>
      </c>
      <c r="K51" s="63" t="e">
        <f>+'[1]Component Re-submission'!W49</f>
        <v>#REF!</v>
      </c>
      <c r="L51" s="63" t="e">
        <f>+'[1]DOJ Pass'!$W49</f>
        <v>#REF!</v>
      </c>
      <c r="M51" s="63" t="e">
        <f>+L51-$G51</f>
        <v>#REF!</v>
      </c>
      <c r="N51" s="83">
        <v>0</v>
      </c>
      <c r="O51" s="63" t="e">
        <f>+'[1]DOJ Comp Appeal'!$W49</f>
        <v>#REF!</v>
      </c>
      <c r="P51" s="63" t="e">
        <f>+O51-$G51</f>
        <v>#REF!</v>
      </c>
      <c r="Q51" s="83">
        <v>0</v>
      </c>
      <c r="R51" s="63" t="e">
        <f>+#REF!</f>
        <v>#REF!</v>
      </c>
      <c r="S51" s="63" t="e">
        <f>+R51-$G51</f>
        <v>#REF!</v>
      </c>
      <c r="T51" s="175">
        <v>0</v>
      </c>
      <c r="U51" s="63" t="e">
        <f>+#REF!</f>
        <v>#REF!</v>
      </c>
      <c r="V51" s="63" t="e">
        <f>+U51-$G51</f>
        <v>#REF!</v>
      </c>
      <c r="W51" s="175">
        <v>0</v>
      </c>
      <c r="X51" s="63" t="e">
        <f>+#REF!</f>
        <v>#REF!</v>
      </c>
      <c r="Y51" s="63" t="e">
        <f>+X51-$G51</f>
        <v>#REF!</v>
      </c>
      <c r="Z51" s="175">
        <v>0</v>
      </c>
    </row>
    <row r="52" spans="1:26">
      <c r="A52" s="16" t="s">
        <v>50</v>
      </c>
      <c r="B52" s="1"/>
      <c r="C52" s="1"/>
      <c r="D52" s="1"/>
      <c r="E52" s="63">
        <v>153491</v>
      </c>
      <c r="F52" s="63">
        <v>239915</v>
      </c>
      <c r="G52" s="63">
        <v>181202</v>
      </c>
      <c r="H52" s="63">
        <v>126466.8198</v>
      </c>
      <c r="I52" s="63">
        <f>+'[1]REVISED FY 2012 CS '!N50</f>
        <v>131921</v>
      </c>
      <c r="J52" s="63">
        <f>+[1]Component!W50</f>
        <v>257647</v>
      </c>
      <c r="K52" s="63">
        <f>+'[1]Component Re-submission'!W50</f>
        <v>257647</v>
      </c>
      <c r="L52" s="63">
        <f>+'[1]DOJ Pass'!$W50</f>
        <v>97775</v>
      </c>
      <c r="M52" s="63">
        <f>+L52-$G52</f>
        <v>-83427</v>
      </c>
      <c r="N52" s="83">
        <f t="shared" ref="N52:N57" si="33">(+L52-$G52)/$G52</f>
        <v>-0.46040882550965223</v>
      </c>
      <c r="O52" s="63">
        <f>+'[1]DOJ Comp Appeal'!$W50</f>
        <v>97775</v>
      </c>
      <c r="P52" s="63">
        <f>+O52-$G52</f>
        <v>-83427</v>
      </c>
      <c r="Q52" s="83">
        <f t="shared" ref="Q52:Q57" si="34">(+O52-$G52)/$G52</f>
        <v>-0.46040882550965223</v>
      </c>
      <c r="R52" s="63" t="e">
        <f>+#REF!</f>
        <v>#REF!</v>
      </c>
      <c r="S52" s="63" t="e">
        <f>+R52-$G52</f>
        <v>#REF!</v>
      </c>
      <c r="T52" s="175" t="e">
        <f t="shared" ref="T52:T57" si="35">(+R52-$G52)/$G52</f>
        <v>#REF!</v>
      </c>
      <c r="U52" s="63" t="e">
        <f>+#REF!</f>
        <v>#REF!</v>
      </c>
      <c r="V52" s="63" t="e">
        <f>+U52-$G52</f>
        <v>#REF!</v>
      </c>
      <c r="W52" s="175" t="e">
        <f t="shared" ref="W52:W57" si="36">(+U52-$G52)/$G52</f>
        <v>#REF!</v>
      </c>
      <c r="X52" s="63" t="e">
        <f>+#REF!</f>
        <v>#REF!</v>
      </c>
      <c r="Y52" s="63" t="e">
        <f>+X52-$G52</f>
        <v>#REF!</v>
      </c>
      <c r="Z52" s="175" t="e">
        <f t="shared" ref="Z52:Z57" si="37">(+X52-$G52)/$G52</f>
        <v>#REF!</v>
      </c>
    </row>
    <row r="53" spans="1:26">
      <c r="A53" s="12" t="s">
        <v>66</v>
      </c>
      <c r="B53" s="1"/>
      <c r="C53" s="1"/>
      <c r="D53" s="1"/>
      <c r="E53" s="63">
        <v>0</v>
      </c>
      <c r="F53" s="63">
        <v>-50000</v>
      </c>
      <c r="G53" s="63">
        <v>-98886</v>
      </c>
      <c r="H53" s="63">
        <v>0</v>
      </c>
      <c r="I53" s="63">
        <f>+'[1]REVISED FY 2012 CS '!N51</f>
        <v>0</v>
      </c>
      <c r="J53" s="63">
        <f>+[1]Component!W51</f>
        <v>0</v>
      </c>
      <c r="K53" s="63">
        <f>+'[1]Component Re-submission'!W51</f>
        <v>0</v>
      </c>
      <c r="L53" s="63">
        <f>+'[1]DOJ Pass'!$W51</f>
        <v>0</v>
      </c>
      <c r="M53" s="63">
        <f>+L53-$G53</f>
        <v>98886</v>
      </c>
      <c r="N53" s="83">
        <f t="shared" si="33"/>
        <v>-1</v>
      </c>
      <c r="O53" s="63">
        <f>+'[1]DOJ Comp Appeal'!$W51</f>
        <v>0</v>
      </c>
      <c r="P53" s="63">
        <f>+O53-$G53</f>
        <v>98886</v>
      </c>
      <c r="Q53" s="83">
        <f t="shared" si="34"/>
        <v>-1</v>
      </c>
      <c r="R53" s="63" t="e">
        <f>+#REF!</f>
        <v>#REF!</v>
      </c>
      <c r="S53" s="63" t="e">
        <f>+R53-$G53</f>
        <v>#REF!</v>
      </c>
      <c r="T53" s="175" t="e">
        <f t="shared" si="35"/>
        <v>#REF!</v>
      </c>
      <c r="U53" s="63" t="e">
        <f>+#REF!</f>
        <v>#REF!</v>
      </c>
      <c r="V53" s="63" t="e">
        <f>+U53-$G53</f>
        <v>#REF!</v>
      </c>
      <c r="W53" s="175" t="e">
        <f t="shared" si="36"/>
        <v>#REF!</v>
      </c>
      <c r="X53" s="63" t="e">
        <f>+#REF!</f>
        <v>#REF!</v>
      </c>
      <c r="Y53" s="63" t="e">
        <f>+X53-$G53</f>
        <v>#REF!</v>
      </c>
      <c r="Z53" s="175" t="e">
        <f t="shared" si="37"/>
        <v>#REF!</v>
      </c>
    </row>
    <row r="54" spans="1:26">
      <c r="A54" s="14" t="s">
        <v>51</v>
      </c>
      <c r="B54" s="15"/>
      <c r="C54" s="15"/>
      <c r="D54" s="15"/>
      <c r="E54" s="25">
        <f>SUM(E55:E56)</f>
        <v>1939084</v>
      </c>
      <c r="F54" s="25">
        <f>SUM(F55:F56)</f>
        <v>2019682</v>
      </c>
      <c r="G54" s="69">
        <f>SUM(G55:G56)</f>
        <v>2130117</v>
      </c>
      <c r="H54" s="69">
        <v>2030059.4783000001</v>
      </c>
      <c r="I54" s="69">
        <f>SUM(I55:I56)</f>
        <v>2162686</v>
      </c>
      <c r="J54" s="69">
        <f>SUM(J55:J56)</f>
        <v>2217029</v>
      </c>
      <c r="K54" s="69">
        <f>SUM(K55:K56)</f>
        <v>2217029</v>
      </c>
      <c r="L54" s="69">
        <f>SUM(L55:L56)</f>
        <v>2155892</v>
      </c>
      <c r="M54" s="69">
        <f>SUM(M55:M56)</f>
        <v>25775</v>
      </c>
      <c r="N54" s="124">
        <f t="shared" si="33"/>
        <v>1.2100274304181414E-2</v>
      </c>
      <c r="O54" s="69">
        <f>SUM(O55:O56)</f>
        <v>2190470</v>
      </c>
      <c r="P54" s="69">
        <f>SUM(P55:P56)</f>
        <v>60353</v>
      </c>
      <c r="Q54" s="124">
        <f t="shared" si="34"/>
        <v>2.8333185454132333E-2</v>
      </c>
      <c r="R54" s="69" t="e">
        <f>SUM(R55:R56)</f>
        <v>#REF!</v>
      </c>
      <c r="S54" s="69" t="e">
        <f>SUM(S55:S56)</f>
        <v>#REF!</v>
      </c>
      <c r="T54" s="179" t="e">
        <f t="shared" si="35"/>
        <v>#REF!</v>
      </c>
      <c r="U54" s="69" t="e">
        <f>SUM(U55:U56)</f>
        <v>#REF!</v>
      </c>
      <c r="V54" s="69" t="e">
        <f>SUM(V55:V56)</f>
        <v>#REF!</v>
      </c>
      <c r="W54" s="179" t="e">
        <f t="shared" si="36"/>
        <v>#REF!</v>
      </c>
      <c r="X54" s="69" t="e">
        <f>SUM(X55:X56)</f>
        <v>#REF!</v>
      </c>
      <c r="Y54" s="69" t="e">
        <f>SUM(Y55:Y56)</f>
        <v>#REF!</v>
      </c>
      <c r="Z54" s="179" t="e">
        <f t="shared" si="37"/>
        <v>#REF!</v>
      </c>
    </row>
    <row r="55" spans="1:26">
      <c r="A55" s="16" t="s">
        <v>49</v>
      </c>
      <c r="B55" s="1"/>
      <c r="C55" s="1"/>
      <c r="D55" s="1"/>
      <c r="E55" s="63">
        <v>1939084</v>
      </c>
      <c r="F55" s="63">
        <v>2019682</v>
      </c>
      <c r="G55" s="24">
        <v>2088176</v>
      </c>
      <c r="H55" s="24">
        <v>2025321.9024</v>
      </c>
      <c r="I55" s="24">
        <f>+'[1]REVISED FY 2012 CS '!N53</f>
        <v>2156686</v>
      </c>
      <c r="J55" s="24">
        <f>+[1]Component!W53</f>
        <v>2211029</v>
      </c>
      <c r="K55" s="24">
        <f>+'[1]Component Re-submission'!W53</f>
        <v>2211029</v>
      </c>
      <c r="L55" s="24">
        <f>+'[1]DOJ Pass'!$W53</f>
        <v>2149892</v>
      </c>
      <c r="M55" s="24">
        <f>+L55-$G55</f>
        <v>61716</v>
      </c>
      <c r="N55" s="84">
        <f t="shared" si="33"/>
        <v>2.9554980039996629E-2</v>
      </c>
      <c r="O55" s="24">
        <f>+'[1]DOJ Comp Appeal'!$W53</f>
        <v>2184470</v>
      </c>
      <c r="P55" s="24">
        <f>+O55-$G55</f>
        <v>96294</v>
      </c>
      <c r="Q55" s="84">
        <f t="shared" si="34"/>
        <v>4.6113929094099351E-2</v>
      </c>
      <c r="R55" s="24" t="e">
        <f>+#REF!</f>
        <v>#REF!</v>
      </c>
      <c r="S55" s="24" t="e">
        <f>+R55-$G55</f>
        <v>#REF!</v>
      </c>
      <c r="T55" s="176" t="e">
        <f t="shared" si="35"/>
        <v>#REF!</v>
      </c>
      <c r="U55" s="24" t="e">
        <f>+#REF!</f>
        <v>#REF!</v>
      </c>
      <c r="V55" s="24" t="e">
        <f>+U55-$G55</f>
        <v>#REF!</v>
      </c>
      <c r="W55" s="176" t="e">
        <f t="shared" si="36"/>
        <v>#REF!</v>
      </c>
      <c r="X55" s="24" t="e">
        <f>+#REF!</f>
        <v>#REF!</v>
      </c>
      <c r="Y55" s="24" t="e">
        <f>+X55-$G55</f>
        <v>#REF!</v>
      </c>
      <c r="Z55" s="176" t="e">
        <f t="shared" si="37"/>
        <v>#REF!</v>
      </c>
    </row>
    <row r="56" spans="1:26">
      <c r="A56" s="16" t="s">
        <v>50</v>
      </c>
      <c r="B56" s="1"/>
      <c r="C56" s="1"/>
      <c r="D56" s="1"/>
      <c r="E56" s="63">
        <v>0</v>
      </c>
      <c r="F56" s="63">
        <v>0</v>
      </c>
      <c r="G56" s="24">
        <v>41941</v>
      </c>
      <c r="H56" s="24">
        <v>4737.5759000000035</v>
      </c>
      <c r="I56" s="24">
        <f>+'[1]REVISED FY 2012 CS '!N54</f>
        <v>6000</v>
      </c>
      <c r="J56" s="24">
        <f>+[1]Component!W54</f>
        <v>6000</v>
      </c>
      <c r="K56" s="24">
        <f>+'[1]Component Re-submission'!W54</f>
        <v>6000</v>
      </c>
      <c r="L56" s="24">
        <f>+'[1]DOJ Pass'!$W54</f>
        <v>6000</v>
      </c>
      <c r="M56" s="24">
        <f>+L56-$G56</f>
        <v>-35941</v>
      </c>
      <c r="N56" s="84">
        <f t="shared" si="33"/>
        <v>-0.85694189456617631</v>
      </c>
      <c r="O56" s="24">
        <f>+'[1]DOJ Comp Appeal'!$W54</f>
        <v>6000</v>
      </c>
      <c r="P56" s="24">
        <f>+O56-$G56</f>
        <v>-35941</v>
      </c>
      <c r="Q56" s="84">
        <f t="shared" si="34"/>
        <v>-0.85694189456617631</v>
      </c>
      <c r="R56" s="24" t="e">
        <f>+#REF!</f>
        <v>#REF!</v>
      </c>
      <c r="S56" s="24" t="e">
        <f>+R56-$G56</f>
        <v>#REF!</v>
      </c>
      <c r="T56" s="176" t="e">
        <f t="shared" si="35"/>
        <v>#REF!</v>
      </c>
      <c r="U56" s="24" t="e">
        <f>+#REF!</f>
        <v>#REF!</v>
      </c>
      <c r="V56" s="24" t="e">
        <f>+U56-$G56</f>
        <v>#REF!</v>
      </c>
      <c r="W56" s="176" t="e">
        <f t="shared" si="36"/>
        <v>#REF!</v>
      </c>
      <c r="X56" s="24" t="e">
        <f>+#REF!</f>
        <v>#REF!</v>
      </c>
      <c r="Y56" s="24" t="e">
        <f>+X56-$G56</f>
        <v>#REF!</v>
      </c>
      <c r="Z56" s="176" t="e">
        <f t="shared" si="37"/>
        <v>#REF!</v>
      </c>
    </row>
    <row r="57" spans="1:26">
      <c r="A57" s="59" t="s">
        <v>52</v>
      </c>
      <c r="B57" s="60"/>
      <c r="C57" s="60"/>
      <c r="D57" s="60"/>
      <c r="E57" s="74">
        <v>1054215</v>
      </c>
      <c r="F57" s="63">
        <v>1114772</v>
      </c>
      <c r="G57" s="63">
        <v>1162986</v>
      </c>
      <c r="H57" s="63">
        <v>1127980.1214000001</v>
      </c>
      <c r="I57" s="63">
        <f>+'[1]REVISED FY 2012 CS '!N55</f>
        <v>1216774</v>
      </c>
      <c r="J57" s="63">
        <f>+[1]Component!W55</f>
        <v>1278540</v>
      </c>
      <c r="K57" s="63">
        <f>+'[1]Component Re-submission'!W55</f>
        <v>1278540</v>
      </c>
      <c r="L57" s="63">
        <f>+'[1]DOJ Pass'!$W55</f>
        <v>1227232</v>
      </c>
      <c r="M57" s="63">
        <f>+L57-$G57</f>
        <v>64246</v>
      </c>
      <c r="N57" s="83">
        <f t="shared" si="33"/>
        <v>5.5242281506398185E-2</v>
      </c>
      <c r="O57" s="63">
        <f>+'[1]DOJ Comp Appeal'!$W55</f>
        <v>1258909</v>
      </c>
      <c r="P57" s="63">
        <f>+O57-$G57</f>
        <v>95923</v>
      </c>
      <c r="Q57" s="83">
        <f t="shared" si="34"/>
        <v>8.2479926671516254E-2</v>
      </c>
      <c r="R57" s="63" t="e">
        <f>+#REF!</f>
        <v>#REF!</v>
      </c>
      <c r="S57" s="63" t="e">
        <f>+R57-$G57</f>
        <v>#REF!</v>
      </c>
      <c r="T57" s="175" t="e">
        <f t="shared" si="35"/>
        <v>#REF!</v>
      </c>
      <c r="U57" s="63" t="e">
        <f>+#REF!</f>
        <v>#REF!</v>
      </c>
      <c r="V57" s="63" t="e">
        <f>+U57-$G57</f>
        <v>#REF!</v>
      </c>
      <c r="W57" s="175" t="e">
        <f t="shared" si="36"/>
        <v>#REF!</v>
      </c>
      <c r="X57" s="63" t="e">
        <f>+#REF!</f>
        <v>#REF!</v>
      </c>
      <c r="Y57" s="63" t="e">
        <f>+X57-$G57</f>
        <v>#REF!</v>
      </c>
      <c r="Z57" s="175" t="e">
        <f t="shared" si="37"/>
        <v>#REF!</v>
      </c>
    </row>
    <row r="58" spans="1:26">
      <c r="A58" s="16" t="s">
        <v>50</v>
      </c>
      <c r="B58" s="60"/>
      <c r="C58" s="60"/>
      <c r="D58" s="60"/>
      <c r="E58" s="74">
        <v>0</v>
      </c>
      <c r="F58" s="63">
        <v>6000</v>
      </c>
      <c r="G58" s="63">
        <v>0</v>
      </c>
      <c r="H58" s="63"/>
      <c r="I58" s="63" t="e">
        <f>+'[1]REVISED FY 2012 CS '!N56</f>
        <v>#REF!</v>
      </c>
      <c r="J58" s="63" t="e">
        <f>+[1]Component!W56</f>
        <v>#REF!</v>
      </c>
      <c r="K58" s="63" t="e">
        <f>+'[1]Component Re-submission'!W56</f>
        <v>#REF!</v>
      </c>
      <c r="L58" s="63" t="e">
        <f>+'[1]DOJ Pass'!$W56</f>
        <v>#REF!</v>
      </c>
      <c r="M58" s="63" t="e">
        <f>+L58-$G58</f>
        <v>#REF!</v>
      </c>
      <c r="N58" s="83">
        <v>0</v>
      </c>
      <c r="O58" s="63" t="e">
        <f>+'[1]DOJ Comp Appeal'!$W56</f>
        <v>#REF!</v>
      </c>
      <c r="P58" s="63" t="e">
        <f>+O58-$G58</f>
        <v>#REF!</v>
      </c>
      <c r="Q58" s="83">
        <v>0</v>
      </c>
      <c r="R58" s="63" t="e">
        <f>+#REF!</f>
        <v>#REF!</v>
      </c>
      <c r="S58" s="63" t="e">
        <f>+R58-$G58</f>
        <v>#REF!</v>
      </c>
      <c r="T58" s="175">
        <v>0</v>
      </c>
      <c r="U58" s="63" t="e">
        <f>+#REF!</f>
        <v>#REF!</v>
      </c>
      <c r="V58" s="63" t="e">
        <f>+U58-$G58</f>
        <v>#REF!</v>
      </c>
      <c r="W58" s="175">
        <v>0</v>
      </c>
      <c r="X58" s="63" t="e">
        <f>+#REF!</f>
        <v>#REF!</v>
      </c>
      <c r="Y58" s="63" t="e">
        <f>+X58-$G58</f>
        <v>#REF!</v>
      </c>
      <c r="Z58" s="175">
        <v>0</v>
      </c>
    </row>
    <row r="59" spans="1:26">
      <c r="A59" s="12" t="s">
        <v>116</v>
      </c>
      <c r="B59" s="1"/>
      <c r="C59" s="1"/>
      <c r="D59" s="1"/>
      <c r="E59" s="63">
        <v>0</v>
      </c>
      <c r="F59" s="63">
        <v>0</v>
      </c>
      <c r="G59" s="63">
        <v>-1028</v>
      </c>
      <c r="H59" s="63">
        <v>0</v>
      </c>
      <c r="I59" s="63">
        <f>+'[1]REVISED FY 2012 CS '!N57</f>
        <v>0</v>
      </c>
      <c r="J59" s="63">
        <f>+[1]Component!W57</f>
        <v>0</v>
      </c>
      <c r="K59" s="63">
        <f>+'[1]Component Re-submission'!W57</f>
        <v>0</v>
      </c>
      <c r="L59" s="63">
        <f>+'[1]DOJ Pass'!$W57</f>
        <v>0</v>
      </c>
      <c r="M59" s="63">
        <f>+L59-$G59</f>
        <v>1028</v>
      </c>
      <c r="N59" s="83">
        <f>(+L59-$G59)/$G59</f>
        <v>-1</v>
      </c>
      <c r="O59" s="63">
        <f>+'[1]DOJ Comp Appeal'!$W57</f>
        <v>0</v>
      </c>
      <c r="P59" s="63">
        <f>+O59-$G59</f>
        <v>1028</v>
      </c>
      <c r="Q59" s="83">
        <f>(+O59-$G59)/$G59</f>
        <v>-1</v>
      </c>
      <c r="R59" s="63" t="e">
        <f>+#REF!</f>
        <v>#REF!</v>
      </c>
      <c r="S59" s="63" t="e">
        <f>+R59-$G59</f>
        <v>#REF!</v>
      </c>
      <c r="T59" s="175" t="e">
        <f>(+R59-$G59)/$G59</f>
        <v>#REF!</v>
      </c>
      <c r="U59" s="63" t="e">
        <f>+#REF!</f>
        <v>#REF!</v>
      </c>
      <c r="V59" s="63" t="e">
        <f>+U59-$G59</f>
        <v>#REF!</v>
      </c>
      <c r="W59" s="175" t="e">
        <f>(+U59-$G59)/$G59</f>
        <v>#REF!</v>
      </c>
      <c r="X59" s="63" t="e">
        <f>+#REF!</f>
        <v>#REF!</v>
      </c>
      <c r="Y59" s="63" t="e">
        <f>+X59-$G59</f>
        <v>#REF!</v>
      </c>
      <c r="Z59" s="175" t="e">
        <f>(+X59-$G59)/$G59</f>
        <v>#REF!</v>
      </c>
    </row>
    <row r="60" spans="1:26">
      <c r="A60" s="14" t="s">
        <v>53</v>
      </c>
      <c r="B60" s="15"/>
      <c r="C60" s="15"/>
      <c r="D60" s="15"/>
      <c r="E60" s="17">
        <f>SUM(E61:E62)</f>
        <v>6171561</v>
      </c>
      <c r="F60" s="17">
        <f>SUM(F61:F62)</f>
        <v>6185386</v>
      </c>
      <c r="G60" s="69">
        <f>SUM(G61:G62)</f>
        <v>6803512</v>
      </c>
      <c r="H60" s="69">
        <v>6431723.2888000002</v>
      </c>
      <c r="I60" s="69">
        <f>SUM(I61:I62)</f>
        <v>6921463</v>
      </c>
      <c r="J60" s="69">
        <f>SUM(J61:J62)</f>
        <v>9115038</v>
      </c>
      <c r="K60" s="69">
        <f>SUM(K61:K62)</f>
        <v>7206804</v>
      </c>
      <c r="L60" s="69">
        <f>SUM(L61:L62)</f>
        <v>7065123</v>
      </c>
      <c r="M60" s="69">
        <f>SUM(M61:M62)</f>
        <v>261611</v>
      </c>
      <c r="N60" s="124">
        <f>(+L60-$G60)/$G60</f>
        <v>3.8452346376400895E-2</v>
      </c>
      <c r="O60" s="69">
        <f>SUM(O61:O62)</f>
        <v>7525283</v>
      </c>
      <c r="P60" s="69">
        <f>SUM(P61:P62)</f>
        <v>721771</v>
      </c>
      <c r="Q60" s="124">
        <f>(+O60-$G60)/$G60</f>
        <v>0.10608800278444427</v>
      </c>
      <c r="R60" s="69" t="e">
        <f>SUM(R61:R62)</f>
        <v>#REF!</v>
      </c>
      <c r="S60" s="69" t="e">
        <f>SUM(S61:S62)</f>
        <v>#REF!</v>
      </c>
      <c r="T60" s="179" t="e">
        <f>(+R60-$G60)/$G60</f>
        <v>#REF!</v>
      </c>
      <c r="U60" s="69" t="e">
        <f>SUM(U61:U62)</f>
        <v>#REF!</v>
      </c>
      <c r="V60" s="69" t="e">
        <f>SUM(V61:V62)</f>
        <v>#REF!</v>
      </c>
      <c r="W60" s="179" t="e">
        <f>(+U60-$G60)/$G60</f>
        <v>#REF!</v>
      </c>
      <c r="X60" s="69" t="e">
        <f>SUM(X61:X62)</f>
        <v>#REF!</v>
      </c>
      <c r="Y60" s="69" t="e">
        <f>SUM(Y61:Y62)</f>
        <v>#REF!</v>
      </c>
      <c r="Z60" s="179" t="e">
        <f>(+X60-$G60)/$G60</f>
        <v>#REF!</v>
      </c>
    </row>
    <row r="61" spans="1:26">
      <c r="A61" s="16" t="s">
        <v>54</v>
      </c>
      <c r="B61" s="1"/>
      <c r="C61" s="1"/>
      <c r="D61" s="1"/>
      <c r="E61" s="63">
        <v>5595754</v>
      </c>
      <c r="F61" s="63">
        <v>6086231</v>
      </c>
      <c r="G61" s="24">
        <v>6533779</v>
      </c>
      <c r="H61" s="24">
        <v>6337112.2521000002</v>
      </c>
      <c r="I61" s="24">
        <f>+'[1]REVISED FY 2012 CS '!N59</f>
        <v>6821364</v>
      </c>
      <c r="J61" s="24">
        <f>+[1]Component!W59</f>
        <v>7328989</v>
      </c>
      <c r="K61" s="24">
        <f>+'[1]Component Re-submission'!W59</f>
        <v>6937024</v>
      </c>
      <c r="L61" s="24">
        <f>+'[1]DOJ Pass'!$W59</f>
        <v>6964884</v>
      </c>
      <c r="M61" s="24">
        <f>+L61-$G61</f>
        <v>431105</v>
      </c>
      <c r="N61" s="84">
        <f>(+L61-$G61)/$G61</f>
        <v>6.5980958339729584E-2</v>
      </c>
      <c r="O61" s="24">
        <f>+'[1]DOJ Comp Appeal'!$W59</f>
        <v>7128068</v>
      </c>
      <c r="P61" s="24">
        <f>+O61-$G61</f>
        <v>594289</v>
      </c>
      <c r="Q61" s="84">
        <f>(+O61-$G61)/$G61</f>
        <v>9.0956397515128684E-2</v>
      </c>
      <c r="R61" s="24" t="e">
        <f>+#REF!</f>
        <v>#REF!</v>
      </c>
      <c r="S61" s="24" t="e">
        <f>+R61-$G61</f>
        <v>#REF!</v>
      </c>
      <c r="T61" s="176" t="e">
        <f>(+R61-$G61)/$G61</f>
        <v>#REF!</v>
      </c>
      <c r="U61" s="24" t="e">
        <f>+#REF!</f>
        <v>#REF!</v>
      </c>
      <c r="V61" s="24" t="e">
        <f>+U61-$G61</f>
        <v>#REF!</v>
      </c>
      <c r="W61" s="176" t="e">
        <f>(+U61-$G61)/$G61</f>
        <v>#REF!</v>
      </c>
      <c r="X61" s="24" t="e">
        <f>+#REF!</f>
        <v>#REF!</v>
      </c>
      <c r="Y61" s="24" t="e">
        <f>+X61-$G61</f>
        <v>#REF!</v>
      </c>
      <c r="Z61" s="176" t="e">
        <f>(+X61-$G61)/$G61</f>
        <v>#REF!</v>
      </c>
    </row>
    <row r="62" spans="1:26">
      <c r="A62" s="16" t="s">
        <v>55</v>
      </c>
      <c r="B62" s="1"/>
      <c r="C62" s="1"/>
      <c r="D62" s="1"/>
      <c r="E62" s="63">
        <v>575807</v>
      </c>
      <c r="F62" s="63">
        <v>99155</v>
      </c>
      <c r="G62" s="24">
        <v>269733</v>
      </c>
      <c r="H62" s="24">
        <v>94611.036699999997</v>
      </c>
      <c r="I62" s="24">
        <f>+'[1]REVISED FY 2012 CS '!N60</f>
        <v>100099</v>
      </c>
      <c r="J62" s="24">
        <f>+[1]Component!W60</f>
        <v>1786049</v>
      </c>
      <c r="K62" s="24">
        <f>+'[1]Component Re-submission'!W60</f>
        <v>269780</v>
      </c>
      <c r="L62" s="24">
        <f>+'[1]DOJ Pass'!$W60</f>
        <v>100239</v>
      </c>
      <c r="M62" s="24">
        <f>+L62-$G62</f>
        <v>-169494</v>
      </c>
      <c r="N62" s="84">
        <f>(+L62-$G62)/$G62</f>
        <v>-0.62837695053997844</v>
      </c>
      <c r="O62" s="24">
        <f>+'[1]DOJ Comp Appeal'!$W60</f>
        <v>397215</v>
      </c>
      <c r="P62" s="24">
        <f>+O62-$G62</f>
        <v>127482</v>
      </c>
      <c r="Q62" s="84">
        <f>(+O62-$G62)/$G62</f>
        <v>0.47262292711681553</v>
      </c>
      <c r="R62" s="24" t="e">
        <f>+#REF!</f>
        <v>#REF!</v>
      </c>
      <c r="S62" s="24" t="e">
        <f>+R62-$G62</f>
        <v>#REF!</v>
      </c>
      <c r="T62" s="176" t="e">
        <f>(+R62-$G62)/$G62</f>
        <v>#REF!</v>
      </c>
      <c r="U62" s="24" t="e">
        <f>+#REF!</f>
        <v>#REF!</v>
      </c>
      <c r="V62" s="24" t="e">
        <f>+U62-$G62</f>
        <v>#REF!</v>
      </c>
      <c r="W62" s="176" t="e">
        <f>(+U62-$G62)/$G62</f>
        <v>#REF!</v>
      </c>
      <c r="X62" s="24" t="e">
        <f>+#REF!</f>
        <v>#REF!</v>
      </c>
      <c r="Y62" s="24" t="e">
        <f>+X62-$G62</f>
        <v>#REF!</v>
      </c>
      <c r="Z62" s="176" t="e">
        <f>(+X62-$G62)/$G62</f>
        <v>#REF!</v>
      </c>
    </row>
    <row r="63" spans="1:26" ht="15.75" thickBot="1">
      <c r="A63" s="12" t="s">
        <v>56</v>
      </c>
      <c r="B63" s="18"/>
      <c r="C63" s="18"/>
      <c r="D63" s="18"/>
      <c r="E63" s="118">
        <v>2328</v>
      </c>
      <c r="F63" s="63">
        <v>2700</v>
      </c>
      <c r="G63" s="63">
        <v>2700</v>
      </c>
      <c r="H63" s="63">
        <v>2618.73</v>
      </c>
      <c r="I63" s="63">
        <f>+'[1]REVISED FY 2012 CS '!N61</f>
        <v>2700</v>
      </c>
      <c r="J63" s="63">
        <f>+[1]Component!W61</f>
        <v>2700</v>
      </c>
      <c r="K63" s="63">
        <f>+'[1]Component Re-submission'!W61</f>
        <v>2700</v>
      </c>
      <c r="L63" s="63">
        <f>+'[1]DOJ Pass'!$W61</f>
        <v>2700</v>
      </c>
      <c r="M63" s="63">
        <f>+L63-$G63</f>
        <v>0</v>
      </c>
      <c r="N63" s="83">
        <f>(+L63-$G63)/$G63</f>
        <v>0</v>
      </c>
      <c r="O63" s="63">
        <f>+'[1]DOJ Comp Appeal'!$W61</f>
        <v>2700</v>
      </c>
      <c r="P63" s="63">
        <f>+O63-$G63</f>
        <v>0</v>
      </c>
      <c r="Q63" s="83">
        <f>(+O63-$G63)/$G63</f>
        <v>0</v>
      </c>
      <c r="R63" s="63" t="e">
        <f>+#REF!</f>
        <v>#REF!</v>
      </c>
      <c r="S63" s="63" t="e">
        <f>+R63-$G63</f>
        <v>#REF!</v>
      </c>
      <c r="T63" s="175" t="e">
        <f>(+R63-$G63)/$G63</f>
        <v>#REF!</v>
      </c>
      <c r="U63" s="63" t="e">
        <f>+#REF!</f>
        <v>#REF!</v>
      </c>
      <c r="V63" s="63" t="e">
        <f>+U63-$G63</f>
        <v>#REF!</v>
      </c>
      <c r="W63" s="175" t="e">
        <f>(+U63-$G63)/$G63</f>
        <v>#REF!</v>
      </c>
      <c r="X63" s="63" t="e">
        <f>+#REF!</f>
        <v>#REF!</v>
      </c>
      <c r="Y63" s="63" t="e">
        <f>+X63-$G63</f>
        <v>#REF!</v>
      </c>
      <c r="Z63" s="175" t="e">
        <f>(+X63-$G63)/$G63</f>
        <v>#REF!</v>
      </c>
    </row>
    <row r="64" spans="1:26" ht="15.75" hidden="1" thickBot="1">
      <c r="A64" s="12" t="s">
        <v>57</v>
      </c>
      <c r="B64" s="1"/>
      <c r="C64" s="1"/>
      <c r="D64" s="1"/>
      <c r="E64" s="63">
        <v>0</v>
      </c>
      <c r="F64" s="63">
        <v>0</v>
      </c>
      <c r="G64" s="63">
        <v>0</v>
      </c>
      <c r="H64" s="63">
        <v>0</v>
      </c>
      <c r="I64" s="63">
        <f>+'[1]REVISED FY 2012 CS '!N62</f>
        <v>0</v>
      </c>
      <c r="J64" s="63">
        <f>+[1]Component!W62</f>
        <v>0</v>
      </c>
      <c r="K64" s="63">
        <f>+'[1]Component Re-submission'!W62</f>
        <v>0</v>
      </c>
      <c r="L64" s="63">
        <f>+'[1]DOJ Pass'!$W62</f>
        <v>0</v>
      </c>
      <c r="M64" s="63">
        <f>+L64-$G64</f>
        <v>0</v>
      </c>
      <c r="N64" s="83">
        <v>0</v>
      </c>
      <c r="O64" s="63">
        <f>+'[1]DOJ Comp Appeal'!$W62</f>
        <v>0</v>
      </c>
      <c r="P64" s="63">
        <f>+O64-$G64</f>
        <v>0</v>
      </c>
      <c r="Q64" s="83">
        <v>0</v>
      </c>
      <c r="R64" s="63" t="e">
        <f>+#REF!</f>
        <v>#REF!</v>
      </c>
      <c r="S64" s="63" t="e">
        <f>+R64-$G64</f>
        <v>#REF!</v>
      </c>
      <c r="T64" s="175">
        <v>0</v>
      </c>
      <c r="U64" s="63" t="e">
        <f>+#REF!</f>
        <v>#REF!</v>
      </c>
      <c r="V64" s="63" t="e">
        <f>+U64-$G64</f>
        <v>#REF!</v>
      </c>
      <c r="W64" s="175">
        <v>0</v>
      </c>
      <c r="X64" s="63" t="e">
        <f>+#REF!</f>
        <v>#REF!</v>
      </c>
      <c r="Y64" s="63" t="e">
        <f>+X64-$G64</f>
        <v>#REF!</v>
      </c>
      <c r="Z64" s="175">
        <v>0</v>
      </c>
    </row>
    <row r="65" spans="1:26" ht="17.25" thickTop="1" thickBot="1">
      <c r="A65" s="19" t="s">
        <v>58</v>
      </c>
      <c r="B65" s="20"/>
      <c r="C65" s="20"/>
      <c r="D65" s="20"/>
      <c r="E65" s="21">
        <f>SUM(E9,E12:E13,,E15,E17,E18,E21:E22,E23,E24,E25,E35,E36,E37,E38,E39,E42,E43,E46:E47,E48:E48,E49,E54,E57,E58,E59,E60,E63,E64)</f>
        <v>22744958</v>
      </c>
      <c r="F65" s="21">
        <f t="shared" ref="F65:M65" si="38">SUM(F9,F12:F13,,F14,F17,F18,F21:F22,F23,F24,F25,F35,F36,F37,F38,F39,F42,F43,F46:F47,F48:F48,F49,F54,F57,F58,F59,F60,F63,F64)</f>
        <v>24148592</v>
      </c>
      <c r="G65" s="21">
        <f t="shared" si="38"/>
        <v>25826025</v>
      </c>
      <c r="H65" s="21">
        <f t="shared" si="38"/>
        <v>24873721.183200002</v>
      </c>
      <c r="I65" s="21" t="e">
        <f t="shared" si="38"/>
        <v>#REF!</v>
      </c>
      <c r="J65" s="21" t="e">
        <f t="shared" si="38"/>
        <v>#REF!</v>
      </c>
      <c r="K65" s="21" t="e">
        <f t="shared" si="38"/>
        <v>#REF!</v>
      </c>
      <c r="L65" s="21" t="e">
        <f t="shared" si="38"/>
        <v>#REF!</v>
      </c>
      <c r="M65" s="21" t="e">
        <f t="shared" si="38"/>
        <v>#REF!</v>
      </c>
      <c r="N65" s="86" t="e">
        <f t="shared" ref="N65:N70" si="39">(+L65-$G65)/$G65</f>
        <v>#REF!</v>
      </c>
      <c r="O65" s="21" t="e">
        <f>SUM(O9,O12:O13,,O14,O17,O18,O21:O22,O23,O24,O25,O35,O36,O37,O38,O39,O42,O43,O46:O47,O48:O48,O49,O54,O57,O58,O59,O60,O63,O64)</f>
        <v>#REF!</v>
      </c>
      <c r="P65" s="21" t="e">
        <f>SUM(P9,P12:P13,,P14,P17,P18,P21:P22,P23,P24,P25,P35,P36,P37,P38,P39,P42,P43,P46:P47,P48:P48,P49,P54,P57,P58,P59,P60,P63,P64)</f>
        <v>#REF!</v>
      </c>
      <c r="Q65" s="86" t="e">
        <f t="shared" ref="Q65:Q70" si="40">(+O65-$G65)/$G65</f>
        <v>#REF!</v>
      </c>
      <c r="R65" s="21" t="e">
        <f>SUM(R9,R12:R13,,R14,R17,R18,R21:R22,R23,R24,R25,R35,R36,R37,R38,R39,R42,R43,R46:R47,R48:R48,R49,R54,R57,R58,R59,R60,R63,R64)</f>
        <v>#REF!</v>
      </c>
      <c r="S65" s="21" t="e">
        <f>SUM(S9,S12:S13,,S14,S17,S18,S21:S22,S23,S24,S25,S35,S36,S37,S38,S39,S42,S43,S46:S47,S48:S48,S49,S54,S57,S58,S59,S60,S63,S64)</f>
        <v>#REF!</v>
      </c>
      <c r="T65" s="180" t="e">
        <f t="shared" ref="T65:T70" si="41">(+R65-$G65)/$G65</f>
        <v>#REF!</v>
      </c>
      <c r="U65" s="21" t="e">
        <f>SUM(U9,U12:U13,,U14,U17,U18,U21:U22,U23,U24,U25,U35,U36,U37,U38,U39,U42,U43,U46:U47,U48:U48,U49,U54,U57,U58,U59,U60,U63,U64)</f>
        <v>#REF!</v>
      </c>
      <c r="V65" s="21" t="e">
        <f>SUM(V9,V12:V13,,V14,V17,V18,V21:V22,V23,V24,V25,V35,V36,V37,V38,V39,V42,V43,V46:V47,V48:V48,V49,V54,V57,V58,V59,V60,V63,V64)</f>
        <v>#REF!</v>
      </c>
      <c r="W65" s="180" t="e">
        <f t="shared" ref="W65:W70" si="42">(+U65-$G65)/$G65</f>
        <v>#REF!</v>
      </c>
      <c r="X65" s="21" t="e">
        <f>SUM(X9,X12:X13,,X14,X17,X18,X21:X22,X23,X24,X25,X35,X36,X37,X38,X39,X42,X43,X46:X47,X48:X48,X49,X54,X57,X58,X59,X60,X63,X64)</f>
        <v>#REF!</v>
      </c>
      <c r="Y65" s="21" t="e">
        <f>SUM(Y9,Y12:Y13,,Y14,Y17,Y18,Y21:Y22,Y23,Y24,Y25,Y35,Y36,Y37,Y38,Y39,Y42,Y43,Y46:Y47,Y48:Y48,Y49,Y54,Y57,Y58,Y59,Y60,Y63,Y64)</f>
        <v>#REF!</v>
      </c>
      <c r="Z65" s="180" t="e">
        <f t="shared" ref="Z65:Z70" si="43">(+X65-$G65)/$G65</f>
        <v>#REF!</v>
      </c>
    </row>
    <row r="66" spans="1:26" ht="16.5" thickTop="1" thickBot="1">
      <c r="A66" s="14" t="s">
        <v>59</v>
      </c>
      <c r="B66" s="15"/>
      <c r="C66" s="15"/>
      <c r="D66" s="15"/>
      <c r="E66" s="75">
        <f>+E67+E81+E85+E89</f>
        <v>2722100</v>
      </c>
      <c r="F66" s="75">
        <f>+F67+F81+F85+F89</f>
        <v>3551959</v>
      </c>
      <c r="G66" s="58">
        <f>+G67+G81+G85+G89</f>
        <v>3364149</v>
      </c>
      <c r="H66" s="58">
        <v>3639085.8950999998</v>
      </c>
      <c r="I66" s="58">
        <f>+I67+I81+I85+I89</f>
        <v>3423723</v>
      </c>
      <c r="J66" s="58">
        <f>+J67+J81+J85+J89</f>
        <v>4048339</v>
      </c>
      <c r="K66" s="58">
        <f>+K67+K81+K85+K89</f>
        <v>3813849</v>
      </c>
      <c r="L66" s="58">
        <f>+L67+L81+L85+L89</f>
        <v>3364149</v>
      </c>
      <c r="M66" s="58">
        <f>+M67+M81+M85+M89</f>
        <v>0</v>
      </c>
      <c r="N66" s="125">
        <f t="shared" si="39"/>
        <v>0</v>
      </c>
      <c r="O66" s="58">
        <f>+O67+O81+O85+O89</f>
        <v>3736949</v>
      </c>
      <c r="P66" s="58">
        <f>+P67+P81+P85+P89</f>
        <v>372800</v>
      </c>
      <c r="Q66" s="125">
        <f t="shared" si="40"/>
        <v>0.1108155435445933</v>
      </c>
      <c r="R66" s="58" t="e">
        <f>+R67+R81+R85+R89</f>
        <v>#REF!</v>
      </c>
      <c r="S66" s="58" t="e">
        <f>+S67+S81+S85+S89</f>
        <v>#REF!</v>
      </c>
      <c r="T66" s="181" t="e">
        <f t="shared" si="41"/>
        <v>#REF!</v>
      </c>
      <c r="U66" s="58" t="e">
        <f>+U67+U81+U85+U89</f>
        <v>#REF!</v>
      </c>
      <c r="V66" s="58" t="e">
        <f>+V67+V81+V85+V89</f>
        <v>#REF!</v>
      </c>
      <c r="W66" s="181" t="e">
        <f t="shared" si="42"/>
        <v>#REF!</v>
      </c>
      <c r="X66" s="58" t="e">
        <f>+X67+X81+X85+X89</f>
        <v>#REF!</v>
      </c>
      <c r="Y66" s="58" t="e">
        <f>+Y67+Y81+Y85+Y89</f>
        <v>#REF!</v>
      </c>
      <c r="Z66" s="181" t="e">
        <f t="shared" si="43"/>
        <v>#REF!</v>
      </c>
    </row>
    <row r="67" spans="1:26" ht="15.75" thickTop="1">
      <c r="A67" s="14" t="s">
        <v>60</v>
      </c>
      <c r="B67" s="15"/>
      <c r="C67" s="15"/>
      <c r="D67" s="15"/>
      <c r="E67" s="75">
        <f>+E68+E71+E72+E75+E78+E79+E80</f>
        <v>1856600</v>
      </c>
      <c r="F67" s="75">
        <f>+F68+F71+F72+F75+F78+F79+F80</f>
        <v>2168463</v>
      </c>
      <c r="G67" s="75">
        <f>+G68+G71+G72+G75+G78+G79+G80</f>
        <v>1966906</v>
      </c>
      <c r="H67" s="75">
        <v>1906437.9294</v>
      </c>
      <c r="I67" s="75">
        <f>+I68+I71+I72+I75+I78+I79+I80</f>
        <v>2008906</v>
      </c>
      <c r="J67" s="75">
        <f>+J68+J71+J72+J75+J78+J79+J80</f>
        <v>2059956</v>
      </c>
      <c r="K67" s="75">
        <f>+K68+K71+K72+K75+K78+K79+K80</f>
        <v>1942856</v>
      </c>
      <c r="L67" s="75">
        <f>+L68+L71+L72+L75+L78+L79+L80</f>
        <v>1931849</v>
      </c>
      <c r="M67" s="75">
        <f>+M68+M71+M72+M75+M78+M79+M80</f>
        <v>-35057</v>
      </c>
      <c r="N67" s="126">
        <f t="shared" si="39"/>
        <v>-1.7823424200241394E-2</v>
      </c>
      <c r="O67" s="75">
        <f>+O68+O71+O72+O75+O78+O79+O80</f>
        <v>1947649</v>
      </c>
      <c r="P67" s="75">
        <f>+P68+P71+P72+P75+P78+P79+P80</f>
        <v>-19257</v>
      </c>
      <c r="Q67" s="126">
        <f t="shared" si="40"/>
        <v>-9.7905034607652826E-3</v>
      </c>
      <c r="R67" s="75" t="e">
        <f>+R68+R71+R72+R75+R78+R79+R80</f>
        <v>#REF!</v>
      </c>
      <c r="S67" s="75" t="e">
        <f>+S68+S71+S72+S75+S78+S79+S80</f>
        <v>#REF!</v>
      </c>
      <c r="T67" s="182" t="e">
        <f t="shared" si="41"/>
        <v>#REF!</v>
      </c>
      <c r="U67" s="75" t="e">
        <f>+U68+U71+U72+U75+U78+U79+U80</f>
        <v>#REF!</v>
      </c>
      <c r="V67" s="75" t="e">
        <f>+V68+V71+V72+V75+V78+V79+V80</f>
        <v>#REF!</v>
      </c>
      <c r="W67" s="182" t="e">
        <f t="shared" si="42"/>
        <v>#REF!</v>
      </c>
      <c r="X67" s="75" t="e">
        <f>+X68+X71+X72+X75+X78+X79+X80</f>
        <v>#REF!</v>
      </c>
      <c r="Y67" s="75" t="e">
        <f>+Y68+Y71+Y72+Y75+Y78+Y79+Y80</f>
        <v>#REF!</v>
      </c>
      <c r="Z67" s="182" t="e">
        <f t="shared" si="43"/>
        <v>#REF!</v>
      </c>
    </row>
    <row r="68" spans="1:26">
      <c r="A68" s="14" t="s">
        <v>61</v>
      </c>
      <c r="B68" s="15"/>
      <c r="C68" s="15"/>
      <c r="D68" s="15"/>
      <c r="E68" s="25">
        <f>+E69+E70</f>
        <v>211704</v>
      </c>
      <c r="F68" s="25">
        <f>+F69+F70</f>
        <v>231000</v>
      </c>
      <c r="G68" s="25">
        <f>+G69+G70</f>
        <v>220300</v>
      </c>
      <c r="H68" s="25">
        <v>213548.57</v>
      </c>
      <c r="I68" s="25">
        <f>+I69+I70</f>
        <v>224300</v>
      </c>
      <c r="J68" s="25">
        <f>+J69+J70</f>
        <v>287850</v>
      </c>
      <c r="K68" s="25">
        <f>+K69+K70</f>
        <v>269850</v>
      </c>
      <c r="L68" s="25">
        <f>+L69+L70</f>
        <v>225000</v>
      </c>
      <c r="M68" s="25">
        <f>+M69+M70</f>
        <v>4700</v>
      </c>
      <c r="N68" s="85">
        <f t="shared" si="39"/>
        <v>2.1334543803903767E-2</v>
      </c>
      <c r="O68" s="25">
        <f>+O69+O70</f>
        <v>231300</v>
      </c>
      <c r="P68" s="25">
        <f>+P69+P70</f>
        <v>11000</v>
      </c>
      <c r="Q68" s="85">
        <f t="shared" si="40"/>
        <v>4.993191103041307E-2</v>
      </c>
      <c r="R68" s="25" t="e">
        <f>+R69+R70</f>
        <v>#REF!</v>
      </c>
      <c r="S68" s="25" t="e">
        <f>+S69+S70</f>
        <v>#REF!</v>
      </c>
      <c r="T68" s="178" t="e">
        <f t="shared" si="41"/>
        <v>#REF!</v>
      </c>
      <c r="U68" s="25" t="e">
        <f>+U69+U70</f>
        <v>#REF!</v>
      </c>
      <c r="V68" s="25" t="e">
        <f>+V69+V70</f>
        <v>#REF!</v>
      </c>
      <c r="W68" s="178" t="e">
        <f t="shared" si="42"/>
        <v>#REF!</v>
      </c>
      <c r="X68" s="25" t="e">
        <f>+X69+X70</f>
        <v>#REF!</v>
      </c>
      <c r="Y68" s="25" t="e">
        <f>+Y69+Y70</f>
        <v>#REF!</v>
      </c>
      <c r="Z68" s="178" t="e">
        <f t="shared" si="43"/>
        <v>#REF!</v>
      </c>
    </row>
    <row r="69" spans="1:26">
      <c r="A69" s="16" t="s">
        <v>62</v>
      </c>
      <c r="B69" s="1"/>
      <c r="C69" s="1"/>
      <c r="D69" s="1"/>
      <c r="E69" s="63">
        <v>220000</v>
      </c>
      <c r="F69" s="63">
        <v>235000</v>
      </c>
      <c r="G69" s="24">
        <v>224300</v>
      </c>
      <c r="H69" s="24">
        <v>217548.57</v>
      </c>
      <c r="I69" s="24">
        <f>+'[1]REVISED FY 2012 CS '!N67</f>
        <v>224300</v>
      </c>
      <c r="J69" s="24">
        <f>+[1]Component!W67</f>
        <v>287850</v>
      </c>
      <c r="K69" s="24">
        <f>+'[1]Component Re-submission'!W67</f>
        <v>269850</v>
      </c>
      <c r="L69" s="24">
        <f>+'[1]DOJ Pass'!$W67</f>
        <v>225000</v>
      </c>
      <c r="M69" s="24">
        <f>+L69-$G69</f>
        <v>700</v>
      </c>
      <c r="N69" s="84">
        <f t="shared" si="39"/>
        <v>3.120820329915292E-3</v>
      </c>
      <c r="O69" s="24">
        <f>+'[1]DOJ Comp Appeal'!$W67</f>
        <v>231300</v>
      </c>
      <c r="P69" s="24">
        <f>+O69-$G69</f>
        <v>7000</v>
      </c>
      <c r="Q69" s="84">
        <f t="shared" si="40"/>
        <v>3.1208203299152922E-2</v>
      </c>
      <c r="R69" s="24" t="e">
        <f>+#REF!</f>
        <v>#REF!</v>
      </c>
      <c r="S69" s="24" t="e">
        <f>+R69-$G69</f>
        <v>#REF!</v>
      </c>
      <c r="T69" s="176" t="e">
        <f t="shared" si="41"/>
        <v>#REF!</v>
      </c>
      <c r="U69" s="24" t="e">
        <f>+#REF!</f>
        <v>#REF!</v>
      </c>
      <c r="V69" s="24" t="e">
        <f>+U69-$G69</f>
        <v>#REF!</v>
      </c>
      <c r="W69" s="176" t="e">
        <f t="shared" si="42"/>
        <v>#REF!</v>
      </c>
      <c r="X69" s="24" t="e">
        <f>+#REF!</f>
        <v>#REF!</v>
      </c>
      <c r="Y69" s="24" t="e">
        <f>+X69-$G69</f>
        <v>#REF!</v>
      </c>
      <c r="Z69" s="176" t="e">
        <f t="shared" si="43"/>
        <v>#REF!</v>
      </c>
    </row>
    <row r="70" spans="1:26">
      <c r="A70" s="12" t="s">
        <v>63</v>
      </c>
      <c r="B70" s="1"/>
      <c r="C70" s="1"/>
      <c r="D70" s="1"/>
      <c r="E70" s="63">
        <v>-8296</v>
      </c>
      <c r="F70" s="63">
        <v>-4000</v>
      </c>
      <c r="G70" s="63">
        <v>-4000</v>
      </c>
      <c r="H70" s="63">
        <v>-4000</v>
      </c>
      <c r="I70" s="63">
        <f>+'[1]REVISED FY 2012 CS '!N68</f>
        <v>0</v>
      </c>
      <c r="J70" s="63">
        <f>+[1]Component!W68</f>
        <v>0</v>
      </c>
      <c r="K70" s="63">
        <f>+'[1]Component Re-submission'!W68</f>
        <v>0</v>
      </c>
      <c r="L70" s="63">
        <f>+'[1]DOJ Pass'!$W68</f>
        <v>0</v>
      </c>
      <c r="M70" s="63">
        <f>+L70-$G70</f>
        <v>4000</v>
      </c>
      <c r="N70" s="83">
        <f t="shared" si="39"/>
        <v>-1</v>
      </c>
      <c r="O70" s="63">
        <f>+'[1]DOJ Comp Appeal'!$W68</f>
        <v>0</v>
      </c>
      <c r="P70" s="63">
        <f>+O70-$G70</f>
        <v>4000</v>
      </c>
      <c r="Q70" s="83">
        <f t="shared" si="40"/>
        <v>-1</v>
      </c>
      <c r="R70" s="63" t="e">
        <f>+#REF!</f>
        <v>#REF!</v>
      </c>
      <c r="S70" s="63" t="e">
        <f>+R70-$G70</f>
        <v>#REF!</v>
      </c>
      <c r="T70" s="175" t="e">
        <f t="shared" si="41"/>
        <v>#REF!</v>
      </c>
      <c r="U70" s="63" t="e">
        <f>+#REF!</f>
        <v>#REF!</v>
      </c>
      <c r="V70" s="63" t="e">
        <f>+U70-$G70</f>
        <v>#REF!</v>
      </c>
      <c r="W70" s="175" t="e">
        <f t="shared" si="42"/>
        <v>#REF!</v>
      </c>
      <c r="X70" s="63" t="e">
        <f>+#REF!</f>
        <v>#REF!</v>
      </c>
      <c r="Y70" s="63" t="e">
        <f>+X70-$G70</f>
        <v>#REF!</v>
      </c>
      <c r="Z70" s="175" t="e">
        <f t="shared" si="43"/>
        <v>#REF!</v>
      </c>
    </row>
    <row r="71" spans="1:26">
      <c r="A71" s="12" t="s">
        <v>236</v>
      </c>
      <c r="B71" s="1"/>
      <c r="C71" s="1"/>
      <c r="D71" s="1"/>
      <c r="E71" s="63">
        <v>0</v>
      </c>
      <c r="F71" s="63">
        <v>0</v>
      </c>
      <c r="G71" s="63">
        <v>0</v>
      </c>
      <c r="H71" s="63">
        <v>0</v>
      </c>
      <c r="I71" s="63">
        <f>+'[1]REVISED FY 2012 CS '!N69</f>
        <v>0</v>
      </c>
      <c r="J71" s="63">
        <f>+[1]Component!W69</f>
        <v>0</v>
      </c>
      <c r="K71" s="63">
        <f>+'[1]Component Re-submission'!W69</f>
        <v>0</v>
      </c>
      <c r="L71" s="63">
        <f>+'[1]DOJ Pass'!$W69</f>
        <v>0</v>
      </c>
      <c r="M71" s="63">
        <f>+L71-$G71</f>
        <v>0</v>
      </c>
      <c r="N71" s="83">
        <v>0</v>
      </c>
      <c r="O71" s="63">
        <f>+'[1]DOJ Comp Appeal'!$W69</f>
        <v>0</v>
      </c>
      <c r="P71" s="63">
        <f>+O71-$G71</f>
        <v>0</v>
      </c>
      <c r="Q71" s="83">
        <v>0</v>
      </c>
      <c r="R71" s="63" t="e">
        <f>+#REF!</f>
        <v>#REF!</v>
      </c>
      <c r="S71" s="63" t="e">
        <f>+R71-$G71</f>
        <v>#REF!</v>
      </c>
      <c r="T71" s="175">
        <v>0</v>
      </c>
      <c r="U71" s="63" t="e">
        <f>+#REF!</f>
        <v>#REF!</v>
      </c>
      <c r="V71" s="63" t="e">
        <f>+U71-$G71</f>
        <v>#REF!</v>
      </c>
      <c r="W71" s="175">
        <v>0</v>
      </c>
      <c r="X71" s="63" t="e">
        <f>+#REF!</f>
        <v>#REF!</v>
      </c>
      <c r="Y71" s="63" t="e">
        <f>+X71-$G71</f>
        <v>#REF!</v>
      </c>
      <c r="Z71" s="175">
        <v>0</v>
      </c>
    </row>
    <row r="72" spans="1:26">
      <c r="A72" s="22" t="s">
        <v>64</v>
      </c>
      <c r="B72" s="15"/>
      <c r="C72" s="15"/>
      <c r="D72" s="15"/>
      <c r="E72" s="23">
        <f>+E73+E74</f>
        <v>356160</v>
      </c>
      <c r="F72" s="23">
        <f>+F73+F74</f>
        <v>417595</v>
      </c>
      <c r="G72" s="23">
        <f>+G73+G74</f>
        <v>286806</v>
      </c>
      <c r="H72" s="23">
        <v>278082.8394</v>
      </c>
      <c r="I72" s="23">
        <f>+I73+I74</f>
        <v>289806</v>
      </c>
      <c r="J72" s="23">
        <f>+J73+J74</f>
        <v>304306</v>
      </c>
      <c r="K72" s="23">
        <f>+K73+K74</f>
        <v>289306</v>
      </c>
      <c r="L72" s="23">
        <f>+L73+L74</f>
        <v>277306</v>
      </c>
      <c r="M72" s="23">
        <f>+M73+M74</f>
        <v>-9500</v>
      </c>
      <c r="N72" s="87">
        <f t="shared" ref="N72:N77" si="44">(+L72-$G72)/$G72</f>
        <v>-3.3123435353514225E-2</v>
      </c>
      <c r="O72" s="23">
        <f>+O73+O74</f>
        <v>282306</v>
      </c>
      <c r="P72" s="23">
        <f>+P73+P74</f>
        <v>-4500</v>
      </c>
      <c r="Q72" s="87">
        <f t="shared" ref="Q72:Q77" si="45">(+O72-$G72)/$G72</f>
        <v>-1.5690048325348843E-2</v>
      </c>
      <c r="R72" s="23" t="e">
        <f>+R73+R74</f>
        <v>#REF!</v>
      </c>
      <c r="S72" s="23" t="e">
        <f>+S73+S74</f>
        <v>#REF!</v>
      </c>
      <c r="T72" s="177" t="e">
        <f t="shared" ref="T72:T77" si="46">(+R72-$G72)/$G72</f>
        <v>#REF!</v>
      </c>
      <c r="U72" s="23" t="e">
        <f>+U73+U74</f>
        <v>#REF!</v>
      </c>
      <c r="V72" s="23" t="e">
        <f>+V73+V74</f>
        <v>#REF!</v>
      </c>
      <c r="W72" s="177" t="e">
        <f t="shared" ref="W72:W77" si="47">(+U72-$G72)/$G72</f>
        <v>#REF!</v>
      </c>
      <c r="X72" s="23" t="e">
        <f>+X73+X74</f>
        <v>#REF!</v>
      </c>
      <c r="Y72" s="23" t="e">
        <f>+Y73+Y74</f>
        <v>#REF!</v>
      </c>
      <c r="Z72" s="177" t="e">
        <f t="shared" ref="Z72:Z77" si="48">(+X72-$G72)/$G72</f>
        <v>#REF!</v>
      </c>
    </row>
    <row r="73" spans="1:26">
      <c r="A73" s="16" t="s">
        <v>65</v>
      </c>
      <c r="B73" s="1"/>
      <c r="C73" s="1"/>
      <c r="D73" s="1"/>
      <c r="E73" s="63">
        <v>374000</v>
      </c>
      <c r="F73" s="63">
        <v>423595</v>
      </c>
      <c r="G73" s="63">
        <v>289806</v>
      </c>
      <c r="H73" s="63">
        <v>281082.8394</v>
      </c>
      <c r="I73" s="63">
        <f>+'[1]REVISED FY 2012 CS '!N71</f>
        <v>289806</v>
      </c>
      <c r="J73" s="63">
        <f>+[1]Component!W71</f>
        <v>304306</v>
      </c>
      <c r="K73" s="63">
        <f>+'[1]Component Re-submission'!W71</f>
        <v>289306</v>
      </c>
      <c r="L73" s="63">
        <f>+'[1]DOJ Pass'!$W71</f>
        <v>277306</v>
      </c>
      <c r="M73" s="63">
        <f>+L73-$G73</f>
        <v>-12500</v>
      </c>
      <c r="N73" s="83">
        <f t="shared" si="44"/>
        <v>-4.3132302298779186E-2</v>
      </c>
      <c r="O73" s="63">
        <f>+'[1]DOJ Comp Appeal'!$W71</f>
        <v>282306</v>
      </c>
      <c r="P73" s="63">
        <f>+O73-$G73</f>
        <v>-7500</v>
      </c>
      <c r="Q73" s="83">
        <f t="shared" si="45"/>
        <v>-2.587938137926751E-2</v>
      </c>
      <c r="R73" s="63" t="e">
        <f>+#REF!</f>
        <v>#REF!</v>
      </c>
      <c r="S73" s="63" t="e">
        <f>+R73-$G73</f>
        <v>#REF!</v>
      </c>
      <c r="T73" s="175" t="e">
        <f t="shared" si="46"/>
        <v>#REF!</v>
      </c>
      <c r="U73" s="63" t="e">
        <f>+#REF!</f>
        <v>#REF!</v>
      </c>
      <c r="V73" s="63" t="e">
        <f>+U73-$G73</f>
        <v>#REF!</v>
      </c>
      <c r="W73" s="175" t="e">
        <f t="shared" si="47"/>
        <v>#REF!</v>
      </c>
      <c r="X73" s="63" t="e">
        <f>+#REF!</f>
        <v>#REF!</v>
      </c>
      <c r="Y73" s="63" t="e">
        <f>+X73-$G73</f>
        <v>#REF!</v>
      </c>
      <c r="Z73" s="175" t="e">
        <f t="shared" si="48"/>
        <v>#REF!</v>
      </c>
    </row>
    <row r="74" spans="1:26">
      <c r="A74" s="12" t="s">
        <v>66</v>
      </c>
      <c r="B74" s="1"/>
      <c r="C74" s="1"/>
      <c r="D74" s="1"/>
      <c r="E74" s="63">
        <v>-17840</v>
      </c>
      <c r="F74" s="63">
        <v>-6000</v>
      </c>
      <c r="G74" s="63">
        <v>-3000</v>
      </c>
      <c r="H74" s="63">
        <v>-3000</v>
      </c>
      <c r="I74" s="63">
        <f>+'[1]REVISED FY 2012 CS '!N72</f>
        <v>0</v>
      </c>
      <c r="J74" s="63">
        <f>+[1]Component!W72</f>
        <v>0</v>
      </c>
      <c r="K74" s="63">
        <f>+'[1]Component Re-submission'!W72</f>
        <v>0</v>
      </c>
      <c r="L74" s="63">
        <f>+'[1]DOJ Pass'!$W72</f>
        <v>0</v>
      </c>
      <c r="M74" s="63">
        <f>+L74-$G74</f>
        <v>3000</v>
      </c>
      <c r="N74" s="83">
        <f t="shared" si="44"/>
        <v>-1</v>
      </c>
      <c r="O74" s="63">
        <f>+'[1]DOJ Comp Appeal'!$W72</f>
        <v>0</v>
      </c>
      <c r="P74" s="63">
        <f>+O74-$G74</f>
        <v>3000</v>
      </c>
      <c r="Q74" s="83">
        <f t="shared" si="45"/>
        <v>-1</v>
      </c>
      <c r="R74" s="63" t="e">
        <f>+#REF!</f>
        <v>#REF!</v>
      </c>
      <c r="S74" s="63" t="e">
        <f>+R74-$G74</f>
        <v>#REF!</v>
      </c>
      <c r="T74" s="175" t="e">
        <f t="shared" si="46"/>
        <v>#REF!</v>
      </c>
      <c r="U74" s="63" t="e">
        <f>+#REF!</f>
        <v>#REF!</v>
      </c>
      <c r="V74" s="63" t="e">
        <f>+U74-$G74</f>
        <v>#REF!</v>
      </c>
      <c r="W74" s="175" t="e">
        <f t="shared" si="47"/>
        <v>#REF!</v>
      </c>
      <c r="X74" s="63" t="e">
        <f>+#REF!</f>
        <v>#REF!</v>
      </c>
      <c r="Y74" s="63" t="e">
        <f>+X74-$G74</f>
        <v>#REF!</v>
      </c>
      <c r="Z74" s="175" t="e">
        <f t="shared" si="48"/>
        <v>#REF!</v>
      </c>
    </row>
    <row r="75" spans="1:26">
      <c r="A75" s="22" t="s">
        <v>67</v>
      </c>
      <c r="B75" s="15"/>
      <c r="C75" s="15"/>
      <c r="D75" s="15"/>
      <c r="E75" s="23">
        <f>+E76+E77</f>
        <v>1255146</v>
      </c>
      <c r="F75" s="23">
        <f>+F76+F77</f>
        <v>1490768</v>
      </c>
      <c r="G75" s="25">
        <f>+G76+G77</f>
        <v>1443500</v>
      </c>
      <c r="H75" s="25">
        <v>1398997.15</v>
      </c>
      <c r="I75" s="25">
        <f>+I76+I77</f>
        <v>1478500</v>
      </c>
      <c r="J75" s="25">
        <f>+J76+J77</f>
        <v>1451500</v>
      </c>
      <c r="K75" s="25">
        <f>+K76+K77</f>
        <v>1367400</v>
      </c>
      <c r="L75" s="25">
        <f>+L76+L77</f>
        <v>1424500</v>
      </c>
      <c r="M75" s="25">
        <f>+M76+M77</f>
        <v>-19000</v>
      </c>
      <c r="N75" s="85">
        <f t="shared" si="44"/>
        <v>-1.3162452372705231E-2</v>
      </c>
      <c r="O75" s="25">
        <f>+O76+O77</f>
        <v>1429000</v>
      </c>
      <c r="P75" s="25">
        <f>+P76+P77</f>
        <v>-14500</v>
      </c>
      <c r="Q75" s="85">
        <f t="shared" si="45"/>
        <v>-1.0045029442327675E-2</v>
      </c>
      <c r="R75" s="25" t="e">
        <f>+R76+R77</f>
        <v>#REF!</v>
      </c>
      <c r="S75" s="25" t="e">
        <f>+S76+S77</f>
        <v>#REF!</v>
      </c>
      <c r="T75" s="178" t="e">
        <f t="shared" si="46"/>
        <v>#REF!</v>
      </c>
      <c r="U75" s="25" t="e">
        <f>+U76+U77</f>
        <v>#REF!</v>
      </c>
      <c r="V75" s="25" t="e">
        <f>+V76+V77</f>
        <v>#REF!</v>
      </c>
      <c r="W75" s="178" t="e">
        <f t="shared" si="47"/>
        <v>#REF!</v>
      </c>
      <c r="X75" s="25" t="e">
        <f>+X76+X77</f>
        <v>#REF!</v>
      </c>
      <c r="Y75" s="25" t="e">
        <f>+Y76+Y77</f>
        <v>#REF!</v>
      </c>
      <c r="Z75" s="178" t="e">
        <f t="shared" si="48"/>
        <v>#REF!</v>
      </c>
    </row>
    <row r="76" spans="1:26">
      <c r="A76" s="16" t="s">
        <v>68</v>
      </c>
      <c r="B76" s="1"/>
      <c r="C76" s="1"/>
      <c r="D76" s="1"/>
      <c r="E76" s="63">
        <v>1328500</v>
      </c>
      <c r="F76" s="63">
        <v>1534768</v>
      </c>
      <c r="G76" s="63">
        <v>1478500</v>
      </c>
      <c r="H76" s="63">
        <v>1433997.15</v>
      </c>
      <c r="I76" s="63">
        <f>+'[1]REVISED FY 2012 CS '!N74</f>
        <v>1478500</v>
      </c>
      <c r="J76" s="63">
        <f>+[1]Component!W74</f>
        <v>1451500</v>
      </c>
      <c r="K76" s="63">
        <f>+'[1]Component Re-submission'!W74</f>
        <v>1367400</v>
      </c>
      <c r="L76" s="63">
        <f>+'[1]DOJ Pass'!$W74</f>
        <v>1424500</v>
      </c>
      <c r="M76" s="63">
        <f>+L76-$G76</f>
        <v>-54000</v>
      </c>
      <c r="N76" s="83">
        <f t="shared" si="44"/>
        <v>-3.6523503550896182E-2</v>
      </c>
      <c r="O76" s="63">
        <f>+'[1]DOJ Comp Appeal'!$W74</f>
        <v>1429000</v>
      </c>
      <c r="P76" s="63">
        <f>+O76-$G76</f>
        <v>-49500</v>
      </c>
      <c r="Q76" s="83">
        <f t="shared" si="45"/>
        <v>-3.3479878254988167E-2</v>
      </c>
      <c r="R76" s="63" t="e">
        <f>+#REF!</f>
        <v>#REF!</v>
      </c>
      <c r="S76" s="63" t="e">
        <f>+R76-$G76</f>
        <v>#REF!</v>
      </c>
      <c r="T76" s="175" t="e">
        <f t="shared" si="46"/>
        <v>#REF!</v>
      </c>
      <c r="U76" s="63" t="e">
        <f>+#REF!</f>
        <v>#REF!</v>
      </c>
      <c r="V76" s="63" t="e">
        <f>+U76-$G76</f>
        <v>#REF!</v>
      </c>
      <c r="W76" s="175" t="e">
        <f t="shared" si="47"/>
        <v>#REF!</v>
      </c>
      <c r="X76" s="63" t="e">
        <f>+#REF!</f>
        <v>#REF!</v>
      </c>
      <c r="Y76" s="63" t="e">
        <f>+X76-$G76</f>
        <v>#REF!</v>
      </c>
      <c r="Z76" s="175" t="e">
        <f t="shared" si="48"/>
        <v>#REF!</v>
      </c>
    </row>
    <row r="77" spans="1:26">
      <c r="A77" s="12" t="s">
        <v>66</v>
      </c>
      <c r="B77" s="1"/>
      <c r="C77" s="1"/>
      <c r="D77" s="1"/>
      <c r="E77" s="63">
        <v>-73354</v>
      </c>
      <c r="F77" s="63">
        <v>-44000</v>
      </c>
      <c r="G77" s="63">
        <v>-35000</v>
      </c>
      <c r="H77" s="63">
        <v>-35000</v>
      </c>
      <c r="I77" s="63">
        <f>+'[1]REVISED FY 2012 CS '!N75</f>
        <v>0</v>
      </c>
      <c r="J77" s="63">
        <f>+[1]Component!W75</f>
        <v>0</v>
      </c>
      <c r="K77" s="63">
        <f>+'[1]Component Re-submission'!W75</f>
        <v>0</v>
      </c>
      <c r="L77" s="63">
        <f>+'[1]DOJ Pass'!$W75</f>
        <v>0</v>
      </c>
      <c r="M77" s="63">
        <f>+L77-$G77</f>
        <v>35000</v>
      </c>
      <c r="N77" s="83">
        <f t="shared" si="44"/>
        <v>-1</v>
      </c>
      <c r="O77" s="63">
        <f>+'[1]DOJ Comp Appeal'!$W75</f>
        <v>0</v>
      </c>
      <c r="P77" s="63">
        <f>+O77-$G77</f>
        <v>35000</v>
      </c>
      <c r="Q77" s="83">
        <f t="shared" si="45"/>
        <v>-1</v>
      </c>
      <c r="R77" s="63" t="e">
        <f>+#REF!</f>
        <v>#REF!</v>
      </c>
      <c r="S77" s="63" t="e">
        <f>+R77-$G77</f>
        <v>#REF!</v>
      </c>
      <c r="T77" s="175" t="e">
        <f t="shared" si="46"/>
        <v>#REF!</v>
      </c>
      <c r="U77" s="63" t="e">
        <f>+#REF!</f>
        <v>#REF!</v>
      </c>
      <c r="V77" s="63" t="e">
        <f>+U77-$G77</f>
        <v>#REF!</v>
      </c>
      <c r="W77" s="175" t="e">
        <f t="shared" si="47"/>
        <v>#REF!</v>
      </c>
      <c r="X77" s="63" t="e">
        <f>+#REF!</f>
        <v>#REF!</v>
      </c>
      <c r="Y77" s="63" t="e">
        <f>+X77-$G77</f>
        <v>#REF!</v>
      </c>
      <c r="Z77" s="175" t="e">
        <f t="shared" si="48"/>
        <v>#REF!</v>
      </c>
    </row>
    <row r="78" spans="1:26">
      <c r="A78" s="16" t="s">
        <v>69</v>
      </c>
      <c r="B78" s="1"/>
      <c r="C78" s="1"/>
      <c r="D78" s="1"/>
      <c r="E78" s="63">
        <v>24490</v>
      </c>
      <c r="F78" s="63">
        <v>20000</v>
      </c>
      <c r="G78" s="63">
        <v>0</v>
      </c>
      <c r="H78" s="63">
        <v>0</v>
      </c>
      <c r="I78" s="63">
        <f>+'[1]REVISED FY 2012 CS '!N76</f>
        <v>0</v>
      </c>
      <c r="J78" s="63">
        <f>+[1]Component!W76</f>
        <v>0</v>
      </c>
      <c r="K78" s="63">
        <f>+'[1]Component Re-submission'!W76</f>
        <v>0</v>
      </c>
      <c r="L78" s="63">
        <f>+'[1]DOJ Pass'!$W76</f>
        <v>0</v>
      </c>
      <c r="M78" s="63">
        <f>+L78-$G78</f>
        <v>0</v>
      </c>
      <c r="N78" s="83">
        <v>0</v>
      </c>
      <c r="O78" s="63">
        <f>+'[1]DOJ Comp Appeal'!$W76</f>
        <v>0</v>
      </c>
      <c r="P78" s="63">
        <f>+O78-$G78</f>
        <v>0</v>
      </c>
      <c r="Q78" s="83">
        <v>0</v>
      </c>
      <c r="R78" s="63" t="e">
        <f>+#REF!</f>
        <v>#REF!</v>
      </c>
      <c r="S78" s="63" t="e">
        <f>+R78-$G78</f>
        <v>#REF!</v>
      </c>
      <c r="T78" s="175">
        <v>0</v>
      </c>
      <c r="U78" s="63" t="e">
        <f>+#REF!</f>
        <v>#REF!</v>
      </c>
      <c r="V78" s="63" t="e">
        <f>+U78-$G78</f>
        <v>#REF!</v>
      </c>
      <c r="W78" s="175">
        <v>0</v>
      </c>
      <c r="X78" s="63" t="e">
        <f>+#REF!</f>
        <v>#REF!</v>
      </c>
      <c r="Y78" s="63" t="e">
        <f>+X78-$G78</f>
        <v>#REF!</v>
      </c>
      <c r="Z78" s="175">
        <v>0</v>
      </c>
    </row>
    <row r="79" spans="1:26">
      <c r="A79" s="12" t="s">
        <v>70</v>
      </c>
      <c r="B79" s="1"/>
      <c r="C79" s="1"/>
      <c r="D79" s="1"/>
      <c r="E79" s="63">
        <v>9100</v>
      </c>
      <c r="F79" s="63">
        <v>9100</v>
      </c>
      <c r="G79" s="63">
        <v>16300</v>
      </c>
      <c r="H79" s="63">
        <v>15809.37</v>
      </c>
      <c r="I79" s="63">
        <f>+'[1]REVISED FY 2012 CS '!N77</f>
        <v>16300</v>
      </c>
      <c r="J79" s="63">
        <f>+[1]Component!W77</f>
        <v>16300</v>
      </c>
      <c r="K79" s="63">
        <f>+'[1]Component Re-submission'!W77</f>
        <v>16300</v>
      </c>
      <c r="L79" s="63">
        <f>+'[1]DOJ Pass'!$W77</f>
        <v>16300</v>
      </c>
      <c r="M79" s="63">
        <f>+L79-$G79</f>
        <v>0</v>
      </c>
      <c r="N79" s="83">
        <f>(+L79-$G79)/$G79</f>
        <v>0</v>
      </c>
      <c r="O79" s="63">
        <f>+'[1]DOJ Comp Appeal'!$W77</f>
        <v>16300</v>
      </c>
      <c r="P79" s="63">
        <f>+O79-$G79</f>
        <v>0</v>
      </c>
      <c r="Q79" s="83">
        <f>(+O79-$G79)/$G79</f>
        <v>0</v>
      </c>
      <c r="R79" s="63" t="e">
        <f>+#REF!</f>
        <v>#REF!</v>
      </c>
      <c r="S79" s="63" t="e">
        <f>+R79-$G79</f>
        <v>#REF!</v>
      </c>
      <c r="T79" s="175" t="e">
        <f>(+R79-$G79)/$G79</f>
        <v>#REF!</v>
      </c>
      <c r="U79" s="63" t="e">
        <f>+#REF!</f>
        <v>#REF!</v>
      </c>
      <c r="V79" s="63" t="e">
        <f>+U79-$G79</f>
        <v>#REF!</v>
      </c>
      <c r="W79" s="175" t="e">
        <f>(+U79-$G79)/$G79</f>
        <v>#REF!</v>
      </c>
      <c r="X79" s="63" t="e">
        <f>+#REF!</f>
        <v>#REF!</v>
      </c>
      <c r="Y79" s="63" t="e">
        <f>+X79-$G79</f>
        <v>#REF!</v>
      </c>
      <c r="Z79" s="175" t="e">
        <f>(+X79-$G79)/$G79</f>
        <v>#REF!</v>
      </c>
    </row>
    <row r="80" spans="1:26">
      <c r="A80" s="12" t="s">
        <v>71</v>
      </c>
      <c r="B80" s="1"/>
      <c r="C80" s="1"/>
      <c r="D80" s="1"/>
      <c r="E80" s="63">
        <v>0</v>
      </c>
      <c r="F80" s="63">
        <v>0</v>
      </c>
      <c r="G80" s="63">
        <v>0</v>
      </c>
      <c r="H80" s="63">
        <v>0</v>
      </c>
      <c r="I80" s="63">
        <f>+'[1]REVISED FY 2012 CS '!N78</f>
        <v>0</v>
      </c>
      <c r="J80" s="63">
        <f>+[1]Component!W78</f>
        <v>0</v>
      </c>
      <c r="K80" s="63">
        <f>+'[1]Component Re-submission'!W78</f>
        <v>0</v>
      </c>
      <c r="L80" s="63">
        <f>+'[1]DOJ Pass'!$W78</f>
        <v>-11257</v>
      </c>
      <c r="M80" s="63">
        <f>+L80-$G80</f>
        <v>-11257</v>
      </c>
      <c r="N80" s="83">
        <v>0</v>
      </c>
      <c r="O80" s="63">
        <f>+'[1]DOJ Comp Appeal'!$W78</f>
        <v>-11257</v>
      </c>
      <c r="P80" s="63">
        <f>+O80-$G80</f>
        <v>-11257</v>
      </c>
      <c r="Q80" s="83">
        <v>0</v>
      </c>
      <c r="R80" s="63" t="e">
        <f>+#REF!</f>
        <v>#REF!</v>
      </c>
      <c r="S80" s="63" t="e">
        <f>+R80-$G80</f>
        <v>#REF!</v>
      </c>
      <c r="T80" s="175">
        <v>0</v>
      </c>
      <c r="U80" s="63" t="e">
        <f>+#REF!</f>
        <v>#REF!</v>
      </c>
      <c r="V80" s="63" t="e">
        <f>+U80-$G80</f>
        <v>#REF!</v>
      </c>
      <c r="W80" s="175">
        <v>0</v>
      </c>
      <c r="X80" s="63" t="e">
        <f>+#REF!</f>
        <v>#REF!</v>
      </c>
      <c r="Y80" s="63" t="e">
        <f>+X80-$G80</f>
        <v>#REF!</v>
      </c>
      <c r="Z80" s="175">
        <v>0</v>
      </c>
    </row>
    <row r="81" spans="1:26">
      <c r="A81" s="22" t="s">
        <v>72</v>
      </c>
      <c r="B81" s="15"/>
      <c r="C81" s="15"/>
      <c r="D81" s="15"/>
      <c r="E81" s="23">
        <f>E82+E83+E84</f>
        <v>450500</v>
      </c>
      <c r="F81" s="23">
        <f>F82+F83+F84</f>
        <v>751608</v>
      </c>
      <c r="G81" s="23">
        <f>G82+G83+G84</f>
        <v>679800</v>
      </c>
      <c r="H81" s="23">
        <v>1036800</v>
      </c>
      <c r="I81" s="23">
        <f>I82+I83+I84</f>
        <v>690000</v>
      </c>
      <c r="J81" s="23">
        <f>J82+J83+J84</f>
        <v>1047000</v>
      </c>
      <c r="K81" s="23">
        <f>K82+K83+K84</f>
        <v>1047000</v>
      </c>
      <c r="L81" s="23">
        <f>L82+L83+L84</f>
        <v>690000</v>
      </c>
      <c r="M81" s="23">
        <f>M82+M83+M84</f>
        <v>10200</v>
      </c>
      <c r="N81" s="87">
        <f>(+L81-$G81)/$G81</f>
        <v>1.500441306266549E-2</v>
      </c>
      <c r="O81" s="23">
        <f>O82+O83+O84</f>
        <v>1047000</v>
      </c>
      <c r="P81" s="23">
        <f>P82+P83+P84</f>
        <v>367200</v>
      </c>
      <c r="Q81" s="87">
        <f>(+O81-$G81)/$G81</f>
        <v>0.54015887025595766</v>
      </c>
      <c r="R81" s="23" t="e">
        <f>R82+R83+R84</f>
        <v>#REF!</v>
      </c>
      <c r="S81" s="23" t="e">
        <f>S82+S83+S84</f>
        <v>#REF!</v>
      </c>
      <c r="T81" s="177" t="e">
        <f>(+R81-$G81)/$G81</f>
        <v>#REF!</v>
      </c>
      <c r="U81" s="23" t="e">
        <f>U82+U83+U84</f>
        <v>#REF!</v>
      </c>
      <c r="V81" s="23" t="e">
        <f>V82+V83+V84</f>
        <v>#REF!</v>
      </c>
      <c r="W81" s="177" t="e">
        <f>(+U81-$G81)/$G81</f>
        <v>#REF!</v>
      </c>
      <c r="X81" s="23" t="e">
        <f>X82+X83+X84</f>
        <v>#REF!</v>
      </c>
      <c r="Y81" s="23" t="e">
        <f>Y82+Y83+Y84</f>
        <v>#REF!</v>
      </c>
      <c r="Z81" s="177" t="e">
        <f>(+X81-$G81)/$G81</f>
        <v>#REF!</v>
      </c>
    </row>
    <row r="82" spans="1:26">
      <c r="A82" s="16" t="s">
        <v>73</v>
      </c>
      <c r="B82" s="1"/>
      <c r="C82" s="1"/>
      <c r="D82" s="1"/>
      <c r="E82" s="63">
        <v>550500</v>
      </c>
      <c r="F82" s="63">
        <v>791608</v>
      </c>
      <c r="G82" s="63">
        <v>690000</v>
      </c>
      <c r="H82" s="63">
        <v>1047000</v>
      </c>
      <c r="I82" s="63">
        <f>+'[1]REVISED FY 2012 CS '!N80</f>
        <v>690000</v>
      </c>
      <c r="J82" s="63">
        <f>+[1]Component!W80</f>
        <v>1047000</v>
      </c>
      <c r="K82" s="63">
        <f>+'[1]Component Re-submission'!W80</f>
        <v>1047000</v>
      </c>
      <c r="L82" s="63">
        <f>+'[1]DOJ Pass'!$W80</f>
        <v>690000</v>
      </c>
      <c r="M82" s="63">
        <f>+L82-$G82</f>
        <v>0</v>
      </c>
      <c r="N82" s="83">
        <f>(+L82-$G82)/$G82</f>
        <v>0</v>
      </c>
      <c r="O82" s="63">
        <f>+'[1]DOJ Comp Appeal'!$W80</f>
        <v>1047000</v>
      </c>
      <c r="P82" s="63">
        <f>+O82-$G82</f>
        <v>357000</v>
      </c>
      <c r="Q82" s="83">
        <f>(+O82-$G82)/$G82</f>
        <v>0.5173913043478261</v>
      </c>
      <c r="R82" s="63" t="e">
        <f>+#REF!</f>
        <v>#REF!</v>
      </c>
      <c r="S82" s="63" t="e">
        <f>+R82-$G82</f>
        <v>#REF!</v>
      </c>
      <c r="T82" s="175" t="e">
        <f>(+R82-$G82)/$G82</f>
        <v>#REF!</v>
      </c>
      <c r="U82" s="63" t="e">
        <f>+#REF!</f>
        <v>#REF!</v>
      </c>
      <c r="V82" s="63" t="e">
        <f>+U82-$G82</f>
        <v>#REF!</v>
      </c>
      <c r="W82" s="175" t="e">
        <f>(+U82-$G82)/$G82</f>
        <v>#REF!</v>
      </c>
      <c r="X82" s="63" t="e">
        <f>+#REF!</f>
        <v>#REF!</v>
      </c>
      <c r="Y82" s="63" t="e">
        <f>+X82-$G82</f>
        <v>#REF!</v>
      </c>
      <c r="Z82" s="175" t="e">
        <f>(+X82-$G82)/$G82</f>
        <v>#REF!</v>
      </c>
    </row>
    <row r="83" spans="1:26">
      <c r="A83" s="12" t="s">
        <v>237</v>
      </c>
      <c r="B83" s="1"/>
      <c r="C83" s="1"/>
      <c r="D83" s="1"/>
      <c r="E83" s="63">
        <v>0</v>
      </c>
      <c r="F83" s="63">
        <v>0</v>
      </c>
      <c r="G83" s="63">
        <v>0</v>
      </c>
      <c r="H83" s="63">
        <v>0</v>
      </c>
      <c r="I83" s="63">
        <f>+'[1]REVISED FY 2012 CS '!N81</f>
        <v>0</v>
      </c>
      <c r="J83" s="63">
        <f>+[1]Component!W81</f>
        <v>0</v>
      </c>
      <c r="K83" s="63">
        <f>+'[1]Component Re-submission'!W81</f>
        <v>0</v>
      </c>
      <c r="L83" s="63">
        <f>+'[1]DOJ Pass'!$W81</f>
        <v>0</v>
      </c>
      <c r="M83" s="63">
        <f>+L83-$G83</f>
        <v>0</v>
      </c>
      <c r="N83" s="83">
        <v>0</v>
      </c>
      <c r="O83" s="63">
        <f>+'[1]DOJ Comp Appeal'!$W81</f>
        <v>0</v>
      </c>
      <c r="P83" s="63">
        <f>+O83-$G83</f>
        <v>0</v>
      </c>
      <c r="Q83" s="83">
        <v>0</v>
      </c>
      <c r="R83" s="63" t="e">
        <f>+#REF!</f>
        <v>#REF!</v>
      </c>
      <c r="S83" s="63" t="e">
        <f>+R83-$G83</f>
        <v>#REF!</v>
      </c>
      <c r="T83" s="175">
        <v>0</v>
      </c>
      <c r="U83" s="63" t="e">
        <f>+#REF!</f>
        <v>#REF!</v>
      </c>
      <c r="V83" s="63" t="e">
        <f>+U83-$G83</f>
        <v>#REF!</v>
      </c>
      <c r="W83" s="175">
        <v>0</v>
      </c>
      <c r="X83" s="63" t="e">
        <f>+#REF!</f>
        <v>#REF!</v>
      </c>
      <c r="Y83" s="63" t="e">
        <f>+X83-$G83</f>
        <v>#REF!</v>
      </c>
      <c r="Z83" s="175">
        <v>0</v>
      </c>
    </row>
    <row r="84" spans="1:26">
      <c r="A84" s="12" t="s">
        <v>74</v>
      </c>
      <c r="B84" s="1"/>
      <c r="C84" s="1"/>
      <c r="D84" s="1"/>
      <c r="E84" s="63">
        <v>-100000</v>
      </c>
      <c r="F84" s="63">
        <v>-40000</v>
      </c>
      <c r="G84" s="63">
        <v>-10200</v>
      </c>
      <c r="H84" s="63">
        <v>-10200</v>
      </c>
      <c r="I84" s="63">
        <f>+'[1]REVISED FY 2012 CS '!N82</f>
        <v>0</v>
      </c>
      <c r="J84" s="63">
        <f>+[1]Component!W82</f>
        <v>0</v>
      </c>
      <c r="K84" s="63">
        <f>+'[1]Component Re-submission'!W82</f>
        <v>0</v>
      </c>
      <c r="L84" s="63">
        <f>+'[1]DOJ Pass'!$W82</f>
        <v>0</v>
      </c>
      <c r="M84" s="63">
        <f>+L84-$G84</f>
        <v>10200</v>
      </c>
      <c r="N84" s="83">
        <f>(+L84-$G84)/$G84</f>
        <v>-1</v>
      </c>
      <c r="O84" s="63">
        <f>+'[1]DOJ Comp Appeal'!$W82</f>
        <v>0</v>
      </c>
      <c r="P84" s="63">
        <f>+O84-$G84</f>
        <v>10200</v>
      </c>
      <c r="Q84" s="83">
        <f>(+O84-$G84)/$G84</f>
        <v>-1</v>
      </c>
      <c r="R84" s="63" t="e">
        <f>+#REF!</f>
        <v>#REF!</v>
      </c>
      <c r="S84" s="63" t="e">
        <f>+R84-$G84</f>
        <v>#REF!</v>
      </c>
      <c r="T84" s="175" t="e">
        <f>(+R84-$G84)/$G84</f>
        <v>#REF!</v>
      </c>
      <c r="U84" s="63" t="e">
        <f>+#REF!</f>
        <v>#REF!</v>
      </c>
      <c r="V84" s="63" t="e">
        <f>+U84-$G84</f>
        <v>#REF!</v>
      </c>
      <c r="W84" s="175" t="e">
        <f>(+U84-$G84)/$G84</f>
        <v>#REF!</v>
      </c>
      <c r="X84" s="63" t="e">
        <f>+#REF!</f>
        <v>#REF!</v>
      </c>
      <c r="Y84" s="63" t="e">
        <f>+X84-$G84</f>
        <v>#REF!</v>
      </c>
      <c r="Z84" s="175" t="e">
        <f>(+X84-$G84)/$G84</f>
        <v>#REF!</v>
      </c>
    </row>
    <row r="85" spans="1:26">
      <c r="A85" s="14" t="s">
        <v>75</v>
      </c>
      <c r="B85" s="15"/>
      <c r="C85" s="15"/>
      <c r="D85" s="15"/>
      <c r="E85" s="25">
        <f>SUM(E86:E88)</f>
        <v>415000</v>
      </c>
      <c r="F85" s="25">
        <f>SUM(F86:F88)</f>
        <v>418500</v>
      </c>
      <c r="G85" s="25">
        <f>SUM(G86:G88)</f>
        <v>438000</v>
      </c>
      <c r="H85" s="25">
        <v>424816.2</v>
      </c>
      <c r="I85" s="25">
        <f>SUM(I86:I88)</f>
        <v>438000</v>
      </c>
      <c r="J85" s="25">
        <f>SUM(J86:J88)</f>
        <v>548500</v>
      </c>
      <c r="K85" s="25">
        <f>SUM(K86:K88)</f>
        <v>436989</v>
      </c>
      <c r="L85" s="25">
        <f>SUM(L86:L88)</f>
        <v>447000</v>
      </c>
      <c r="M85" s="25">
        <f>SUM(M86:M88)</f>
        <v>9000</v>
      </c>
      <c r="N85" s="85">
        <f>(+L85-$G85)/$G85</f>
        <v>2.0547945205479451E-2</v>
      </c>
      <c r="O85" s="25">
        <f>SUM(O86:O88)</f>
        <v>447000</v>
      </c>
      <c r="P85" s="25">
        <f>SUM(P86:P88)</f>
        <v>9000</v>
      </c>
      <c r="Q85" s="85">
        <f>(+O85-$G85)/$G85</f>
        <v>2.0547945205479451E-2</v>
      </c>
      <c r="R85" s="25" t="e">
        <f>SUM(R86:R88)</f>
        <v>#REF!</v>
      </c>
      <c r="S85" s="25" t="e">
        <f>SUM(S86:S88)</f>
        <v>#REF!</v>
      </c>
      <c r="T85" s="178" t="e">
        <f>(+R85-$G85)/$G85</f>
        <v>#REF!</v>
      </c>
      <c r="U85" s="25" t="e">
        <f>SUM(U86:U88)</f>
        <v>#REF!</v>
      </c>
      <c r="V85" s="25" t="e">
        <f>SUM(V86:V88)</f>
        <v>#REF!</v>
      </c>
      <c r="W85" s="178" t="e">
        <f>(+U85-$G85)/$G85</f>
        <v>#REF!</v>
      </c>
      <c r="X85" s="25" t="e">
        <f>SUM(X86:X88)</f>
        <v>#REF!</v>
      </c>
      <c r="Y85" s="25" t="e">
        <f>SUM(Y86:Y88)</f>
        <v>#REF!</v>
      </c>
      <c r="Z85" s="178" t="e">
        <f>(+X85-$G85)/$G85</f>
        <v>#REF!</v>
      </c>
    </row>
    <row r="86" spans="1:26">
      <c r="A86" s="12" t="s">
        <v>76</v>
      </c>
      <c r="B86" s="1"/>
      <c r="C86" s="1"/>
      <c r="D86" s="1"/>
      <c r="E86" s="63">
        <v>415000</v>
      </c>
      <c r="F86" s="63">
        <v>418500</v>
      </c>
      <c r="G86" s="63">
        <v>438000</v>
      </c>
      <c r="H86" s="63">
        <v>424816.2</v>
      </c>
      <c r="I86" s="63">
        <f>+'[1]REVISED FY 2012 CS '!N84</f>
        <v>438000</v>
      </c>
      <c r="J86" s="63">
        <f>+[1]Component!W84</f>
        <v>548500</v>
      </c>
      <c r="K86" s="63">
        <f>+'[1]Component Re-submission'!W84</f>
        <v>436989</v>
      </c>
      <c r="L86" s="63">
        <f>+'[1]DOJ Pass'!$W84</f>
        <v>447000</v>
      </c>
      <c r="M86" s="63">
        <f>+L86-$G86</f>
        <v>9000</v>
      </c>
      <c r="N86" s="83">
        <f>(+L86-$G86)/$G86</f>
        <v>2.0547945205479451E-2</v>
      </c>
      <c r="O86" s="63">
        <f>+'[1]DOJ Comp Appeal'!$W84</f>
        <v>447000</v>
      </c>
      <c r="P86" s="63">
        <f>+O86-$G86</f>
        <v>9000</v>
      </c>
      <c r="Q86" s="83">
        <f>(+O86-$G86)/$G86</f>
        <v>2.0547945205479451E-2</v>
      </c>
      <c r="R86" s="63" t="e">
        <f>+#REF!</f>
        <v>#REF!</v>
      </c>
      <c r="S86" s="63" t="e">
        <f>+R86-$G86</f>
        <v>#REF!</v>
      </c>
      <c r="T86" s="175" t="e">
        <f>(+R86-$G86)/$G86</f>
        <v>#REF!</v>
      </c>
      <c r="U86" s="63" t="e">
        <f>+#REF!</f>
        <v>#REF!</v>
      </c>
      <c r="V86" s="63" t="e">
        <f>+U86-$G86</f>
        <v>#REF!</v>
      </c>
      <c r="W86" s="175" t="e">
        <f>(+U86-$G86)/$G86</f>
        <v>#REF!</v>
      </c>
      <c r="X86" s="63" t="e">
        <f>+#REF!</f>
        <v>#REF!</v>
      </c>
      <c r="Y86" s="63" t="e">
        <f>+X86-$G86</f>
        <v>#REF!</v>
      </c>
      <c r="Z86" s="175" t="e">
        <f>(+X86-$G86)/$G86</f>
        <v>#REF!</v>
      </c>
    </row>
    <row r="87" spans="1:26">
      <c r="A87" s="12" t="s">
        <v>238</v>
      </c>
      <c r="B87" s="1"/>
      <c r="C87" s="1"/>
      <c r="D87" s="1"/>
      <c r="E87" s="63">
        <v>0</v>
      </c>
      <c r="F87" s="63">
        <v>0</v>
      </c>
      <c r="G87" s="63">
        <v>0</v>
      </c>
      <c r="H87" s="63">
        <v>0</v>
      </c>
      <c r="I87" s="63">
        <f>+'[1]REVISED FY 2012 CS '!N85</f>
        <v>0</v>
      </c>
      <c r="J87" s="63">
        <f>+[1]Component!W85</f>
        <v>0</v>
      </c>
      <c r="K87" s="63">
        <f>+'[1]Component Re-submission'!W85</f>
        <v>0</v>
      </c>
      <c r="L87" s="63">
        <f>+'[1]DOJ Pass'!$W85</f>
        <v>0</v>
      </c>
      <c r="M87" s="63">
        <f>+L87-$G87</f>
        <v>0</v>
      </c>
      <c r="N87" s="83">
        <v>0</v>
      </c>
      <c r="O87" s="63">
        <f>+'[1]DOJ Comp Appeal'!$W85</f>
        <v>0</v>
      </c>
      <c r="P87" s="63">
        <f>+O87-$G87</f>
        <v>0</v>
      </c>
      <c r="Q87" s="83">
        <v>0</v>
      </c>
      <c r="R87" s="63" t="e">
        <f>+#REF!</f>
        <v>#REF!</v>
      </c>
      <c r="S87" s="63" t="e">
        <f>+R87-$G87</f>
        <v>#REF!</v>
      </c>
      <c r="T87" s="175">
        <v>0</v>
      </c>
      <c r="U87" s="63" t="e">
        <f>+#REF!</f>
        <v>#REF!</v>
      </c>
      <c r="V87" s="63" t="e">
        <f>+U87-$G87</f>
        <v>#REF!</v>
      </c>
      <c r="W87" s="175">
        <v>0</v>
      </c>
      <c r="X87" s="63" t="e">
        <f>+#REF!</f>
        <v>#REF!</v>
      </c>
      <c r="Y87" s="63" t="e">
        <f>+X87-$G87</f>
        <v>#REF!</v>
      </c>
      <c r="Z87" s="175">
        <v>0</v>
      </c>
    </row>
    <row r="88" spans="1:26" hidden="1">
      <c r="A88" s="12" t="s">
        <v>66</v>
      </c>
      <c r="B88" s="1"/>
      <c r="C88" s="1"/>
      <c r="D88" s="1"/>
      <c r="E88" s="63">
        <v>0</v>
      </c>
      <c r="F88" s="63">
        <v>0</v>
      </c>
      <c r="G88" s="63">
        <v>0</v>
      </c>
      <c r="H88" s="63">
        <v>0</v>
      </c>
      <c r="I88" s="63">
        <f>+'[1]REVISED FY 2012 CS '!N86</f>
        <v>0</v>
      </c>
      <c r="J88" s="63">
        <f>+[1]Component!W86</f>
        <v>0</v>
      </c>
      <c r="K88" s="63">
        <f>+'[1]Component Re-submission'!W86</f>
        <v>0</v>
      </c>
      <c r="L88" s="63">
        <f>+'[1]DOJ Pass'!$W86</f>
        <v>0</v>
      </c>
      <c r="M88" s="63">
        <f>+L88-$G88</f>
        <v>0</v>
      </c>
      <c r="N88" s="83">
        <v>0</v>
      </c>
      <c r="O88" s="63">
        <f>+'[1]DOJ Comp Appeal'!$W86</f>
        <v>0</v>
      </c>
      <c r="P88" s="63">
        <f>+O88-$G88</f>
        <v>0</v>
      </c>
      <c r="Q88" s="83">
        <v>0</v>
      </c>
      <c r="R88" s="63">
        <v>0</v>
      </c>
      <c r="S88" s="63">
        <f>+R88-$G88</f>
        <v>0</v>
      </c>
      <c r="T88" s="175">
        <v>0</v>
      </c>
      <c r="U88" s="63">
        <v>0</v>
      </c>
      <c r="V88" s="63">
        <f>+U88-$G88</f>
        <v>0</v>
      </c>
      <c r="W88" s="175">
        <v>0</v>
      </c>
      <c r="X88" s="63">
        <v>0</v>
      </c>
      <c r="Y88" s="63">
        <f>+X88-$G88</f>
        <v>0</v>
      </c>
      <c r="Z88" s="175">
        <v>0</v>
      </c>
    </row>
    <row r="89" spans="1:26">
      <c r="A89" s="14" t="s">
        <v>98</v>
      </c>
      <c r="B89" s="15"/>
      <c r="C89" s="15"/>
      <c r="D89" s="15"/>
      <c r="E89" s="23">
        <f>SUM(E90:E92)</f>
        <v>0</v>
      </c>
      <c r="F89" s="23">
        <f>SUM(F90:F92)</f>
        <v>213388</v>
      </c>
      <c r="G89" s="23">
        <f>SUM(G90:G92)</f>
        <v>279443</v>
      </c>
      <c r="H89" s="23">
        <v>271031.76569999999</v>
      </c>
      <c r="I89" s="23">
        <f>SUM(I90:I92)</f>
        <v>286817</v>
      </c>
      <c r="J89" s="23">
        <f>SUM(J90:J92)</f>
        <v>392883</v>
      </c>
      <c r="K89" s="23">
        <f>SUM(K90:K92)</f>
        <v>387004</v>
      </c>
      <c r="L89" s="23">
        <f>SUM(L90:L92)</f>
        <v>295300</v>
      </c>
      <c r="M89" s="23">
        <f>SUM(M90:M92)</f>
        <v>15857</v>
      </c>
      <c r="N89" s="87">
        <f>(+L89-$G89)/$G89</f>
        <v>5.6745024924582117E-2</v>
      </c>
      <c r="O89" s="23">
        <f>SUM(O90:O92)</f>
        <v>295300</v>
      </c>
      <c r="P89" s="23">
        <f>SUM(P90:P92)</f>
        <v>15857</v>
      </c>
      <c r="Q89" s="87">
        <f>(+O89-$G89)/$G89</f>
        <v>5.6745024924582117E-2</v>
      </c>
      <c r="R89" s="23" t="e">
        <f>SUM(R90:R92)</f>
        <v>#REF!</v>
      </c>
      <c r="S89" s="23" t="e">
        <f>SUM(S90:S92)</f>
        <v>#REF!</v>
      </c>
      <c r="T89" s="177" t="e">
        <f>(+R89-$G89)/$G89</f>
        <v>#REF!</v>
      </c>
      <c r="U89" s="23" t="e">
        <f>SUM(U90:U92)</f>
        <v>#REF!</v>
      </c>
      <c r="V89" s="23" t="e">
        <f>SUM(V90:V92)</f>
        <v>#REF!</v>
      </c>
      <c r="W89" s="177" t="e">
        <f>(+U89-$G89)/$G89</f>
        <v>#REF!</v>
      </c>
      <c r="X89" s="23" t="e">
        <f>SUM(X90:X92)</f>
        <v>#REF!</v>
      </c>
      <c r="Y89" s="23" t="e">
        <f>SUM(Y90:Y92)</f>
        <v>#REF!</v>
      </c>
      <c r="Z89" s="177" t="e">
        <f>(+X89-$G89)/$G89</f>
        <v>#REF!</v>
      </c>
    </row>
    <row r="90" spans="1:26">
      <c r="A90" s="16" t="s">
        <v>99</v>
      </c>
      <c r="B90" s="1"/>
      <c r="C90" s="1"/>
      <c r="D90" s="1"/>
      <c r="E90" s="63">
        <v>0</v>
      </c>
      <c r="F90" s="63">
        <f>139218+21000</f>
        <v>160218</v>
      </c>
      <c r="G90" s="63">
        <v>216396</v>
      </c>
      <c r="H90" s="63">
        <v>209882.4804</v>
      </c>
      <c r="I90" s="63">
        <f>+'[1]REVISED FY 2012 CS '!N88</f>
        <v>219100</v>
      </c>
      <c r="J90" s="63">
        <f>+[1]Component!W88</f>
        <v>318276</v>
      </c>
      <c r="K90" s="63">
        <f>+'[1]Component Re-submission'!W88</f>
        <v>318276</v>
      </c>
      <c r="L90" s="63">
        <f>+'[1]DOJ Pass'!$W88</f>
        <v>227292</v>
      </c>
      <c r="M90" s="63">
        <f>+L90-$G90</f>
        <v>10896</v>
      </c>
      <c r="N90" s="83">
        <f>(+L90-$G90)/$G90</f>
        <v>5.0352132202073976E-2</v>
      </c>
      <c r="O90" s="63">
        <f>+'[1]DOJ Comp Appeal'!$W88</f>
        <v>227292</v>
      </c>
      <c r="P90" s="63">
        <f>+O90-$G90</f>
        <v>10896</v>
      </c>
      <c r="Q90" s="83">
        <f>(+O90-$G90)/$G90</f>
        <v>5.0352132202073976E-2</v>
      </c>
      <c r="R90" s="63" t="e">
        <f>+#REF!</f>
        <v>#REF!</v>
      </c>
      <c r="S90" s="63" t="e">
        <f>+R90-$G90</f>
        <v>#REF!</v>
      </c>
      <c r="T90" s="175" t="e">
        <f>(+R90-$G90)/$G90</f>
        <v>#REF!</v>
      </c>
      <c r="U90" s="63" t="e">
        <f>+#REF!</f>
        <v>#REF!</v>
      </c>
      <c r="V90" s="63" t="e">
        <f>+U90-$G90</f>
        <v>#REF!</v>
      </c>
      <c r="W90" s="175" t="e">
        <f>(+U90-$G90)/$G90</f>
        <v>#REF!</v>
      </c>
      <c r="X90" s="63" t="e">
        <f>+#REF!</f>
        <v>#REF!</v>
      </c>
      <c r="Y90" s="63" t="e">
        <f>+X90-$G90</f>
        <v>#REF!</v>
      </c>
      <c r="Z90" s="175" t="e">
        <f>(+X90-$G90)/$G90</f>
        <v>#REF!</v>
      </c>
    </row>
    <row r="91" spans="1:26">
      <c r="A91" s="16" t="s">
        <v>100</v>
      </c>
      <c r="B91" s="1"/>
      <c r="C91" s="1"/>
      <c r="D91" s="1"/>
      <c r="E91" s="63">
        <v>0</v>
      </c>
      <c r="F91" s="63">
        <v>37462</v>
      </c>
      <c r="G91" s="63">
        <v>40312</v>
      </c>
      <c r="H91" s="63">
        <v>39098.608800000002</v>
      </c>
      <c r="I91" s="63">
        <f>+'[1]REVISED FY 2012 CS '!N89</f>
        <v>42113</v>
      </c>
      <c r="J91" s="63">
        <f>+[1]Component!W89</f>
        <v>42113</v>
      </c>
      <c r="K91" s="63">
        <f>+'[1]Component Re-submission'!W89</f>
        <v>42113</v>
      </c>
      <c r="L91" s="63">
        <f>+'[1]DOJ Pass'!$W89</f>
        <v>42097</v>
      </c>
      <c r="M91" s="63">
        <f>+L91-$G91</f>
        <v>1785</v>
      </c>
      <c r="N91" s="83">
        <f>(+L91-$G91)/$G91</f>
        <v>4.4279618972018257E-2</v>
      </c>
      <c r="O91" s="63">
        <f>+'[1]DOJ Comp Appeal'!$W89</f>
        <v>42097</v>
      </c>
      <c r="P91" s="63">
        <f>+O91-$G91</f>
        <v>1785</v>
      </c>
      <c r="Q91" s="83">
        <f>(+O91-$G91)/$G91</f>
        <v>4.4279618972018257E-2</v>
      </c>
      <c r="R91" s="63" t="e">
        <f>+#REF!</f>
        <v>#REF!</v>
      </c>
      <c r="S91" s="63" t="e">
        <f>+R91-$G91</f>
        <v>#REF!</v>
      </c>
      <c r="T91" s="175" t="e">
        <f>(+R91-$G91)/$G91</f>
        <v>#REF!</v>
      </c>
      <c r="U91" s="63" t="e">
        <f>+#REF!</f>
        <v>#REF!</v>
      </c>
      <c r="V91" s="63" t="e">
        <f>+U91-$G91</f>
        <v>#REF!</v>
      </c>
      <c r="W91" s="175" t="e">
        <f>(+U91-$G91)/$G91</f>
        <v>#REF!</v>
      </c>
      <c r="X91" s="63" t="e">
        <f>+#REF!</f>
        <v>#REF!</v>
      </c>
      <c r="Y91" s="63" t="e">
        <f>+X91-$G91</f>
        <v>#REF!</v>
      </c>
      <c r="Z91" s="175" t="e">
        <f>(+X91-$G91)/$G91</f>
        <v>#REF!</v>
      </c>
    </row>
    <row r="92" spans="1:26" ht="15.75" thickBot="1">
      <c r="A92" s="16" t="s">
        <v>101</v>
      </c>
      <c r="B92" s="1"/>
      <c r="C92" s="1"/>
      <c r="D92" s="1"/>
      <c r="E92" s="63">
        <v>0</v>
      </c>
      <c r="F92" s="63">
        <v>15708</v>
      </c>
      <c r="G92" s="63">
        <v>22735</v>
      </c>
      <c r="H92" s="63">
        <v>22050.676500000001</v>
      </c>
      <c r="I92" s="63">
        <f>+'[1]REVISED FY 2012 CS '!N90</f>
        <v>25604</v>
      </c>
      <c r="J92" s="63">
        <f>+[1]Component!W90</f>
        <v>32494</v>
      </c>
      <c r="K92" s="63">
        <f>+'[1]Component Re-submission'!W90</f>
        <v>26615</v>
      </c>
      <c r="L92" s="63">
        <f>+'[1]DOJ Pass'!$W90</f>
        <v>25911</v>
      </c>
      <c r="M92" s="63">
        <f>+L92-$G92</f>
        <v>3176</v>
      </c>
      <c r="N92" s="83">
        <f>(+L92-$G92)/$G92</f>
        <v>0.13969650318891577</v>
      </c>
      <c r="O92" s="63">
        <f>+'[1]DOJ Comp Appeal'!$W90</f>
        <v>25911</v>
      </c>
      <c r="P92" s="63">
        <f>+O92-$G92</f>
        <v>3176</v>
      </c>
      <c r="Q92" s="83">
        <f>(+O92-$G92)/$G92</f>
        <v>0.13969650318891577</v>
      </c>
      <c r="R92" s="63" t="e">
        <f>+#REF!</f>
        <v>#REF!</v>
      </c>
      <c r="S92" s="63" t="e">
        <f>+R92-$G92</f>
        <v>#REF!</v>
      </c>
      <c r="T92" s="175" t="e">
        <f>(+R92-$G92)/$G92</f>
        <v>#REF!</v>
      </c>
      <c r="U92" s="63" t="e">
        <f>+#REF!</f>
        <v>#REF!</v>
      </c>
      <c r="V92" s="63" t="e">
        <f>+U92-$G92</f>
        <v>#REF!</v>
      </c>
      <c r="W92" s="175" t="e">
        <f>(+U92-$G92)/$G92</f>
        <v>#REF!</v>
      </c>
      <c r="X92" s="63" t="e">
        <f>+#REF!</f>
        <v>#REF!</v>
      </c>
      <c r="Y92" s="63" t="e">
        <f>+X92-$G92</f>
        <v>#REF!</v>
      </c>
      <c r="Z92" s="175" t="e">
        <f>(+X92-$G92)/$G92</f>
        <v>#REF!</v>
      </c>
    </row>
    <row r="93" spans="1:26" ht="17.25" thickTop="1" thickBot="1">
      <c r="A93" s="19" t="s">
        <v>118</v>
      </c>
      <c r="B93" s="20"/>
      <c r="C93" s="20"/>
      <c r="D93" s="20"/>
      <c r="E93" s="26">
        <f>+E65+E66</f>
        <v>25467058</v>
      </c>
      <c r="F93" s="26">
        <f>+F65+F66</f>
        <v>27700551</v>
      </c>
      <c r="G93" s="67">
        <f>+G65+G66</f>
        <v>29190174</v>
      </c>
      <c r="H93" s="67">
        <v>28512807.078300003</v>
      </c>
      <c r="I93" s="67" t="e">
        <f>+I65+I66</f>
        <v>#REF!</v>
      </c>
      <c r="J93" s="67" t="e">
        <f>+J65+J66</f>
        <v>#REF!</v>
      </c>
      <c r="K93" s="67" t="e">
        <f>+K65+K66</f>
        <v>#REF!</v>
      </c>
      <c r="L93" s="67" t="e">
        <f>+L65+L66</f>
        <v>#REF!</v>
      </c>
      <c r="M93" s="67" t="e">
        <f>+M65+M66</f>
        <v>#REF!</v>
      </c>
      <c r="N93" s="127" t="e">
        <f>(+L93-$G93)/$G93</f>
        <v>#REF!</v>
      </c>
      <c r="O93" s="67" t="e">
        <f>+O65+O66</f>
        <v>#REF!</v>
      </c>
      <c r="P93" s="67" t="e">
        <f>+P65+P66</f>
        <v>#REF!</v>
      </c>
      <c r="Q93" s="127" t="e">
        <f>(+O93-$G93)/$G93</f>
        <v>#REF!</v>
      </c>
      <c r="R93" s="67" t="e">
        <f>+R65+R66</f>
        <v>#REF!</v>
      </c>
      <c r="S93" s="67" t="e">
        <f>+S65+S66</f>
        <v>#REF!</v>
      </c>
      <c r="T93" s="183" t="e">
        <f>(+R93-$G93)/$G93</f>
        <v>#REF!</v>
      </c>
      <c r="U93" s="67" t="e">
        <f>+U65+U66</f>
        <v>#REF!</v>
      </c>
      <c r="V93" s="67" t="e">
        <f>+V65+V66</f>
        <v>#REF!</v>
      </c>
      <c r="W93" s="183" t="e">
        <f>(+U93-$G93)/$G93</f>
        <v>#REF!</v>
      </c>
      <c r="X93" s="67" t="e">
        <f>+X65+X66</f>
        <v>#REF!</v>
      </c>
      <c r="Y93" s="67" t="e">
        <f>+Y65+Y66</f>
        <v>#REF!</v>
      </c>
      <c r="Z93" s="183" t="e">
        <f>(+X93-$G93)/$G93</f>
        <v>#REF!</v>
      </c>
    </row>
    <row r="94" spans="1:26" ht="15.75" thickTop="1">
      <c r="A94" s="27" t="s">
        <v>77</v>
      </c>
      <c r="B94" s="9"/>
      <c r="C94" s="9"/>
      <c r="D94" s="9"/>
      <c r="E94" s="63"/>
      <c r="F94" s="63" t="s">
        <v>1</v>
      </c>
      <c r="G94" s="63" t="s">
        <v>1</v>
      </c>
      <c r="H94" s="63" t="s">
        <v>1</v>
      </c>
      <c r="I94" s="63" t="str">
        <f>+'[1]FY 2012 Current Service'!N92</f>
        <v xml:space="preserve"> </v>
      </c>
      <c r="J94" s="63" t="str">
        <f>+[1]Component!W92</f>
        <v xml:space="preserve"> </v>
      </c>
      <c r="K94" s="63" t="s">
        <v>1</v>
      </c>
      <c r="L94" s="63" t="s">
        <v>1</v>
      </c>
      <c r="M94" s="63" t="s">
        <v>1</v>
      </c>
      <c r="N94" s="83" t="s">
        <v>1</v>
      </c>
      <c r="O94" s="63" t="s">
        <v>1</v>
      </c>
      <c r="P94" s="63" t="s">
        <v>1</v>
      </c>
      <c r="Q94" s="83" t="s">
        <v>1</v>
      </c>
      <c r="R94" s="63" t="s">
        <v>1</v>
      </c>
      <c r="S94" s="63" t="s">
        <v>1</v>
      </c>
      <c r="T94" s="175" t="s">
        <v>1</v>
      </c>
      <c r="U94" s="63" t="s">
        <v>1</v>
      </c>
      <c r="V94" s="63" t="s">
        <v>1</v>
      </c>
      <c r="W94" s="175" t="s">
        <v>1</v>
      </c>
      <c r="X94" s="63" t="s">
        <v>1</v>
      </c>
      <c r="Y94" s="63" t="s">
        <v>1</v>
      </c>
      <c r="Z94" s="175" t="s">
        <v>1</v>
      </c>
    </row>
    <row r="95" spans="1:26">
      <c r="A95" s="12" t="s">
        <v>78</v>
      </c>
      <c r="B95" s="1"/>
      <c r="C95" s="1"/>
      <c r="D95" s="1"/>
      <c r="E95" s="63">
        <v>-2266000</v>
      </c>
      <c r="F95" s="63">
        <v>-3311000</v>
      </c>
      <c r="G95" s="63">
        <v>-4552000</v>
      </c>
      <c r="H95" s="63">
        <v>0</v>
      </c>
      <c r="I95" s="63">
        <f>+'[1]REVISED FY 2012 CS '!W93</f>
        <v>-820000</v>
      </c>
      <c r="J95" s="63">
        <f>+[1]Component!W93</f>
        <v>-471000</v>
      </c>
      <c r="K95" s="63">
        <f>+'[1]Component Re-submission'!W93</f>
        <v>-471000</v>
      </c>
      <c r="L95" s="63">
        <f>+'[1]DOJ Pass'!$W93</f>
        <v>-1400000</v>
      </c>
      <c r="M95" s="63">
        <f>+L95-$G95</f>
        <v>3152000</v>
      </c>
      <c r="N95" s="83">
        <f>(+L95-$G95)/$G95</f>
        <v>-0.69244288224956063</v>
      </c>
      <c r="O95" s="63">
        <f>+'[1]DOJ Comp Appeal'!$W93</f>
        <v>-1400000</v>
      </c>
      <c r="P95" s="63">
        <f>+O95-$G95</f>
        <v>3152000</v>
      </c>
      <c r="Q95" s="83">
        <f>(+O95-$G95)/$G95</f>
        <v>-0.69244288224956063</v>
      </c>
      <c r="R95" s="63" t="e">
        <f>+#REF!</f>
        <v>#REF!</v>
      </c>
      <c r="S95" s="63" t="e">
        <f>+R95-$G95</f>
        <v>#REF!</v>
      </c>
      <c r="T95" s="175" t="e">
        <f>(+R95-$G95)/$G95</f>
        <v>#REF!</v>
      </c>
      <c r="U95" s="63" t="e">
        <f>+#REF!</f>
        <v>#REF!</v>
      </c>
      <c r="V95" s="63" t="e">
        <f>+U95-$G95</f>
        <v>#REF!</v>
      </c>
      <c r="W95" s="175" t="e">
        <f>(+U95-$G95)/$G95</f>
        <v>#REF!</v>
      </c>
      <c r="X95" s="63" t="e">
        <f>+#REF!</f>
        <v>#REF!</v>
      </c>
      <c r="Y95" s="63" t="e">
        <f>+X95-$G95</f>
        <v>#REF!</v>
      </c>
      <c r="Z95" s="175" t="e">
        <f>(+X95-$G95)/$G95</f>
        <v>#REF!</v>
      </c>
    </row>
    <row r="96" spans="1:26" hidden="1">
      <c r="A96" s="12" t="s">
        <v>189</v>
      </c>
      <c r="B96" s="1"/>
      <c r="C96" s="1"/>
      <c r="D96" s="1"/>
      <c r="E96" s="63">
        <v>-100000</v>
      </c>
      <c r="F96" s="63">
        <v>0</v>
      </c>
      <c r="G96" s="63">
        <v>0</v>
      </c>
      <c r="H96" s="63">
        <v>0</v>
      </c>
      <c r="I96" s="63" t="e">
        <f>+'[1]REVISED FY 2012 CS '!W94</f>
        <v>#REF!</v>
      </c>
      <c r="J96" s="63">
        <v>0</v>
      </c>
      <c r="K96" s="63">
        <v>0</v>
      </c>
      <c r="L96" s="63">
        <v>0</v>
      </c>
      <c r="M96" s="63">
        <f>+L96-$G96</f>
        <v>0</v>
      </c>
      <c r="N96" s="83">
        <v>0</v>
      </c>
      <c r="O96" s="63">
        <v>0</v>
      </c>
      <c r="P96" s="63">
        <f>+O96-$G96</f>
        <v>0</v>
      </c>
      <c r="Q96" s="83">
        <v>0</v>
      </c>
      <c r="R96" s="63" t="e">
        <f>+#REF!</f>
        <v>#REF!</v>
      </c>
      <c r="S96" s="63" t="e">
        <f>+R96-$G96</f>
        <v>#REF!</v>
      </c>
      <c r="T96" s="175">
        <v>0</v>
      </c>
      <c r="U96" s="63" t="e">
        <f>+#REF!</f>
        <v>#REF!</v>
      </c>
      <c r="V96" s="63" t="e">
        <f>+U96-$G96</f>
        <v>#REF!</v>
      </c>
      <c r="W96" s="175">
        <v>0</v>
      </c>
      <c r="X96" s="63" t="e">
        <f>+#REF!</f>
        <v>#REF!</v>
      </c>
      <c r="Y96" s="63" t="e">
        <f>+X96-$G96</f>
        <v>#REF!</v>
      </c>
      <c r="Z96" s="175">
        <v>0</v>
      </c>
    </row>
    <row r="97" spans="1:26" ht="15.75" thickBot="1">
      <c r="A97" s="12" t="s">
        <v>95</v>
      </c>
      <c r="B97" s="1"/>
      <c r="C97" s="1"/>
      <c r="D97" s="1"/>
      <c r="E97" s="63">
        <v>-285000</v>
      </c>
      <c r="F97" s="63">
        <v>-387200</v>
      </c>
      <c r="G97" s="63">
        <v>-495000</v>
      </c>
      <c r="H97" s="63">
        <v>0</v>
      </c>
      <c r="I97" s="63">
        <f>+'[1]REVISED FY 2012 CS '!W95</f>
        <v>-500000</v>
      </c>
      <c r="J97" s="63">
        <f>+[1]Component!W94</f>
        <v>-495000</v>
      </c>
      <c r="K97" s="63">
        <f>+'[1]Component Re-submission'!W94</f>
        <v>-495000</v>
      </c>
      <c r="L97" s="63">
        <f>+'[1]DOJ Pass'!$W95</f>
        <v>-500000</v>
      </c>
      <c r="M97" s="63">
        <f>+L97-$G97</f>
        <v>-5000</v>
      </c>
      <c r="N97" s="83">
        <f>(+L97-$G97)/$G97</f>
        <v>1.0101010101010102E-2</v>
      </c>
      <c r="O97" s="63">
        <f>+'[1]DOJ Comp Appeal'!$W95</f>
        <v>-500000</v>
      </c>
      <c r="P97" s="63">
        <f>+O97-$G97</f>
        <v>-5000</v>
      </c>
      <c r="Q97" s="83">
        <f>(+O97-$G97)/$G97</f>
        <v>1.0101010101010102E-2</v>
      </c>
      <c r="R97" s="63" t="e">
        <f>+#REF!</f>
        <v>#REF!</v>
      </c>
      <c r="S97" s="63" t="e">
        <f>+R97-$G97</f>
        <v>#REF!</v>
      </c>
      <c r="T97" s="175" t="e">
        <f>(+R97-$G97)/$G97</f>
        <v>#REF!</v>
      </c>
      <c r="U97" s="63" t="e">
        <f>+#REF!</f>
        <v>#REF!</v>
      </c>
      <c r="V97" s="63" t="e">
        <f>+U97-$G97</f>
        <v>#REF!</v>
      </c>
      <c r="W97" s="175" t="e">
        <f>(+U97-$G97)/$G97</f>
        <v>#REF!</v>
      </c>
      <c r="X97" s="63" t="e">
        <f>+#REF!</f>
        <v>#REF!</v>
      </c>
      <c r="Y97" s="63" t="e">
        <f>+X97-$G97</f>
        <v>#REF!</v>
      </c>
      <c r="Z97" s="175" t="e">
        <f>(+X97-$G97)/$G97</f>
        <v>#REF!</v>
      </c>
    </row>
    <row r="98" spans="1:26" ht="17.25" thickTop="1" thickBot="1">
      <c r="A98" s="19" t="s">
        <v>79</v>
      </c>
      <c r="B98" s="28"/>
      <c r="C98" s="28"/>
      <c r="D98" s="28"/>
      <c r="E98" s="80">
        <f t="shared" ref="E98:M98" si="49">SUM(E95:E97)</f>
        <v>-2651000</v>
      </c>
      <c r="F98" s="80">
        <f t="shared" si="49"/>
        <v>-3698200</v>
      </c>
      <c r="G98" s="80">
        <f t="shared" si="49"/>
        <v>-5047000</v>
      </c>
      <c r="H98" s="80">
        <f t="shared" si="49"/>
        <v>0</v>
      </c>
      <c r="I98" s="80" t="e">
        <f t="shared" si="49"/>
        <v>#REF!</v>
      </c>
      <c r="J98" s="80">
        <f t="shared" si="49"/>
        <v>-966000</v>
      </c>
      <c r="K98" s="80">
        <f t="shared" si="49"/>
        <v>-966000</v>
      </c>
      <c r="L98" s="80">
        <f t="shared" si="49"/>
        <v>-1900000</v>
      </c>
      <c r="M98" s="80">
        <f t="shared" si="49"/>
        <v>3147000</v>
      </c>
      <c r="N98" s="128">
        <f>(+L98-$G98)/$G98</f>
        <v>-0.62353873588270259</v>
      </c>
      <c r="O98" s="80">
        <f>SUM(O95:O97)</f>
        <v>-1900000</v>
      </c>
      <c r="P98" s="80">
        <f>SUM(P95:P97)</f>
        <v>3147000</v>
      </c>
      <c r="Q98" s="128">
        <f>(+O98-$G98)/$G98</f>
        <v>-0.62353873588270259</v>
      </c>
      <c r="R98" s="80" t="e">
        <f>SUM(R95:R97)</f>
        <v>#REF!</v>
      </c>
      <c r="S98" s="80" t="e">
        <f>SUM(S95:S97)</f>
        <v>#REF!</v>
      </c>
      <c r="T98" s="184" t="e">
        <f>(+R98-$G98)/$G98</f>
        <v>#REF!</v>
      </c>
      <c r="U98" s="80" t="e">
        <f>SUM(U95:U97)</f>
        <v>#REF!</v>
      </c>
      <c r="V98" s="80" t="e">
        <f>SUM(V95:V97)</f>
        <v>#REF!</v>
      </c>
      <c r="W98" s="184" t="e">
        <f>(+U98-$G98)/$G98</f>
        <v>#REF!</v>
      </c>
      <c r="X98" s="80" t="e">
        <f>SUM(X95:X97)</f>
        <v>#REF!</v>
      </c>
      <c r="Y98" s="80" t="e">
        <f>SUM(Y95:Y97)</f>
        <v>#REF!</v>
      </c>
      <c r="Z98" s="184" t="e">
        <f>(+X98-$G98)/$G98</f>
        <v>#REF!</v>
      </c>
    </row>
    <row r="99" spans="1:26" ht="17.25" thickTop="1" thickBot="1">
      <c r="A99" s="19" t="s">
        <v>112</v>
      </c>
      <c r="B99" s="28"/>
      <c r="C99" s="28"/>
      <c r="D99" s="28"/>
      <c r="E99" s="26">
        <f t="shared" ref="E99:M99" si="50">+E98+E93</f>
        <v>22816058</v>
      </c>
      <c r="F99" s="26">
        <f t="shared" si="50"/>
        <v>24002351</v>
      </c>
      <c r="G99" s="26">
        <f t="shared" si="50"/>
        <v>24143174</v>
      </c>
      <c r="H99" s="26">
        <f t="shared" si="50"/>
        <v>28512807.078300003</v>
      </c>
      <c r="I99" s="26" t="e">
        <f t="shared" si="50"/>
        <v>#REF!</v>
      </c>
      <c r="J99" s="26" t="e">
        <f t="shared" si="50"/>
        <v>#REF!</v>
      </c>
      <c r="K99" s="26" t="e">
        <f t="shared" si="50"/>
        <v>#REF!</v>
      </c>
      <c r="L99" s="67" t="e">
        <f t="shared" si="50"/>
        <v>#REF!</v>
      </c>
      <c r="M99" s="26" t="e">
        <f t="shared" si="50"/>
        <v>#REF!</v>
      </c>
      <c r="N99" s="129" t="e">
        <f>(+L99-$G99)/$G99</f>
        <v>#REF!</v>
      </c>
      <c r="O99" s="67" t="e">
        <f>+O98+O93</f>
        <v>#REF!</v>
      </c>
      <c r="P99" s="26" t="e">
        <f>+P98+P93</f>
        <v>#REF!</v>
      </c>
      <c r="Q99" s="129" t="e">
        <f>(+O99-$G99)/$G99</f>
        <v>#REF!</v>
      </c>
      <c r="R99" s="67" t="e">
        <f>+R98+R93</f>
        <v>#REF!</v>
      </c>
      <c r="S99" s="26" t="e">
        <f>+S98+S93</f>
        <v>#REF!</v>
      </c>
      <c r="T99" s="185" t="e">
        <f>(+R99-$G99)/$G99</f>
        <v>#REF!</v>
      </c>
      <c r="U99" s="67" t="e">
        <f>+U98+U93</f>
        <v>#REF!</v>
      </c>
      <c r="V99" s="26" t="e">
        <f>+V98+V93</f>
        <v>#REF!</v>
      </c>
      <c r="W99" s="185" t="e">
        <f>(+U99-$G99)/$G99</f>
        <v>#REF!</v>
      </c>
      <c r="X99" s="67" t="e">
        <f>+X98+X93</f>
        <v>#REF!</v>
      </c>
      <c r="Y99" s="26" t="e">
        <f>+Y98+Y93</f>
        <v>#REF!</v>
      </c>
      <c r="Z99" s="185" t="e">
        <f>(+X99-$G99)/$G99</f>
        <v>#REF!</v>
      </c>
    </row>
    <row r="100" spans="1:26" ht="15.75" thickTop="1">
      <c r="A100" s="12" t="s">
        <v>80</v>
      </c>
      <c r="B100" s="1"/>
      <c r="C100" s="1"/>
      <c r="D100" s="1"/>
      <c r="E100" s="77"/>
      <c r="F100" s="63"/>
      <c r="G100" s="63"/>
      <c r="H100" s="63">
        <v>0</v>
      </c>
      <c r="I100" s="63"/>
      <c r="J100" s="63" t="e">
        <f>+[1]Component!W97</f>
        <v>#REF!</v>
      </c>
      <c r="K100" s="63" t="s">
        <v>1</v>
      </c>
      <c r="L100" s="63" t="s">
        <v>1</v>
      </c>
      <c r="M100" s="63" t="s">
        <v>1</v>
      </c>
      <c r="N100" s="83" t="s">
        <v>1</v>
      </c>
      <c r="O100" s="63" t="s">
        <v>1</v>
      </c>
      <c r="P100" s="63" t="s">
        <v>1</v>
      </c>
      <c r="Q100" s="83" t="s">
        <v>1</v>
      </c>
      <c r="R100" s="63" t="s">
        <v>1</v>
      </c>
      <c r="S100" s="63" t="s">
        <v>1</v>
      </c>
      <c r="T100" s="175" t="s">
        <v>1</v>
      </c>
      <c r="U100" s="63" t="s">
        <v>1</v>
      </c>
      <c r="V100" s="63" t="s">
        <v>1</v>
      </c>
      <c r="W100" s="175" t="s">
        <v>1</v>
      </c>
      <c r="X100" s="63" t="s">
        <v>1</v>
      </c>
      <c r="Y100" s="63" t="s">
        <v>1</v>
      </c>
      <c r="Z100" s="175" t="s">
        <v>1</v>
      </c>
    </row>
    <row r="101" spans="1:26">
      <c r="A101" s="12" t="s">
        <v>81</v>
      </c>
      <c r="B101" s="1"/>
      <c r="C101" s="1"/>
      <c r="D101" s="1"/>
      <c r="E101" s="63">
        <v>168300</v>
      </c>
      <c r="F101" s="63">
        <v>168300</v>
      </c>
      <c r="G101" s="63" t="e">
        <f>+#REF!</f>
        <v>#REF!</v>
      </c>
      <c r="H101" s="63">
        <v>0</v>
      </c>
      <c r="I101" s="63">
        <f>+'[1]REVISED FY 2012 CS '!W99</f>
        <v>270000</v>
      </c>
      <c r="J101" s="63">
        <f>+[1]Component!W98</f>
        <v>270000</v>
      </c>
      <c r="K101" s="63">
        <f>+'[1]Component Re-submission'!W98</f>
        <v>270000</v>
      </c>
      <c r="L101" s="63">
        <f>+'[1]DOJ Pass'!$W99</f>
        <v>270000</v>
      </c>
      <c r="M101" s="63" t="e">
        <f t="shared" ref="M101:M108" si="51">+L101-$G101</f>
        <v>#REF!</v>
      </c>
      <c r="N101" s="83" t="e">
        <f t="shared" ref="N101:N111" si="52">(+L101-$G101)/$G101</f>
        <v>#REF!</v>
      </c>
      <c r="O101" s="63">
        <f>+'[1]DOJ Comp Appeal'!$W99</f>
        <v>270000</v>
      </c>
      <c r="P101" s="63" t="e">
        <f t="shared" ref="P101:P108" si="53">+O101-$G101</f>
        <v>#REF!</v>
      </c>
      <c r="Q101" s="83" t="e">
        <f t="shared" ref="Q101:Q111" si="54">(+O101-$G101)/$G101</f>
        <v>#REF!</v>
      </c>
      <c r="R101" s="63" t="e">
        <f>+#REF!</f>
        <v>#REF!</v>
      </c>
      <c r="S101" s="63" t="e">
        <f t="shared" ref="S101:S108" si="55">+R101-$G101</f>
        <v>#REF!</v>
      </c>
      <c r="T101" s="175" t="e">
        <f t="shared" ref="T101:T111" si="56">(+R101-$G101)/$G101</f>
        <v>#REF!</v>
      </c>
      <c r="U101" s="63" t="e">
        <f>+#REF!</f>
        <v>#REF!</v>
      </c>
      <c r="V101" s="63" t="e">
        <f t="shared" ref="V101:V108" si="57">+U101-$G101</f>
        <v>#REF!</v>
      </c>
      <c r="W101" s="175" t="e">
        <f t="shared" ref="W101:W111" si="58">(+U101-$G101)/$G101</f>
        <v>#REF!</v>
      </c>
      <c r="X101" s="63" t="e">
        <f>+#REF!</f>
        <v>#REF!</v>
      </c>
      <c r="Y101" s="63" t="e">
        <f t="shared" ref="Y101:Y108" si="59">+X101-$G101</f>
        <v>#REF!</v>
      </c>
      <c r="Z101" s="175" t="e">
        <f t="shared" ref="Z101:Z111" si="60">(+X101-$G101)/$G101</f>
        <v>#REF!</v>
      </c>
    </row>
    <row r="102" spans="1:26">
      <c r="A102" s="12" t="s">
        <v>82</v>
      </c>
      <c r="B102" s="1"/>
      <c r="C102" s="1"/>
      <c r="D102" s="1"/>
      <c r="E102" s="63">
        <v>500</v>
      </c>
      <c r="F102" s="63">
        <v>500</v>
      </c>
      <c r="G102" s="63" t="e">
        <f>+#REF!</f>
        <v>#REF!</v>
      </c>
      <c r="H102" s="63">
        <v>0</v>
      </c>
      <c r="I102" s="63">
        <f>+'[1]REVISED FY 2012 CS '!W100</f>
        <v>500</v>
      </c>
      <c r="J102" s="63">
        <f>+[1]Component!W99</f>
        <v>500</v>
      </c>
      <c r="K102" s="63">
        <f>+'[1]Component Re-submission'!W99</f>
        <v>500</v>
      </c>
      <c r="L102" s="63">
        <f>+'[1]DOJ Pass'!$W100</f>
        <v>500</v>
      </c>
      <c r="M102" s="63" t="e">
        <f t="shared" si="51"/>
        <v>#REF!</v>
      </c>
      <c r="N102" s="83" t="e">
        <f t="shared" si="52"/>
        <v>#REF!</v>
      </c>
      <c r="O102" s="63">
        <f>+'[1]DOJ Comp Appeal'!$W100</f>
        <v>500</v>
      </c>
      <c r="P102" s="63" t="e">
        <f t="shared" si="53"/>
        <v>#REF!</v>
      </c>
      <c r="Q102" s="83" t="e">
        <f t="shared" si="54"/>
        <v>#REF!</v>
      </c>
      <c r="R102" s="63" t="e">
        <f>+#REF!</f>
        <v>#REF!</v>
      </c>
      <c r="S102" s="63" t="e">
        <f t="shared" si="55"/>
        <v>#REF!</v>
      </c>
      <c r="T102" s="175" t="e">
        <f t="shared" si="56"/>
        <v>#REF!</v>
      </c>
      <c r="U102" s="63" t="e">
        <f>+#REF!</f>
        <v>#REF!</v>
      </c>
      <c r="V102" s="63" t="e">
        <f t="shared" si="57"/>
        <v>#REF!</v>
      </c>
      <c r="W102" s="175" t="e">
        <f t="shared" si="58"/>
        <v>#REF!</v>
      </c>
      <c r="X102" s="63" t="e">
        <f>+#REF!</f>
        <v>#REF!</v>
      </c>
      <c r="Y102" s="63" t="e">
        <f t="shared" si="59"/>
        <v>#REF!</v>
      </c>
      <c r="Z102" s="175" t="e">
        <f t="shared" si="60"/>
        <v>#REF!</v>
      </c>
    </row>
    <row r="103" spans="1:26">
      <c r="A103" s="12" t="s">
        <v>83</v>
      </c>
      <c r="B103" s="1"/>
      <c r="C103" s="1"/>
      <c r="D103" s="1"/>
      <c r="E103" s="63">
        <v>74000</v>
      </c>
      <c r="F103" s="63">
        <v>60000</v>
      </c>
      <c r="G103" s="63" t="e">
        <f>+#REF!</f>
        <v>#REF!</v>
      </c>
      <c r="H103" s="63">
        <v>0</v>
      </c>
      <c r="I103" s="63">
        <f>+'[1]REVISED FY 2012 CS '!W101</f>
        <v>53200</v>
      </c>
      <c r="J103" s="63">
        <f>+[1]Component!W100</f>
        <v>53200</v>
      </c>
      <c r="K103" s="63">
        <f>+'[1]Component Re-submission'!W100</f>
        <v>53200</v>
      </c>
      <c r="L103" s="63">
        <f>+'[1]DOJ Pass'!$W101</f>
        <v>53200</v>
      </c>
      <c r="M103" s="63" t="e">
        <f t="shared" si="51"/>
        <v>#REF!</v>
      </c>
      <c r="N103" s="83" t="e">
        <f t="shared" si="52"/>
        <v>#REF!</v>
      </c>
      <c r="O103" s="63">
        <f>+'[1]DOJ Comp Appeal'!$W101</f>
        <v>53200</v>
      </c>
      <c r="P103" s="63" t="e">
        <f t="shared" si="53"/>
        <v>#REF!</v>
      </c>
      <c r="Q103" s="83" t="e">
        <f t="shared" si="54"/>
        <v>#REF!</v>
      </c>
      <c r="R103" s="63" t="e">
        <f>+#REF!</f>
        <v>#REF!</v>
      </c>
      <c r="S103" s="63" t="e">
        <f t="shared" si="55"/>
        <v>#REF!</v>
      </c>
      <c r="T103" s="175" t="e">
        <f t="shared" si="56"/>
        <v>#REF!</v>
      </c>
      <c r="U103" s="63" t="e">
        <f>+#REF!</f>
        <v>#REF!</v>
      </c>
      <c r="V103" s="63" t="e">
        <f t="shared" si="57"/>
        <v>#REF!</v>
      </c>
      <c r="W103" s="175" t="e">
        <f t="shared" si="58"/>
        <v>#REF!</v>
      </c>
      <c r="X103" s="63" t="e">
        <f>+#REF!</f>
        <v>#REF!</v>
      </c>
      <c r="Y103" s="63" t="e">
        <f t="shared" si="59"/>
        <v>#REF!</v>
      </c>
      <c r="Z103" s="175" t="e">
        <f t="shared" si="60"/>
        <v>#REF!</v>
      </c>
    </row>
    <row r="104" spans="1:26">
      <c r="A104" s="12" t="s">
        <v>84</v>
      </c>
      <c r="B104" s="1"/>
      <c r="C104" s="1"/>
      <c r="D104" s="1"/>
      <c r="E104" s="63">
        <v>110000</v>
      </c>
      <c r="F104" s="63">
        <v>61000</v>
      </c>
      <c r="G104" s="63" t="e">
        <f>+#REF!</f>
        <v>#REF!</v>
      </c>
      <c r="H104" s="63">
        <v>0</v>
      </c>
      <c r="I104" s="63">
        <f>+'[1]REVISED FY 2012 CS '!W102</f>
        <v>61000</v>
      </c>
      <c r="J104" s="63">
        <f>+[1]Component!W101</f>
        <v>61000</v>
      </c>
      <c r="K104" s="63">
        <f>+'[1]Component Re-submission'!W101</f>
        <v>61000</v>
      </c>
      <c r="L104" s="63">
        <f>+'[1]DOJ Pass'!$W102</f>
        <v>61000</v>
      </c>
      <c r="M104" s="63" t="e">
        <f t="shared" si="51"/>
        <v>#REF!</v>
      </c>
      <c r="N104" s="83" t="e">
        <f t="shared" si="52"/>
        <v>#REF!</v>
      </c>
      <c r="O104" s="63">
        <f>+'[1]DOJ Comp Appeal'!$W102</f>
        <v>61000</v>
      </c>
      <c r="P104" s="63" t="e">
        <f t="shared" si="53"/>
        <v>#REF!</v>
      </c>
      <c r="Q104" s="83" t="e">
        <f t="shared" si="54"/>
        <v>#REF!</v>
      </c>
      <c r="R104" s="63" t="e">
        <f>+#REF!</f>
        <v>#REF!</v>
      </c>
      <c r="S104" s="63" t="e">
        <f t="shared" si="55"/>
        <v>#REF!</v>
      </c>
      <c r="T104" s="175" t="e">
        <f t="shared" si="56"/>
        <v>#REF!</v>
      </c>
      <c r="U104" s="63" t="e">
        <f>+#REF!</f>
        <v>#REF!</v>
      </c>
      <c r="V104" s="63" t="e">
        <f t="shared" si="57"/>
        <v>#REF!</v>
      </c>
      <c r="W104" s="175" t="e">
        <f t="shared" si="58"/>
        <v>#REF!</v>
      </c>
      <c r="X104" s="63" t="e">
        <f>+#REF!</f>
        <v>#REF!</v>
      </c>
      <c r="Y104" s="63" t="e">
        <f t="shared" si="59"/>
        <v>#REF!</v>
      </c>
      <c r="Z104" s="175" t="e">
        <f t="shared" si="60"/>
        <v>#REF!</v>
      </c>
    </row>
    <row r="105" spans="1:26">
      <c r="A105" s="12" t="s">
        <v>85</v>
      </c>
      <c r="B105" s="1"/>
      <c r="C105" s="1"/>
      <c r="D105" s="1"/>
      <c r="E105" s="63">
        <v>1342372</v>
      </c>
      <c r="F105" s="63">
        <v>1151810</v>
      </c>
      <c r="G105" s="63" t="e">
        <f>+#REF!</f>
        <v>#REF!</v>
      </c>
      <c r="H105" s="63">
        <v>0</v>
      </c>
      <c r="I105" s="63">
        <f>+'[1]REVISED FY 2012 CS '!W103</f>
        <v>1146210</v>
      </c>
      <c r="J105" s="63">
        <f>+[1]Component!W102</f>
        <v>1146210</v>
      </c>
      <c r="K105" s="63">
        <f>+'[1]Component Re-submission'!W102</f>
        <v>1146210</v>
      </c>
      <c r="L105" s="63">
        <f>+'[1]DOJ Pass'!$W103</f>
        <v>1079010</v>
      </c>
      <c r="M105" s="63" t="e">
        <f t="shared" si="51"/>
        <v>#REF!</v>
      </c>
      <c r="N105" s="83" t="e">
        <f t="shared" si="52"/>
        <v>#REF!</v>
      </c>
      <c r="O105" s="63">
        <f>+'[1]DOJ Comp Appeal'!$W103</f>
        <v>1079010</v>
      </c>
      <c r="P105" s="63" t="e">
        <f t="shared" si="53"/>
        <v>#REF!</v>
      </c>
      <c r="Q105" s="83" t="e">
        <f t="shared" si="54"/>
        <v>#REF!</v>
      </c>
      <c r="R105" s="63" t="e">
        <f>+#REF!</f>
        <v>#REF!</v>
      </c>
      <c r="S105" s="63" t="e">
        <f t="shared" si="55"/>
        <v>#REF!</v>
      </c>
      <c r="T105" s="175" t="e">
        <f t="shared" si="56"/>
        <v>#REF!</v>
      </c>
      <c r="U105" s="63" t="e">
        <f>+#REF!</f>
        <v>#REF!</v>
      </c>
      <c r="V105" s="63" t="e">
        <f t="shared" si="57"/>
        <v>#REF!</v>
      </c>
      <c r="W105" s="175" t="e">
        <f t="shared" si="58"/>
        <v>#REF!</v>
      </c>
      <c r="X105" s="63" t="e">
        <f>+#REF!</f>
        <v>#REF!</v>
      </c>
      <c r="Y105" s="63" t="e">
        <f t="shared" si="59"/>
        <v>#REF!</v>
      </c>
      <c r="Z105" s="175" t="e">
        <f t="shared" si="60"/>
        <v>#REF!</v>
      </c>
    </row>
    <row r="106" spans="1:26">
      <c r="A106" s="12" t="s">
        <v>86</v>
      </c>
      <c r="B106" s="1"/>
      <c r="C106" s="1"/>
      <c r="D106" s="1"/>
      <c r="E106" s="63">
        <v>157788</v>
      </c>
      <c r="F106" s="63">
        <v>102000</v>
      </c>
      <c r="G106" s="63" t="e">
        <f>+#REF!</f>
        <v>#REF!</v>
      </c>
      <c r="H106" s="63">
        <v>0</v>
      </c>
      <c r="I106" s="63">
        <f>+'[1]REVISED FY 2012 CS '!W104</f>
        <v>110000</v>
      </c>
      <c r="J106" s="63">
        <f>+[1]Component!W103</f>
        <v>110000</v>
      </c>
      <c r="K106" s="63">
        <f>+'[1]Component Re-submission'!W103</f>
        <v>110000</v>
      </c>
      <c r="L106" s="63">
        <f>+'[1]DOJ Pass'!$W104</f>
        <v>110000</v>
      </c>
      <c r="M106" s="63" t="e">
        <f t="shared" si="51"/>
        <v>#REF!</v>
      </c>
      <c r="N106" s="83" t="e">
        <f t="shared" si="52"/>
        <v>#REF!</v>
      </c>
      <c r="O106" s="63">
        <f>+'[1]DOJ Comp Appeal'!$W104</f>
        <v>110000</v>
      </c>
      <c r="P106" s="63" t="e">
        <f t="shared" si="53"/>
        <v>#REF!</v>
      </c>
      <c r="Q106" s="83" t="e">
        <f t="shared" si="54"/>
        <v>#REF!</v>
      </c>
      <c r="R106" s="63" t="e">
        <f>+#REF!</f>
        <v>#REF!</v>
      </c>
      <c r="S106" s="63" t="e">
        <f t="shared" si="55"/>
        <v>#REF!</v>
      </c>
      <c r="T106" s="175" t="e">
        <f t="shared" si="56"/>
        <v>#REF!</v>
      </c>
      <c r="U106" s="63" t="e">
        <f>+#REF!</f>
        <v>#REF!</v>
      </c>
      <c r="V106" s="63" t="e">
        <f t="shared" si="57"/>
        <v>#REF!</v>
      </c>
      <c r="W106" s="175" t="e">
        <f t="shared" si="58"/>
        <v>#REF!</v>
      </c>
      <c r="X106" s="63" t="e">
        <f>+#REF!</f>
        <v>#REF!</v>
      </c>
      <c r="Y106" s="63" t="e">
        <f t="shared" si="59"/>
        <v>#REF!</v>
      </c>
      <c r="Z106" s="175" t="e">
        <f t="shared" si="60"/>
        <v>#REF!</v>
      </c>
    </row>
    <row r="107" spans="1:26">
      <c r="A107" s="12" t="s">
        <v>87</v>
      </c>
      <c r="B107" s="1"/>
      <c r="C107" s="1"/>
      <c r="D107" s="1"/>
      <c r="E107" s="63">
        <v>165000</v>
      </c>
      <c r="F107" s="63">
        <v>215000</v>
      </c>
      <c r="G107" s="63" t="e">
        <f>+#REF!</f>
        <v>#REF!</v>
      </c>
      <c r="H107" s="63">
        <v>0</v>
      </c>
      <c r="I107" s="63">
        <f>+'[1]REVISED FY 2012 CS '!W105</f>
        <v>281829</v>
      </c>
      <c r="J107" s="63">
        <f>+[1]Component!W104</f>
        <v>281829</v>
      </c>
      <c r="K107" s="63">
        <f>+'[1]Component Re-submission'!W104</f>
        <v>281829</v>
      </c>
      <c r="L107" s="63">
        <f>+'[1]DOJ Pass'!$W105</f>
        <v>274000</v>
      </c>
      <c r="M107" s="63" t="e">
        <f t="shared" si="51"/>
        <v>#REF!</v>
      </c>
      <c r="N107" s="83" t="e">
        <f t="shared" si="52"/>
        <v>#REF!</v>
      </c>
      <c r="O107" s="63">
        <f>+'[1]DOJ Comp Appeal'!$W105</f>
        <v>274000</v>
      </c>
      <c r="P107" s="63" t="e">
        <f t="shared" si="53"/>
        <v>#REF!</v>
      </c>
      <c r="Q107" s="83" t="e">
        <f t="shared" si="54"/>
        <v>#REF!</v>
      </c>
      <c r="R107" s="63" t="e">
        <f>+#REF!</f>
        <v>#REF!</v>
      </c>
      <c r="S107" s="63" t="e">
        <f t="shared" si="55"/>
        <v>#REF!</v>
      </c>
      <c r="T107" s="175" t="e">
        <f t="shared" si="56"/>
        <v>#REF!</v>
      </c>
      <c r="U107" s="63" t="e">
        <f>+#REF!</f>
        <v>#REF!</v>
      </c>
      <c r="V107" s="63" t="e">
        <f t="shared" si="57"/>
        <v>#REF!</v>
      </c>
      <c r="W107" s="175" t="e">
        <f t="shared" si="58"/>
        <v>#REF!</v>
      </c>
      <c r="X107" s="63" t="e">
        <f>+#REF!</f>
        <v>#REF!</v>
      </c>
      <c r="Y107" s="63" t="e">
        <f t="shared" si="59"/>
        <v>#REF!</v>
      </c>
      <c r="Z107" s="175" t="e">
        <f t="shared" si="60"/>
        <v>#REF!</v>
      </c>
    </row>
    <row r="108" spans="1:26">
      <c r="A108" s="12" t="s">
        <v>88</v>
      </c>
      <c r="B108" s="1"/>
      <c r="C108" s="1"/>
      <c r="D108" s="1"/>
      <c r="E108" s="63">
        <v>244450</v>
      </c>
      <c r="F108" s="63">
        <v>251790</v>
      </c>
      <c r="G108" s="63" t="e">
        <f>+#REF!</f>
        <v>#REF!</v>
      </c>
      <c r="H108" s="63">
        <v>0</v>
      </c>
      <c r="I108" s="63">
        <f>+'[1]REVISED FY 2012 CS '!W106</f>
        <v>291832</v>
      </c>
      <c r="J108" s="63">
        <f>+[1]Component!W105</f>
        <v>324693</v>
      </c>
      <c r="K108" s="63">
        <f>+'[1]Component Re-submission'!W105</f>
        <v>324693</v>
      </c>
      <c r="L108" s="63">
        <f>+'[1]DOJ Pass'!$W106</f>
        <v>296483</v>
      </c>
      <c r="M108" s="63" t="e">
        <f t="shared" si="51"/>
        <v>#REF!</v>
      </c>
      <c r="N108" s="83" t="e">
        <f t="shared" si="52"/>
        <v>#REF!</v>
      </c>
      <c r="O108" s="63">
        <f>+'[1]DOJ Comp Appeal'!$W106</f>
        <v>296483</v>
      </c>
      <c r="P108" s="63" t="e">
        <f t="shared" si="53"/>
        <v>#REF!</v>
      </c>
      <c r="Q108" s="83" t="e">
        <f t="shared" si="54"/>
        <v>#REF!</v>
      </c>
      <c r="R108" s="63" t="e">
        <f>+#REF!</f>
        <v>#REF!</v>
      </c>
      <c r="S108" s="63" t="e">
        <f t="shared" si="55"/>
        <v>#REF!</v>
      </c>
      <c r="T108" s="175" t="e">
        <f t="shared" si="56"/>
        <v>#REF!</v>
      </c>
      <c r="U108" s="63" t="e">
        <f>+#REF!</f>
        <v>#REF!</v>
      </c>
      <c r="V108" s="63" t="e">
        <f t="shared" si="57"/>
        <v>#REF!</v>
      </c>
      <c r="W108" s="175" t="e">
        <f t="shared" si="58"/>
        <v>#REF!</v>
      </c>
      <c r="X108" s="63" t="e">
        <f>+#REF!</f>
        <v>#REF!</v>
      </c>
      <c r="Y108" s="63" t="e">
        <f t="shared" si="59"/>
        <v>#REF!</v>
      </c>
      <c r="Z108" s="175" t="e">
        <f t="shared" si="60"/>
        <v>#REF!</v>
      </c>
    </row>
    <row r="109" spans="1:26" ht="15.75" thickBot="1">
      <c r="A109" s="12" t="s">
        <v>89</v>
      </c>
      <c r="B109" s="1"/>
      <c r="C109" s="1"/>
      <c r="D109" s="131"/>
      <c r="E109" s="63">
        <v>635000</v>
      </c>
      <c r="F109" s="63">
        <v>705000</v>
      </c>
      <c r="G109" s="63" t="e">
        <f>+#REF!</f>
        <v>#REF!</v>
      </c>
      <c r="H109" s="63">
        <v>0</v>
      </c>
      <c r="I109" s="63">
        <f>+'[1]REVISED FY 2012 CS '!W107</f>
        <v>900000</v>
      </c>
      <c r="J109" s="63">
        <f>+[1]Component!W106</f>
        <v>1800000</v>
      </c>
      <c r="K109" s="63">
        <f>+'[1]Component Re-submission'!W106</f>
        <v>1800000</v>
      </c>
      <c r="L109" s="63">
        <f>+'[1]DOJ Pass'!$W107</f>
        <v>900000</v>
      </c>
      <c r="M109" s="63" t="e">
        <f>+'[1]DOJ Pass'!X107</f>
        <v>#REF!</v>
      </c>
      <c r="N109" s="83" t="e">
        <f t="shared" si="52"/>
        <v>#REF!</v>
      </c>
      <c r="O109" s="63">
        <f>+'[1]DOJ Comp Appeal'!$W107</f>
        <v>900000</v>
      </c>
      <c r="P109" s="63" t="e">
        <f>+'[1]DOJ Pass'!AA107</f>
        <v>#REF!</v>
      </c>
      <c r="Q109" s="83" t="e">
        <f t="shared" si="54"/>
        <v>#REF!</v>
      </c>
      <c r="R109" s="63" t="e">
        <f>+#REF!</f>
        <v>#REF!</v>
      </c>
      <c r="S109" s="63" t="e">
        <f>+'[1]DOJ Pass'!AD107</f>
        <v>#REF!</v>
      </c>
      <c r="T109" s="175" t="e">
        <f t="shared" si="56"/>
        <v>#REF!</v>
      </c>
      <c r="U109" s="63" t="e">
        <f>+#REF!</f>
        <v>#REF!</v>
      </c>
      <c r="V109" s="63" t="e">
        <f>+'[1]DOJ Pass'!AG107</f>
        <v>#REF!</v>
      </c>
      <c r="W109" s="175" t="e">
        <f t="shared" si="58"/>
        <v>#REF!</v>
      </c>
      <c r="X109" s="63" t="e">
        <f>+#REF!</f>
        <v>#REF!</v>
      </c>
      <c r="Y109" s="63" t="e">
        <f>+'[1]DOJ Pass'!AJ107</f>
        <v>#REF!</v>
      </c>
      <c r="Z109" s="175" t="e">
        <f t="shared" si="60"/>
        <v>#REF!</v>
      </c>
    </row>
    <row r="110" spans="1:26" ht="17.25" thickTop="1" thickBot="1">
      <c r="A110" s="19" t="s">
        <v>90</v>
      </c>
      <c r="B110" s="28"/>
      <c r="C110" s="28"/>
      <c r="D110" s="28"/>
      <c r="E110" s="80">
        <f t="shared" ref="E110:M110" si="61">SUM(E101:E109)</f>
        <v>2897410</v>
      </c>
      <c r="F110" s="80">
        <f t="shared" si="61"/>
        <v>2715400</v>
      </c>
      <c r="G110" s="80" t="e">
        <f t="shared" si="61"/>
        <v>#REF!</v>
      </c>
      <c r="H110" s="80">
        <f t="shared" si="61"/>
        <v>0</v>
      </c>
      <c r="I110" s="80">
        <f t="shared" si="61"/>
        <v>3114571</v>
      </c>
      <c r="J110" s="80">
        <f t="shared" si="61"/>
        <v>4047432</v>
      </c>
      <c r="K110" s="80">
        <f t="shared" si="61"/>
        <v>4047432</v>
      </c>
      <c r="L110" s="80">
        <f t="shared" si="61"/>
        <v>3044193</v>
      </c>
      <c r="M110" s="80" t="e">
        <f t="shared" si="61"/>
        <v>#REF!</v>
      </c>
      <c r="N110" s="128" t="e">
        <f t="shared" si="52"/>
        <v>#REF!</v>
      </c>
      <c r="O110" s="80">
        <f>SUM(O101:O109)</f>
        <v>3044193</v>
      </c>
      <c r="P110" s="80" t="e">
        <f>SUM(P101:P109)</f>
        <v>#REF!</v>
      </c>
      <c r="Q110" s="128" t="e">
        <f t="shared" si="54"/>
        <v>#REF!</v>
      </c>
      <c r="R110" s="80" t="e">
        <f>SUM(R101:R109)</f>
        <v>#REF!</v>
      </c>
      <c r="S110" s="80" t="e">
        <f>SUM(S101:S109)</f>
        <v>#REF!</v>
      </c>
      <c r="T110" s="184" t="e">
        <f t="shared" si="56"/>
        <v>#REF!</v>
      </c>
      <c r="U110" s="80" t="e">
        <f>SUM(U101:U109)</f>
        <v>#REF!</v>
      </c>
      <c r="V110" s="80" t="e">
        <f>SUM(V101:V109)</f>
        <v>#REF!</v>
      </c>
      <c r="W110" s="184" t="e">
        <f t="shared" si="58"/>
        <v>#REF!</v>
      </c>
      <c r="X110" s="80" t="e">
        <f>SUM(X101:X109)</f>
        <v>#REF!</v>
      </c>
      <c r="Y110" s="80" t="e">
        <f>SUM(Y101:Y109)</f>
        <v>#REF!</v>
      </c>
      <c r="Z110" s="184" t="e">
        <f t="shared" si="60"/>
        <v>#REF!</v>
      </c>
    </row>
    <row r="111" spans="1:26" ht="17.25" thickTop="1" thickBot="1">
      <c r="A111" s="31" t="s">
        <v>91</v>
      </c>
      <c r="B111" s="29"/>
      <c r="C111" s="29"/>
      <c r="D111" s="29"/>
      <c r="E111" s="26">
        <f>+E110+E99</f>
        <v>25713468</v>
      </c>
      <c r="F111" s="26">
        <f>+F110+F99</f>
        <v>26717751</v>
      </c>
      <c r="G111" s="26" t="e">
        <f t="shared" ref="G111:M111" si="62">G99+G110</f>
        <v>#REF!</v>
      </c>
      <c r="H111" s="26">
        <f t="shared" si="62"/>
        <v>28512807.078300003</v>
      </c>
      <c r="I111" s="26" t="e">
        <f t="shared" si="62"/>
        <v>#REF!</v>
      </c>
      <c r="J111" s="26" t="e">
        <f t="shared" si="62"/>
        <v>#REF!</v>
      </c>
      <c r="K111" s="26" t="e">
        <f t="shared" si="62"/>
        <v>#REF!</v>
      </c>
      <c r="L111" s="26" t="e">
        <f t="shared" si="62"/>
        <v>#REF!</v>
      </c>
      <c r="M111" s="26" t="e">
        <f t="shared" si="62"/>
        <v>#REF!</v>
      </c>
      <c r="N111" s="129" t="e">
        <f t="shared" si="52"/>
        <v>#REF!</v>
      </c>
      <c r="O111" s="26" t="e">
        <f>O99+O110</f>
        <v>#REF!</v>
      </c>
      <c r="P111" s="26" t="e">
        <f>P99+P110</f>
        <v>#REF!</v>
      </c>
      <c r="Q111" s="129" t="e">
        <f t="shared" si="54"/>
        <v>#REF!</v>
      </c>
      <c r="R111" s="26" t="e">
        <f>R99+R110</f>
        <v>#REF!</v>
      </c>
      <c r="S111" s="26" t="e">
        <f>S99+S110</f>
        <v>#REF!</v>
      </c>
      <c r="T111" s="185" t="e">
        <f t="shared" si="56"/>
        <v>#REF!</v>
      </c>
      <c r="U111" s="26" t="e">
        <f>U99+U110</f>
        <v>#REF!</v>
      </c>
      <c r="V111" s="26" t="e">
        <f>V99+V110</f>
        <v>#REF!</v>
      </c>
      <c r="W111" s="185" t="e">
        <f t="shared" si="58"/>
        <v>#REF!</v>
      </c>
      <c r="X111" s="26" t="e">
        <f>X99+X110</f>
        <v>#REF!</v>
      </c>
      <c r="Y111" s="26" t="e">
        <f>Y99+Y110</f>
        <v>#REF!</v>
      </c>
      <c r="Z111" s="185" t="e">
        <f t="shared" si="60"/>
        <v>#REF!</v>
      </c>
    </row>
    <row r="112" spans="1:26" ht="15.75" thickTop="1">
      <c r="A112" s="12" t="s">
        <v>92</v>
      </c>
      <c r="B112" s="1"/>
      <c r="C112" s="1"/>
      <c r="D112" s="1"/>
      <c r="E112" s="63"/>
      <c r="F112" s="63"/>
      <c r="G112" s="63"/>
      <c r="H112" s="63">
        <v>0</v>
      </c>
      <c r="I112" s="63"/>
      <c r="J112" s="63" t="e">
        <f>+[1]Component!W109</f>
        <v>#REF!</v>
      </c>
      <c r="K112" s="63" t="s">
        <v>1</v>
      </c>
      <c r="L112" s="63" t="s">
        <v>1</v>
      </c>
      <c r="M112" s="63" t="s">
        <v>1</v>
      </c>
      <c r="N112" s="83" t="s">
        <v>1</v>
      </c>
      <c r="O112" s="63" t="s">
        <v>1</v>
      </c>
      <c r="P112" s="63" t="s">
        <v>1</v>
      </c>
      <c r="Q112" s="83" t="s">
        <v>1</v>
      </c>
      <c r="R112" s="63" t="s">
        <v>1</v>
      </c>
      <c r="S112" s="63" t="s">
        <v>1</v>
      </c>
      <c r="T112" s="175" t="s">
        <v>1</v>
      </c>
      <c r="U112" s="63" t="s">
        <v>1</v>
      </c>
      <c r="V112" s="63" t="s">
        <v>1</v>
      </c>
      <c r="W112" s="175" t="s">
        <v>1</v>
      </c>
      <c r="X112" s="63" t="s">
        <v>1</v>
      </c>
      <c r="Y112" s="63" t="s">
        <v>1</v>
      </c>
      <c r="Z112" s="175" t="s">
        <v>1</v>
      </c>
    </row>
    <row r="113" spans="1:26">
      <c r="A113" s="12" t="s">
        <v>103</v>
      </c>
      <c r="B113" s="1"/>
      <c r="C113" s="1"/>
      <c r="D113" s="1"/>
      <c r="E113" s="63">
        <v>53622</v>
      </c>
      <c r="F113" s="63">
        <v>55328</v>
      </c>
      <c r="G113" s="63" t="e">
        <f>+#REF!</f>
        <v>#REF!</v>
      </c>
      <c r="H113" s="63">
        <v>0</v>
      </c>
      <c r="I113" s="63">
        <f>+'[1]REVISED FY 2012 CS '!W111</f>
        <v>55328</v>
      </c>
      <c r="J113" s="63">
        <f>+[1]Component!W110</f>
        <v>55328</v>
      </c>
      <c r="K113" s="63">
        <f>+'[1]Component Re-submission'!W110</f>
        <v>55328</v>
      </c>
      <c r="L113" s="63">
        <f>+'[1]DOJ Pass'!$W111</f>
        <v>60662</v>
      </c>
      <c r="M113" s="63" t="e">
        <f>+L113-$G113</f>
        <v>#REF!</v>
      </c>
      <c r="N113" s="83" t="e">
        <f>(+L113-$G113)/$G113</f>
        <v>#REF!</v>
      </c>
      <c r="O113" s="63">
        <f>+'[1]DOJ Comp Appeal'!$W111</f>
        <v>60662</v>
      </c>
      <c r="P113" s="63" t="e">
        <f>+O113-$G113</f>
        <v>#REF!</v>
      </c>
      <c r="Q113" s="83" t="e">
        <f>(+O113-$G113)/$G113</f>
        <v>#REF!</v>
      </c>
      <c r="R113" s="63" t="e">
        <f>+#REF!</f>
        <v>#REF!</v>
      </c>
      <c r="S113" s="63" t="e">
        <f>+R113-$G113</f>
        <v>#REF!</v>
      </c>
      <c r="T113" s="175" t="e">
        <f>(+R113-$G113)/$G113</f>
        <v>#REF!</v>
      </c>
      <c r="U113" s="63" t="e">
        <f>+#REF!</f>
        <v>#REF!</v>
      </c>
      <c r="V113" s="63" t="e">
        <f>+U113-$G113</f>
        <v>#REF!</v>
      </c>
      <c r="W113" s="175" t="e">
        <f>(+U113-$G113)/$G113</f>
        <v>#REF!</v>
      </c>
      <c r="X113" s="63" t="e">
        <f>+#REF!</f>
        <v>#REF!</v>
      </c>
      <c r="Y113" s="63" t="e">
        <f>+X113-$G113</f>
        <v>#REF!</v>
      </c>
      <c r="Z113" s="175" t="e">
        <f>(+X113-$G113)/$G113</f>
        <v>#REF!</v>
      </c>
    </row>
    <row r="114" spans="1:26">
      <c r="A114" s="12" t="s">
        <v>104</v>
      </c>
      <c r="B114" s="1"/>
      <c r="C114" s="1"/>
      <c r="D114" s="1"/>
      <c r="E114" s="63">
        <v>123840</v>
      </c>
      <c r="F114" s="63">
        <v>126258</v>
      </c>
      <c r="G114" s="63" t="e">
        <f>+#REF!</f>
        <v>#REF!</v>
      </c>
      <c r="H114" s="63">
        <v>0</v>
      </c>
      <c r="I114" s="63">
        <f>+'[1]REVISED FY 2012 CS '!W112</f>
        <v>126258</v>
      </c>
      <c r="J114" s="63">
        <f>+[1]Component!W111</f>
        <v>126258</v>
      </c>
      <c r="K114" s="63">
        <f>+'[1]Component Re-submission'!W111</f>
        <v>126258</v>
      </c>
      <c r="L114" s="63">
        <f>+'[1]DOJ Pass'!$W112</f>
        <v>126258</v>
      </c>
      <c r="M114" s="63" t="e">
        <f>+L114-$G114</f>
        <v>#REF!</v>
      </c>
      <c r="N114" s="83" t="e">
        <f>(+L114-$G114)/$G114</f>
        <v>#REF!</v>
      </c>
      <c r="O114" s="63">
        <f>+'[1]DOJ Comp Appeal'!$W112</f>
        <v>126258</v>
      </c>
      <c r="P114" s="63" t="e">
        <f>+O114-$G114</f>
        <v>#REF!</v>
      </c>
      <c r="Q114" s="83" t="e">
        <f>(+O114-$G114)/$G114</f>
        <v>#REF!</v>
      </c>
      <c r="R114" s="63" t="e">
        <f>+#REF!</f>
        <v>#REF!</v>
      </c>
      <c r="S114" s="63" t="e">
        <f>+R114-$G114</f>
        <v>#REF!</v>
      </c>
      <c r="T114" s="175" t="e">
        <f>(+R114-$G114)/$G114</f>
        <v>#REF!</v>
      </c>
      <c r="U114" s="63" t="e">
        <f>+#REF!</f>
        <v>#REF!</v>
      </c>
      <c r="V114" s="63" t="e">
        <f>+U114-$G114</f>
        <v>#REF!</v>
      </c>
      <c r="W114" s="175" t="e">
        <f>(+U114-$G114)/$G114</f>
        <v>#REF!</v>
      </c>
      <c r="X114" s="63" t="e">
        <f>+#REF!</f>
        <v>#REF!</v>
      </c>
      <c r="Y114" s="63" t="e">
        <f>+X114-$G114</f>
        <v>#REF!</v>
      </c>
      <c r="Z114" s="175" t="e">
        <f>(+X114-$G114)/$G114</f>
        <v>#REF!</v>
      </c>
    </row>
    <row r="115" spans="1:26" ht="15.75" thickBot="1">
      <c r="A115" s="12" t="s">
        <v>115</v>
      </c>
      <c r="B115" s="1"/>
      <c r="C115" s="1"/>
      <c r="D115" s="1"/>
      <c r="E115" s="63">
        <v>0</v>
      </c>
      <c r="F115" s="63">
        <v>29790</v>
      </c>
      <c r="G115" s="63" t="e">
        <f>+#REF!</f>
        <v>#REF!</v>
      </c>
      <c r="H115" s="63">
        <v>0</v>
      </c>
      <c r="I115" s="63">
        <f>+'[1]REVISED FY 2012 CS '!W113</f>
        <v>90003</v>
      </c>
      <c r="J115" s="63">
        <f>+[1]Component!W112</f>
        <v>90003</v>
      </c>
      <c r="K115" s="63">
        <f>+'[1]Component Re-submission'!W112</f>
        <v>90003</v>
      </c>
      <c r="L115" s="63">
        <f>+'[1]DOJ Pass'!$W113</f>
        <v>96759</v>
      </c>
      <c r="M115" s="63" t="e">
        <f>+L115-$G115</f>
        <v>#REF!</v>
      </c>
      <c r="N115" s="83" t="e">
        <f>(+L115-$G115)/$G115</f>
        <v>#REF!</v>
      </c>
      <c r="O115" s="63">
        <f>+'[1]DOJ Comp Appeal'!$W113</f>
        <v>96759</v>
      </c>
      <c r="P115" s="63" t="e">
        <f>+O115-$G115</f>
        <v>#REF!</v>
      </c>
      <c r="Q115" s="83" t="e">
        <f>(+O115-$G115)/$G115</f>
        <v>#REF!</v>
      </c>
      <c r="R115" s="63" t="e">
        <f>+#REF!</f>
        <v>#REF!</v>
      </c>
      <c r="S115" s="63" t="e">
        <f>+R115-$G115</f>
        <v>#REF!</v>
      </c>
      <c r="T115" s="175" t="e">
        <f>(+R115-$G115)/$G115</f>
        <v>#REF!</v>
      </c>
      <c r="U115" s="63" t="e">
        <f>+#REF!</f>
        <v>#REF!</v>
      </c>
      <c r="V115" s="63" t="e">
        <f>+U115-$G115</f>
        <v>#REF!</v>
      </c>
      <c r="W115" s="175" t="e">
        <f>(+U115-$G115)/$G115</f>
        <v>#REF!</v>
      </c>
      <c r="X115" s="63" t="e">
        <f>+#REF!</f>
        <v>#REF!</v>
      </c>
      <c r="Y115" s="63" t="e">
        <f>+X115-$G115</f>
        <v>#REF!</v>
      </c>
      <c r="Z115" s="175" t="e">
        <f>(+X115-$G115)/$G115</f>
        <v>#REF!</v>
      </c>
    </row>
    <row r="116" spans="1:26" ht="17.25" thickTop="1" thickBot="1">
      <c r="A116" s="19" t="s">
        <v>93</v>
      </c>
      <c r="B116" s="28"/>
      <c r="C116" s="28"/>
      <c r="D116" s="28"/>
      <c r="E116" s="32">
        <f t="shared" ref="E116:M116" si="63">SUM(E113:E115)</f>
        <v>177462</v>
      </c>
      <c r="F116" s="32">
        <f t="shared" si="63"/>
        <v>211376</v>
      </c>
      <c r="G116" s="32" t="e">
        <f t="shared" si="63"/>
        <v>#REF!</v>
      </c>
      <c r="H116" s="32">
        <f t="shared" si="63"/>
        <v>0</v>
      </c>
      <c r="I116" s="32">
        <f t="shared" si="63"/>
        <v>271589</v>
      </c>
      <c r="J116" s="32">
        <f t="shared" si="63"/>
        <v>271589</v>
      </c>
      <c r="K116" s="32">
        <f t="shared" si="63"/>
        <v>271589</v>
      </c>
      <c r="L116" s="32">
        <f t="shared" si="63"/>
        <v>283679</v>
      </c>
      <c r="M116" s="32" t="e">
        <f t="shared" si="63"/>
        <v>#REF!</v>
      </c>
      <c r="N116" s="130" t="e">
        <f>(+L116-$G116)/$G116</f>
        <v>#REF!</v>
      </c>
      <c r="O116" s="32">
        <f>SUM(O113:O115)</f>
        <v>283679</v>
      </c>
      <c r="P116" s="32" t="e">
        <f>SUM(P113:P115)</f>
        <v>#REF!</v>
      </c>
      <c r="Q116" s="130" t="e">
        <f>(+O116-$G116)/$G116</f>
        <v>#REF!</v>
      </c>
      <c r="R116" s="32" t="e">
        <f>SUM(R113:R115)</f>
        <v>#REF!</v>
      </c>
      <c r="S116" s="32" t="e">
        <f>SUM(S113:S115)</f>
        <v>#REF!</v>
      </c>
      <c r="T116" s="186" t="e">
        <f>(+R116-$G116)/$G116</f>
        <v>#REF!</v>
      </c>
      <c r="U116" s="32" t="e">
        <f>SUM(U113:U115)</f>
        <v>#REF!</v>
      </c>
      <c r="V116" s="32" t="e">
        <f>SUM(V113:V115)</f>
        <v>#REF!</v>
      </c>
      <c r="W116" s="186" t="e">
        <f>(+U116-$G116)/$G116</f>
        <v>#REF!</v>
      </c>
      <c r="X116" s="32" t="e">
        <f>SUM(X113:X115)</f>
        <v>#REF!</v>
      </c>
      <c r="Y116" s="32" t="e">
        <f>SUM(Y113:Y115)</f>
        <v>#REF!</v>
      </c>
      <c r="Z116" s="186" t="e">
        <f>(+X116-$G116)/$G116</f>
        <v>#REF!</v>
      </c>
    </row>
    <row r="117" spans="1:26" ht="18" customHeight="1" thickTop="1" thickBot="1">
      <c r="A117" s="33" t="s">
        <v>94</v>
      </c>
      <c r="B117" s="34"/>
      <c r="C117" s="34"/>
      <c r="D117" s="53"/>
      <c r="E117" s="26">
        <f t="shared" ref="E117:M117" si="64">SUM(E111,E116)</f>
        <v>25890930</v>
      </c>
      <c r="F117" s="67">
        <f t="shared" si="64"/>
        <v>26929127</v>
      </c>
      <c r="G117" s="67" t="e">
        <f t="shared" si="64"/>
        <v>#REF!</v>
      </c>
      <c r="H117" s="67">
        <f t="shared" si="64"/>
        <v>28512807.078300003</v>
      </c>
      <c r="I117" s="67" t="e">
        <f t="shared" si="64"/>
        <v>#REF!</v>
      </c>
      <c r="J117" s="67" t="e">
        <f t="shared" si="64"/>
        <v>#REF!</v>
      </c>
      <c r="K117" s="67" t="e">
        <f t="shared" si="64"/>
        <v>#REF!</v>
      </c>
      <c r="L117" s="67" t="e">
        <f t="shared" si="64"/>
        <v>#REF!</v>
      </c>
      <c r="M117" s="26" t="e">
        <f t="shared" si="64"/>
        <v>#REF!</v>
      </c>
      <c r="N117" s="129" t="e">
        <f>(+L117-$G117)/$G117</f>
        <v>#REF!</v>
      </c>
      <c r="O117" s="67" t="e">
        <f>SUM(O111,O116)</f>
        <v>#REF!</v>
      </c>
      <c r="P117" s="26" t="e">
        <f>SUM(P111,P116)</f>
        <v>#REF!</v>
      </c>
      <c r="Q117" s="129" t="e">
        <f>(+O117-$G117)/$G117</f>
        <v>#REF!</v>
      </c>
      <c r="R117" s="67" t="e">
        <f>SUM(R111,R116)</f>
        <v>#REF!</v>
      </c>
      <c r="S117" s="26" t="e">
        <f>SUM(S111,S116)</f>
        <v>#REF!</v>
      </c>
      <c r="T117" s="185" t="e">
        <f>(+R117-$G117)/$G117</f>
        <v>#REF!</v>
      </c>
      <c r="U117" s="67" t="e">
        <f>SUM(U111,U116)</f>
        <v>#REF!</v>
      </c>
      <c r="V117" s="26" t="e">
        <f>SUM(V111,V116)</f>
        <v>#REF!</v>
      </c>
      <c r="W117" s="185" t="e">
        <f>(+U117-$G117)/$G117</f>
        <v>#REF!</v>
      </c>
      <c r="X117" s="67" t="e">
        <f>SUM(X111,X116)</f>
        <v>#REF!</v>
      </c>
      <c r="Y117" s="26" t="e">
        <f>SUM(Y111,Y116)</f>
        <v>#REF!</v>
      </c>
      <c r="Z117" s="185" t="e">
        <f>(+X117-$G117)/$G117</f>
        <v>#REF!</v>
      </c>
    </row>
    <row r="118" spans="1:26" ht="18" customHeight="1" thickTop="1">
      <c r="A118" s="280" t="s">
        <v>123</v>
      </c>
      <c r="B118" s="281"/>
      <c r="C118" s="281"/>
      <c r="D118" s="281"/>
      <c r="E118" s="281"/>
      <c r="F118" s="281"/>
      <c r="G118" s="281"/>
      <c r="H118" s="281"/>
      <c r="I118" s="281"/>
      <c r="J118" s="281"/>
    </row>
    <row r="119" spans="1:26">
      <c r="A119" s="238"/>
      <c r="B119" s="238"/>
      <c r="C119" s="238"/>
      <c r="D119" s="238"/>
      <c r="E119" s="114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>
      <c r="A120" s="38"/>
      <c r="B120" s="39"/>
      <c r="C120" s="39"/>
      <c r="D120" s="39"/>
      <c r="E120" s="115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>
      <c r="A121" s="239"/>
      <c r="B121" s="239"/>
      <c r="C121" s="239"/>
      <c r="D121" s="239"/>
      <c r="E121" s="116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>
      <c r="A122" s="154"/>
      <c r="B122" s="40"/>
      <c r="C122" s="40"/>
      <c r="D122" s="40"/>
      <c r="E122" s="117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>
      <c r="A123" s="41"/>
      <c r="B123" s="40"/>
      <c r="C123" s="40"/>
      <c r="D123" s="40"/>
      <c r="E123" s="117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>
      <c r="A124" s="41"/>
      <c r="B124" s="40"/>
      <c r="C124" s="40"/>
      <c r="D124" s="40"/>
      <c r="E124" s="117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>
      <c r="A125" s="42"/>
      <c r="B125" s="4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>
      <c r="A126" s="45"/>
      <c r="B126" s="4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>
      <c r="A127" s="45"/>
      <c r="B127" s="4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>
      <c r="A128" s="45"/>
      <c r="B128" s="4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>
      <c r="A129" s="45"/>
      <c r="B129" s="4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>
      <c r="A130" s="45"/>
      <c r="B130" s="4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>
      <c r="A131" s="45"/>
      <c r="B131" s="4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>
      <c r="A132" s="45"/>
      <c r="B132" s="4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>
      <c r="A133" s="45"/>
      <c r="B133" s="4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>
      <c r="A134" s="45"/>
      <c r="B134" s="4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>
      <c r="A135" s="45"/>
      <c r="B135" s="4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>
      <c r="A136" s="45"/>
      <c r="B136" s="4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>
      <c r="A137" s="45"/>
      <c r="B137" s="4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>
      <c r="A138" s="45"/>
      <c r="B138" s="4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>
      <c r="A139" s="45"/>
      <c r="B139" s="4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>
      <c r="A140" s="45"/>
      <c r="B140" s="4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>
      <c r="A141" s="46"/>
      <c r="B141" s="4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>
      <c r="A142" s="46"/>
      <c r="B142" s="4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>
      <c r="A143" s="46"/>
      <c r="B143" s="4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>
      <c r="A144" s="46"/>
      <c r="B144" s="4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>
      <c r="A145" s="46"/>
      <c r="B145" s="4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>
      <c r="A146" s="46"/>
      <c r="B146" s="4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>
      <c r="A147" s="46"/>
      <c r="B147" s="4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>
      <c r="A148" s="46"/>
      <c r="B148" s="4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>
      <c r="A149" s="46"/>
      <c r="B149" s="4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>
      <c r="A150" s="46"/>
      <c r="B150" s="4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>
      <c r="A151" s="46"/>
      <c r="B151" s="4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>
      <c r="A152" s="46"/>
      <c r="B152" s="4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>
      <c r="A153" s="46"/>
      <c r="B153" s="4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>
      <c r="A154" s="46"/>
      <c r="B154" s="4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>
      <c r="A155" s="46"/>
      <c r="B155" s="4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>
      <c r="A156" s="46"/>
      <c r="B156" s="4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>
      <c r="A157" s="46"/>
      <c r="B157" s="4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>
      <c r="A158" s="46"/>
      <c r="B158" s="4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>
      <c r="A159" s="46"/>
      <c r="B159" s="4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>
      <c r="A160" s="46"/>
      <c r="B160" s="4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>
      <c r="A161" s="46"/>
      <c r="B161" s="4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>
      <c r="A162" s="46"/>
      <c r="B162" s="4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>
      <c r="A163" s="46"/>
      <c r="B163" s="4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>
      <c r="A164" s="46"/>
      <c r="B164" s="4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>
      <c r="A165" s="46"/>
      <c r="B165" s="4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>
      <c r="A166" s="46"/>
      <c r="B166" s="4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>
      <c r="A167" s="46"/>
      <c r="B167" s="4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>
      <c r="A168" s="46"/>
      <c r="B168" s="4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>
      <c r="A169" s="46"/>
      <c r="B169" s="4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>
      <c r="A170" s="46"/>
      <c r="B170" s="4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>
      <c r="A171" s="46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>
      <c r="A172" s="46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>
      <c r="A173" s="46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>
      <c r="A174" s="46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>
      <c r="A175" s="46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>
      <c r="A176" s="46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>
      <c r="A177" s="46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>
      <c r="A178" s="46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>
      <c r="A179" s="46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>
      <c r="A180" s="46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>
      <c r="A181" s="46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>
      <c r="A192" s="47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>
      <c r="A195" s="48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>
      <c r="A208" s="49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>
      <c r="A209" s="49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>
      <c r="A225" s="1"/>
      <c r="B225" s="1"/>
      <c r="C225" s="1"/>
      <c r="D225" s="1"/>
      <c r="E225" s="1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>
      <c r="A226" s="1"/>
      <c r="B226" s="1"/>
      <c r="C226" s="1"/>
      <c r="D226" s="1"/>
      <c r="E226" s="1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>
      <c r="A227" s="1"/>
      <c r="B227" s="1"/>
      <c r="C227" s="1"/>
      <c r="D227" s="1"/>
      <c r="E227" s="1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>
      <c r="A228" s="1"/>
      <c r="B228" s="1"/>
      <c r="C228" s="1"/>
      <c r="D228" s="1"/>
      <c r="E228" s="1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>
      <c r="A229" s="1"/>
      <c r="B229" s="1"/>
      <c r="C229" s="1"/>
      <c r="D229" s="1"/>
      <c r="E229" s="1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>
      <c r="A230" s="1"/>
      <c r="B230" s="1"/>
      <c r="C230" s="1"/>
      <c r="D230" s="1"/>
      <c r="E230" s="1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>
      <c r="A231" s="1"/>
      <c r="B231" s="1"/>
      <c r="C231" s="1"/>
      <c r="D231" s="1"/>
      <c r="E231" s="1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>
      <c r="A232" s="1"/>
      <c r="B232" s="1"/>
      <c r="C232" s="1"/>
      <c r="D232" s="1"/>
      <c r="E232" s="1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>
      <c r="A233" s="1"/>
      <c r="B233" s="1"/>
      <c r="C233" s="1"/>
      <c r="D233" s="1"/>
      <c r="E233" s="1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>
      <c r="A234" s="1"/>
      <c r="B234" s="1"/>
      <c r="C234" s="1"/>
      <c r="D234" s="1"/>
      <c r="E234" s="1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>
      <c r="A235" s="1"/>
      <c r="B235" s="1"/>
      <c r="C235" s="1"/>
      <c r="D235" s="1"/>
      <c r="E235" s="1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>
      <c r="A236" s="1"/>
      <c r="B236" s="1"/>
      <c r="C236" s="1"/>
      <c r="D236" s="1"/>
      <c r="E236" s="1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>
      <c r="A237" s="1"/>
      <c r="B237" s="1"/>
      <c r="C237" s="1"/>
      <c r="D237" s="1"/>
      <c r="E237" s="1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>
      <c r="A238" s="1"/>
      <c r="B238" s="1"/>
      <c r="C238" s="1"/>
      <c r="D238" s="1"/>
      <c r="E238" s="1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>
      <c r="A239" s="1"/>
      <c r="B239" s="1"/>
      <c r="C239" s="1"/>
      <c r="D239" s="1"/>
      <c r="E239" s="1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>
      <c r="A240" s="1"/>
      <c r="B240" s="1"/>
      <c r="C240" s="1"/>
      <c r="D240" s="1"/>
      <c r="E240" s="1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>
      <c r="A241" s="1"/>
      <c r="B241" s="1"/>
      <c r="C241" s="1"/>
      <c r="D241" s="1"/>
      <c r="E241" s="1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>
      <c r="A242" s="1"/>
      <c r="B242" s="1"/>
      <c r="C242" s="1"/>
      <c r="D242" s="1"/>
      <c r="E242" s="1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>
      <c r="A243" s="1"/>
      <c r="B243" s="1"/>
      <c r="C243" s="1"/>
      <c r="D243" s="1"/>
      <c r="E243" s="1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>
      <c r="A244" s="1"/>
      <c r="B244" s="1"/>
      <c r="C244" s="1"/>
      <c r="D244" s="1"/>
      <c r="E244" s="1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>
      <c r="A245" s="1"/>
      <c r="B245" s="1"/>
      <c r="C245" s="1"/>
      <c r="D245" s="1"/>
      <c r="E245" s="1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>
      <c r="A246" s="1"/>
      <c r="B246" s="1"/>
      <c r="C246" s="1"/>
      <c r="D246" s="1"/>
      <c r="E246" s="1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>
      <c r="A247" s="1"/>
      <c r="B247" s="1"/>
      <c r="C247" s="1"/>
      <c r="D247" s="1"/>
      <c r="E247" s="1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>
      <c r="A248" s="1"/>
      <c r="B248" s="1"/>
      <c r="C248" s="1"/>
      <c r="D248" s="1"/>
      <c r="E248" s="1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>
      <c r="A249" s="1"/>
      <c r="B249" s="1"/>
      <c r="C249" s="1"/>
      <c r="D249" s="1"/>
      <c r="E249" s="1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>
      <c r="A250" s="1"/>
      <c r="B250" s="1"/>
      <c r="C250" s="1"/>
      <c r="D250" s="1"/>
      <c r="E250" s="1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>
      <c r="A251" s="1"/>
      <c r="B251" s="1"/>
      <c r="C251" s="1"/>
      <c r="D251" s="1"/>
      <c r="E251" s="1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>
      <c r="A252" s="1"/>
      <c r="B252" s="1"/>
      <c r="C252" s="1"/>
      <c r="D252" s="1"/>
      <c r="E252" s="1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>
      <c r="A253" s="1"/>
      <c r="B253" s="1"/>
      <c r="C253" s="1"/>
      <c r="D253" s="1"/>
      <c r="E253" s="1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>
      <c r="A254" s="1"/>
      <c r="B254" s="1"/>
      <c r="C254" s="1"/>
      <c r="D254" s="1"/>
      <c r="E254" s="1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>
      <c r="A255" s="1"/>
      <c r="B255" s="1"/>
      <c r="C255" s="1"/>
      <c r="D255" s="1"/>
      <c r="E255" s="1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>
      <c r="A256" s="1"/>
      <c r="B256" s="1"/>
      <c r="C256" s="1"/>
      <c r="D256" s="1"/>
      <c r="E256" s="1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>
      <c r="A257" s="1"/>
      <c r="B257" s="1"/>
      <c r="C257" s="1"/>
      <c r="D257" s="1"/>
      <c r="E257" s="1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>
      <c r="A258" s="1"/>
      <c r="B258" s="1"/>
      <c r="C258" s="1"/>
      <c r="D258" s="1"/>
      <c r="E258" s="1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>
      <c r="A259" s="1"/>
      <c r="B259" s="1"/>
      <c r="C259" s="1"/>
      <c r="D259" s="1"/>
      <c r="E259" s="1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>
      <c r="A260" s="1"/>
      <c r="B260" s="1"/>
      <c r="C260" s="1"/>
      <c r="D260" s="1"/>
      <c r="E260" s="1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>
      <c r="A261" s="1"/>
      <c r="B261" s="1"/>
      <c r="C261" s="1"/>
      <c r="D261" s="1"/>
      <c r="E261" s="1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>
      <c r="A262" s="1"/>
      <c r="B262" s="1"/>
      <c r="C262" s="1"/>
      <c r="D262" s="1"/>
      <c r="E262" s="1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>
      <c r="A263" s="1"/>
      <c r="B263" s="1"/>
      <c r="C263" s="1"/>
      <c r="D263" s="1"/>
      <c r="E263" s="1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>
      <c r="A264" s="1"/>
      <c r="B264" s="1"/>
      <c r="C264" s="1"/>
      <c r="D264" s="1"/>
      <c r="E264" s="1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>
      <c r="A265" s="1"/>
      <c r="B265" s="1"/>
      <c r="C265" s="1"/>
      <c r="D265" s="1"/>
      <c r="E265" s="1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>
      <c r="A266" s="1"/>
      <c r="B266" s="1"/>
      <c r="C266" s="1"/>
      <c r="D266" s="1"/>
      <c r="E266" s="1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>
      <c r="A267" s="1"/>
      <c r="B267" s="1"/>
      <c r="C267" s="1"/>
      <c r="D267" s="1"/>
      <c r="E267" s="1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>
      <c r="A268" s="1"/>
      <c r="B268" s="1"/>
      <c r="C268" s="1"/>
      <c r="D268" s="1"/>
      <c r="E268" s="1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>
      <c r="A269" s="1"/>
      <c r="B269" s="1"/>
      <c r="C269" s="1"/>
      <c r="D269" s="1"/>
      <c r="E269" s="1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>
      <c r="A270" s="1"/>
      <c r="B270" s="1"/>
      <c r="C270" s="1"/>
      <c r="D270" s="1"/>
      <c r="E270" s="1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>
      <c r="A271" s="1"/>
      <c r="B271" s="1"/>
      <c r="C271" s="1"/>
      <c r="D271" s="1"/>
      <c r="E271" s="1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>
      <c r="A272" s="1"/>
      <c r="B272" s="1"/>
      <c r="C272" s="1"/>
      <c r="D272" s="1"/>
      <c r="E272" s="1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>
      <c r="A273" s="1"/>
      <c r="B273" s="1"/>
      <c r="C273" s="1"/>
      <c r="D273" s="1"/>
      <c r="E273" s="1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>
      <c r="A274" s="1"/>
      <c r="B274" s="1"/>
      <c r="C274" s="1"/>
      <c r="D274" s="1"/>
      <c r="E274" s="1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>
      <c r="A275" s="1"/>
      <c r="B275" s="1"/>
      <c r="C275" s="1"/>
      <c r="D275" s="1"/>
      <c r="E275" s="1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>
      <c r="A276" s="1"/>
      <c r="B276" s="1"/>
      <c r="C276" s="1"/>
      <c r="D276" s="1"/>
      <c r="E276" s="1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>
      <c r="A277" s="1"/>
      <c r="B277" s="1"/>
      <c r="C277" s="1"/>
      <c r="D277" s="1"/>
      <c r="E277" s="1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>
      <c r="A278" s="1"/>
      <c r="B278" s="1"/>
      <c r="C278" s="1"/>
      <c r="D278" s="1"/>
      <c r="E278" s="1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>
      <c r="A279" s="1"/>
      <c r="B279" s="1"/>
      <c r="C279" s="1"/>
      <c r="D279" s="1"/>
      <c r="E279" s="1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>
      <c r="A280" s="1"/>
      <c r="B280" s="1"/>
      <c r="C280" s="1"/>
      <c r="D280" s="1"/>
      <c r="E280" s="1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>
      <c r="A281" s="1"/>
      <c r="B281" s="1"/>
      <c r="C281" s="1"/>
      <c r="D281" s="1"/>
      <c r="E281" s="1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>
      <c r="A282" s="1"/>
      <c r="B282" s="1"/>
      <c r="C282" s="1"/>
      <c r="D282" s="1"/>
      <c r="E282" s="1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>
      <c r="A283" s="1"/>
      <c r="B283" s="1"/>
      <c r="C283" s="1"/>
      <c r="D283" s="1"/>
      <c r="E283" s="1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>
      <c r="A284" s="1"/>
      <c r="B284" s="1"/>
      <c r="C284" s="1"/>
      <c r="D284" s="1"/>
      <c r="E284" s="1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>
      <c r="A285" s="1"/>
      <c r="B285" s="1"/>
      <c r="C285" s="1"/>
      <c r="D285" s="1"/>
      <c r="E285" s="1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>
      <c r="A286" s="1"/>
      <c r="B286" s="1"/>
      <c r="C286" s="1"/>
      <c r="D286" s="1"/>
      <c r="E286" s="1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>
      <c r="A287" s="1"/>
      <c r="B287" s="1"/>
      <c r="C287" s="1"/>
      <c r="D287" s="1"/>
      <c r="E287" s="1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>
      <c r="A288" s="1"/>
      <c r="B288" s="1"/>
      <c r="C288" s="1"/>
      <c r="D288" s="1"/>
      <c r="E288" s="1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>
      <c r="A289" s="1"/>
      <c r="B289" s="1"/>
      <c r="C289" s="1"/>
      <c r="D289" s="1"/>
      <c r="E289" s="1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>
      <c r="A290" s="1"/>
      <c r="B290" s="1"/>
      <c r="C290" s="1"/>
      <c r="D290" s="1"/>
      <c r="E290" s="1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>
      <c r="A291" s="1"/>
      <c r="B291" s="1"/>
      <c r="C291" s="1"/>
      <c r="D291" s="1"/>
      <c r="E291" s="1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>
      <c r="A292" s="1"/>
      <c r="B292" s="1"/>
      <c r="C292" s="1"/>
      <c r="D292" s="1"/>
      <c r="E292" s="1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>
      <c r="A293" s="1"/>
      <c r="B293" s="1"/>
      <c r="C293" s="1"/>
      <c r="D293" s="1"/>
      <c r="E293" s="1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>
      <c r="A294" s="1"/>
      <c r="B294" s="1"/>
      <c r="C294" s="1"/>
      <c r="D294" s="1"/>
      <c r="E294" s="1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>
      <c r="A295" s="1"/>
      <c r="B295" s="1"/>
      <c r="C295" s="1"/>
      <c r="D295" s="1"/>
      <c r="E295" s="1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>
      <c r="A296" s="1"/>
      <c r="B296" s="1"/>
      <c r="C296" s="1"/>
      <c r="D296" s="1"/>
      <c r="E296" s="1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>
      <c r="A297" s="1"/>
      <c r="B297" s="1"/>
      <c r="C297" s="1"/>
      <c r="D297" s="1"/>
      <c r="E297" s="1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>
      <c r="A298" s="1"/>
      <c r="B298" s="1"/>
      <c r="C298" s="1"/>
      <c r="D298" s="1"/>
      <c r="E298" s="1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>
      <c r="A299" s="1"/>
      <c r="B299" s="1"/>
      <c r="C299" s="1"/>
      <c r="D299" s="1"/>
      <c r="E299" s="1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>
      <c r="A300" s="1"/>
      <c r="B300" s="1"/>
      <c r="C300" s="1"/>
      <c r="D300" s="1"/>
      <c r="E300" s="1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>
      <c r="A301" s="1"/>
      <c r="B301" s="1"/>
      <c r="C301" s="1"/>
      <c r="D301" s="1"/>
      <c r="E301" s="1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>
      <c r="A302" s="1"/>
      <c r="B302" s="1"/>
      <c r="C302" s="1"/>
      <c r="D302" s="1"/>
      <c r="E302" s="1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>
      <c r="A303" s="1"/>
      <c r="B303" s="1"/>
      <c r="C303" s="1"/>
      <c r="D303" s="1"/>
      <c r="E303" s="1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>
      <c r="A304" s="1"/>
      <c r="B304" s="1"/>
      <c r="C304" s="1"/>
      <c r="D304" s="1"/>
      <c r="E304" s="1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>
      <c r="A305" s="1"/>
      <c r="B305" s="1"/>
      <c r="C305" s="1"/>
      <c r="D305" s="1"/>
      <c r="E305" s="1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>
      <c r="A306" s="1"/>
      <c r="B306" s="1"/>
      <c r="C306" s="1"/>
      <c r="D306" s="1"/>
      <c r="E306" s="1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>
      <c r="A307" s="1"/>
      <c r="B307" s="1"/>
      <c r="C307" s="1"/>
      <c r="D307" s="1"/>
      <c r="E307" s="1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>
      <c r="A308" s="1"/>
      <c r="B308" s="1"/>
      <c r="C308" s="1"/>
      <c r="D308" s="1"/>
      <c r="E308" s="1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>
      <c r="A309" s="1"/>
      <c r="B309" s="1"/>
      <c r="C309" s="1"/>
      <c r="D309" s="1"/>
      <c r="E309" s="1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>
      <c r="A310" s="1"/>
      <c r="B310" s="1"/>
      <c r="C310" s="1"/>
      <c r="D310" s="1"/>
      <c r="E310" s="1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>
      <c r="A311" s="1"/>
      <c r="B311" s="1"/>
      <c r="C311" s="1"/>
      <c r="D311" s="1"/>
      <c r="E311" s="1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>
      <c r="A312" s="1"/>
      <c r="B312" s="1"/>
      <c r="C312" s="1"/>
      <c r="D312" s="1"/>
      <c r="E312" s="1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>
      <c r="A313" s="1"/>
      <c r="B313" s="1"/>
      <c r="C313" s="1"/>
      <c r="D313" s="1"/>
      <c r="E313" s="1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>
      <c r="A314" s="1"/>
      <c r="B314" s="1"/>
      <c r="C314" s="1"/>
      <c r="D314" s="1"/>
      <c r="E314" s="1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>
      <c r="A315" s="1"/>
      <c r="B315" s="1"/>
      <c r="C315" s="1"/>
      <c r="D315" s="1"/>
      <c r="E315" s="1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>
      <c r="A316" s="1"/>
      <c r="B316" s="1"/>
      <c r="C316" s="1"/>
      <c r="D316" s="1"/>
      <c r="E316" s="1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>
      <c r="A317" s="1"/>
      <c r="B317" s="1"/>
      <c r="C317" s="1"/>
      <c r="D317" s="1"/>
      <c r="E317" s="1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>
      <c r="A318" s="1"/>
      <c r="B318" s="1"/>
      <c r="C318" s="1"/>
      <c r="D318" s="1"/>
      <c r="E318" s="1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>
      <c r="A319" s="1"/>
      <c r="B319" s="1"/>
      <c r="C319" s="1"/>
      <c r="D319" s="1"/>
      <c r="E319" s="1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>
      <c r="A320" s="1"/>
      <c r="B320" s="1"/>
      <c r="C320" s="1"/>
      <c r="D320" s="1"/>
      <c r="E320" s="1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>
      <c r="A321" s="1"/>
      <c r="B321" s="1"/>
      <c r="C321" s="1"/>
      <c r="D321" s="1"/>
      <c r="E321" s="1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>
      <c r="A322" s="1"/>
      <c r="B322" s="1"/>
      <c r="C322" s="1"/>
      <c r="D322" s="1"/>
      <c r="E322" s="1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>
      <c r="A323" s="1"/>
      <c r="B323" s="1"/>
      <c r="C323" s="1"/>
      <c r="D323" s="1"/>
      <c r="E323" s="1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>
      <c r="A324" s="1"/>
      <c r="B324" s="1"/>
      <c r="C324" s="1"/>
      <c r="D324" s="1"/>
      <c r="E324" s="1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>
      <c r="A325" s="1"/>
      <c r="B325" s="1"/>
      <c r="C325" s="1"/>
      <c r="D325" s="1"/>
      <c r="E325" s="1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>
      <c r="A326" s="1"/>
      <c r="B326" s="1"/>
      <c r="C326" s="1"/>
      <c r="D326" s="1"/>
      <c r="E326" s="1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>
      <c r="A327" s="1"/>
      <c r="B327" s="1"/>
      <c r="C327" s="1"/>
      <c r="D327" s="1"/>
      <c r="E327" s="1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>
      <c r="A328" s="1"/>
      <c r="B328" s="1"/>
      <c r="C328" s="1"/>
      <c r="D328" s="1"/>
      <c r="E328" s="1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>
      <c r="A329" s="1"/>
      <c r="B329" s="1"/>
      <c r="C329" s="1"/>
      <c r="D329" s="1"/>
      <c r="E329" s="1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>
      <c r="A330" s="1"/>
      <c r="B330" s="1"/>
      <c r="C330" s="1"/>
      <c r="D330" s="1"/>
      <c r="E330" s="1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>
      <c r="A331" s="1"/>
      <c r="B331" s="1"/>
      <c r="C331" s="1"/>
      <c r="D331" s="1"/>
      <c r="E331" s="1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>
      <c r="A332" s="1"/>
      <c r="B332" s="1"/>
      <c r="C332" s="1"/>
      <c r="D332" s="1"/>
      <c r="E332" s="1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>
      <c r="A333" s="1"/>
      <c r="B333" s="1"/>
      <c r="C333" s="1"/>
      <c r="D333" s="1"/>
      <c r="E333" s="1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>
      <c r="A334" s="1"/>
      <c r="B334" s="1"/>
      <c r="C334" s="1"/>
      <c r="D334" s="1"/>
      <c r="E334" s="1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>
      <c r="A335" s="1"/>
      <c r="B335" s="1"/>
      <c r="C335" s="1"/>
      <c r="D335" s="1"/>
      <c r="E335" s="1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>
      <c r="A336" s="1"/>
      <c r="B336" s="1"/>
      <c r="C336" s="1"/>
      <c r="D336" s="1"/>
      <c r="E336" s="1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>
      <c r="A337" s="1"/>
      <c r="B337" s="1"/>
      <c r="C337" s="1"/>
      <c r="D337" s="1"/>
      <c r="E337" s="1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>
      <c r="A338" s="1"/>
      <c r="B338" s="1"/>
      <c r="C338" s="1"/>
      <c r="D338" s="1"/>
      <c r="E338" s="1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>
      <c r="A339" s="1"/>
      <c r="B339" s="1"/>
      <c r="C339" s="1"/>
      <c r="D339" s="1"/>
      <c r="E339" s="1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>
      <c r="A340" s="1"/>
      <c r="B340" s="1"/>
      <c r="C340" s="1"/>
      <c r="D340" s="1"/>
      <c r="E340" s="1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>
      <c r="A341" s="1"/>
      <c r="B341" s="1"/>
      <c r="C341" s="1"/>
      <c r="D341" s="1"/>
      <c r="E341" s="1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>
      <c r="A342" s="1"/>
      <c r="B342" s="1"/>
      <c r="C342" s="1"/>
      <c r="D342" s="1"/>
      <c r="E342" s="1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>
      <c r="A343" s="1"/>
      <c r="B343" s="1"/>
      <c r="C343" s="1"/>
      <c r="D343" s="1"/>
      <c r="E343" s="1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>
      <c r="A344" s="1"/>
      <c r="B344" s="1"/>
      <c r="C344" s="1"/>
      <c r="D344" s="1"/>
      <c r="E344" s="1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>
      <c r="A345" s="1"/>
      <c r="B345" s="1"/>
      <c r="C345" s="1"/>
      <c r="D345" s="1"/>
      <c r="E345" s="1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>
      <c r="A346" s="1"/>
      <c r="B346" s="1"/>
      <c r="C346" s="1"/>
      <c r="D346" s="1"/>
      <c r="E346" s="1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>
      <c r="A347" s="1"/>
      <c r="B347" s="1"/>
      <c r="C347" s="1"/>
      <c r="D347" s="1"/>
      <c r="E347" s="1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>
      <c r="A348" s="1"/>
      <c r="B348" s="1"/>
      <c r="C348" s="1"/>
      <c r="D348" s="1"/>
      <c r="E348" s="1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>
      <c r="A349" s="1"/>
      <c r="B349" s="1"/>
      <c r="C349" s="1"/>
      <c r="D349" s="1"/>
      <c r="E349" s="1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>
      <c r="A350" s="1"/>
      <c r="B350" s="1"/>
      <c r="C350" s="1"/>
      <c r="D350" s="1"/>
      <c r="E350" s="1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>
      <c r="A351" s="1"/>
      <c r="B351" s="1"/>
      <c r="C351" s="1"/>
      <c r="D351" s="1"/>
      <c r="E351" s="1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>
      <c r="A352" s="1"/>
      <c r="B352" s="1"/>
      <c r="C352" s="1"/>
      <c r="D352" s="1"/>
      <c r="E352" s="1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>
      <c r="A353" s="1"/>
      <c r="B353" s="1"/>
      <c r="C353" s="1"/>
      <c r="D353" s="1"/>
      <c r="E353" s="1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>
      <c r="A354" s="1"/>
      <c r="B354" s="1"/>
      <c r="C354" s="1"/>
      <c r="D354" s="1"/>
      <c r="E354" s="1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>
      <c r="A355" s="1"/>
      <c r="B355" s="1"/>
      <c r="C355" s="1"/>
      <c r="D355" s="1"/>
      <c r="E355" s="1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>
      <c r="A356" s="1"/>
      <c r="B356" s="1"/>
      <c r="C356" s="1"/>
      <c r="D356" s="1"/>
      <c r="E356" s="1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>
      <c r="A357" s="1"/>
      <c r="B357" s="1"/>
      <c r="C357" s="1"/>
      <c r="D357" s="1"/>
      <c r="E357" s="1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>
      <c r="A358" s="1"/>
      <c r="B358" s="1"/>
      <c r="C358" s="1"/>
      <c r="D358" s="1"/>
      <c r="E358" s="1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>
      <c r="A359" s="1"/>
      <c r="B359" s="1"/>
      <c r="C359" s="1"/>
      <c r="D359" s="1"/>
      <c r="E359" s="1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>
      <c r="A360" s="1"/>
      <c r="B360" s="1"/>
      <c r="C360" s="1"/>
      <c r="D360" s="1"/>
      <c r="E360" s="1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>
      <c r="A361" s="1"/>
      <c r="B361" s="1"/>
      <c r="C361" s="1"/>
      <c r="D361" s="1"/>
      <c r="E361" s="1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>
      <c r="A362" s="1"/>
      <c r="B362" s="1"/>
      <c r="C362" s="1"/>
      <c r="D362" s="1"/>
      <c r="E362" s="1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>
      <c r="A363" s="1"/>
      <c r="B363" s="1"/>
      <c r="C363" s="1"/>
      <c r="D363" s="1"/>
      <c r="E363" s="1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>
      <c r="A364" s="1"/>
      <c r="B364" s="1"/>
      <c r="C364" s="1"/>
      <c r="D364" s="1"/>
      <c r="E364" s="1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>
      <c r="A365" s="1"/>
      <c r="B365" s="1"/>
      <c r="C365" s="1"/>
      <c r="D365" s="1"/>
      <c r="E365" s="1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>
      <c r="A366" s="1"/>
      <c r="B366" s="1"/>
      <c r="C366" s="1"/>
      <c r="D366" s="1"/>
      <c r="E366" s="1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>
      <c r="A367" s="1"/>
      <c r="B367" s="1"/>
      <c r="C367" s="1"/>
      <c r="D367" s="1"/>
      <c r="E367" s="1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>
      <c r="A368" s="1"/>
      <c r="B368" s="1"/>
      <c r="C368" s="1"/>
      <c r="D368" s="1"/>
      <c r="E368" s="1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>
      <c r="A369" s="1"/>
      <c r="B369" s="1"/>
      <c r="C369" s="1"/>
      <c r="D369" s="1"/>
      <c r="E369" s="1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>
      <c r="A370" s="1"/>
      <c r="B370" s="1"/>
      <c r="C370" s="1"/>
      <c r="D370" s="1"/>
      <c r="E370" s="1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>
      <c r="A371" s="1"/>
      <c r="B371" s="1"/>
      <c r="C371" s="1"/>
      <c r="D371" s="1"/>
      <c r="E371" s="1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>
      <c r="A372" s="1"/>
      <c r="B372" s="1"/>
      <c r="C372" s="1"/>
      <c r="D372" s="1"/>
      <c r="E372" s="1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>
      <c r="A373" s="1"/>
      <c r="B373" s="1"/>
      <c r="C373" s="1"/>
      <c r="D373" s="1"/>
      <c r="E373" s="1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>
      <c r="A374" s="1"/>
      <c r="B374" s="1"/>
      <c r="C374" s="1"/>
      <c r="D374" s="1"/>
      <c r="E374" s="1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>
      <c r="A375" s="1"/>
      <c r="B375" s="1"/>
      <c r="C375" s="1"/>
      <c r="D375" s="1"/>
      <c r="E375" s="1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>
      <c r="A376" s="1"/>
      <c r="B376" s="1"/>
      <c r="C376" s="1"/>
      <c r="D376" s="1"/>
      <c r="E376" s="1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>
      <c r="A377" s="1"/>
      <c r="B377" s="1"/>
      <c r="C377" s="1"/>
      <c r="D377" s="1"/>
      <c r="E377" s="1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>
      <c r="A378" s="1"/>
      <c r="B378" s="1"/>
      <c r="C378" s="1"/>
      <c r="D378" s="1"/>
      <c r="E378" s="1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>
      <c r="A379" s="1"/>
      <c r="B379" s="1"/>
      <c r="C379" s="1"/>
      <c r="D379" s="1"/>
      <c r="E379" s="1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>
      <c r="A380" s="1"/>
      <c r="B380" s="1"/>
      <c r="C380" s="1"/>
      <c r="D380" s="1"/>
      <c r="E380" s="1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>
      <c r="A381" s="1"/>
      <c r="B381" s="1"/>
      <c r="C381" s="1"/>
      <c r="D381" s="1"/>
      <c r="E381" s="1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>
      <c r="A382" s="1"/>
      <c r="B382" s="1"/>
      <c r="C382" s="1"/>
      <c r="D382" s="1"/>
      <c r="E382" s="1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>
      <c r="A383" s="1"/>
      <c r="B383" s="1"/>
      <c r="C383" s="1"/>
      <c r="D383" s="1"/>
      <c r="E383" s="1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>
      <c r="A384" s="1"/>
      <c r="B384" s="1"/>
      <c r="C384" s="1"/>
      <c r="D384" s="1"/>
      <c r="E384" s="1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>
      <c r="A385" s="1"/>
      <c r="B385" s="1"/>
      <c r="C385" s="1"/>
      <c r="D385" s="1"/>
      <c r="E385" s="1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>
      <c r="A386" s="1"/>
      <c r="B386" s="1"/>
      <c r="C386" s="1"/>
      <c r="D386" s="1"/>
      <c r="E386" s="1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>
      <c r="A387" s="1"/>
      <c r="B387" s="1"/>
      <c r="C387" s="1"/>
      <c r="D387" s="1"/>
      <c r="E387" s="1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>
      <c r="A388" s="1"/>
      <c r="B388" s="1"/>
      <c r="C388" s="1"/>
      <c r="D388" s="1"/>
      <c r="E388" s="1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>
      <c r="A389" s="1"/>
      <c r="B389" s="1"/>
      <c r="C389" s="1"/>
      <c r="D389" s="1"/>
      <c r="E389" s="1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>
      <c r="A390" s="1"/>
      <c r="B390" s="1"/>
      <c r="C390" s="1"/>
      <c r="D390" s="1"/>
      <c r="E390" s="1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>
      <c r="A391" s="1"/>
      <c r="B391" s="1"/>
      <c r="C391" s="1"/>
      <c r="D391" s="1"/>
      <c r="E391" s="1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>
      <c r="A392" s="1"/>
      <c r="B392" s="1"/>
      <c r="C392" s="1"/>
      <c r="D392" s="1"/>
      <c r="E392" s="1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>
      <c r="A393" s="1"/>
      <c r="B393" s="1"/>
      <c r="C393" s="1"/>
      <c r="D393" s="1"/>
      <c r="E393" s="1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>
      <c r="A394" s="1"/>
      <c r="B394" s="1"/>
      <c r="C394" s="1"/>
      <c r="D394" s="1"/>
      <c r="E394" s="1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>
      <c r="A395" s="1"/>
      <c r="B395" s="1"/>
      <c r="C395" s="1"/>
      <c r="D395" s="1"/>
      <c r="E395" s="1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>
      <c r="A396" s="1"/>
      <c r="B396" s="1"/>
      <c r="C396" s="1"/>
      <c r="D396" s="1"/>
      <c r="E396" s="1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>
      <c r="A397" s="1"/>
      <c r="B397" s="1"/>
      <c r="C397" s="1"/>
      <c r="D397" s="1"/>
      <c r="E397" s="1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>
      <c r="A398" s="1"/>
      <c r="B398" s="1"/>
      <c r="C398" s="1"/>
      <c r="D398" s="1"/>
      <c r="E398" s="1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>
      <c r="A399" s="1"/>
      <c r="B399" s="1"/>
      <c r="C399" s="1"/>
      <c r="D399" s="1"/>
      <c r="E399" s="1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>
      <c r="A400" s="1"/>
      <c r="B400" s="1"/>
      <c r="C400" s="1"/>
      <c r="D400" s="1"/>
      <c r="E400" s="1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>
      <c r="A401" s="1"/>
      <c r="B401" s="1"/>
      <c r="C401" s="1"/>
      <c r="D401" s="1"/>
      <c r="E401" s="1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>
      <c r="A402" s="1"/>
      <c r="B402" s="1"/>
      <c r="C402" s="1"/>
      <c r="D402" s="1"/>
      <c r="E402" s="1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>
      <c r="A403" s="1"/>
      <c r="B403" s="1"/>
      <c r="C403" s="1"/>
      <c r="D403" s="1"/>
      <c r="E403" s="1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>
      <c r="A404" s="1"/>
      <c r="B404" s="1"/>
      <c r="C404" s="1"/>
      <c r="D404" s="1"/>
      <c r="E404" s="1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>
      <c r="A405" s="1"/>
      <c r="B405" s="1"/>
      <c r="C405" s="1"/>
      <c r="D405" s="1"/>
      <c r="E405" s="1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>
      <c r="A406" s="1"/>
      <c r="B406" s="1"/>
      <c r="C406" s="1"/>
      <c r="D406" s="1"/>
      <c r="E406" s="1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>
      <c r="A407" s="1"/>
      <c r="B407" s="1"/>
      <c r="C407" s="1"/>
      <c r="D407" s="1"/>
      <c r="E407" s="1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>
      <c r="A408" s="1"/>
      <c r="B408" s="1"/>
      <c r="C408" s="1"/>
      <c r="D408" s="1"/>
      <c r="E408" s="1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>
      <c r="A409" s="1"/>
      <c r="B409" s="1"/>
      <c r="C409" s="1"/>
      <c r="D409" s="1"/>
      <c r="E409" s="1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>
      <c r="A410" s="1"/>
      <c r="B410" s="1"/>
      <c r="C410" s="1"/>
      <c r="D410" s="1"/>
      <c r="E410" s="1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>
      <c r="A411" s="1"/>
      <c r="B411" s="1"/>
      <c r="C411" s="1"/>
      <c r="D411" s="1"/>
      <c r="E411" s="1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>
      <c r="A412" s="1"/>
      <c r="B412" s="1"/>
      <c r="C412" s="1"/>
      <c r="D412" s="1"/>
      <c r="E412" s="1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>
      <c r="A413" s="1"/>
      <c r="B413" s="1"/>
      <c r="C413" s="1"/>
      <c r="D413" s="1"/>
      <c r="E413" s="1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>
      <c r="A414" s="1"/>
      <c r="B414" s="1"/>
      <c r="C414" s="1"/>
      <c r="D414" s="1"/>
      <c r="E414" s="1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>
      <c r="A415" s="1"/>
      <c r="B415" s="1"/>
      <c r="C415" s="1"/>
      <c r="D415" s="1"/>
      <c r="E415" s="1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>
      <c r="A416" s="1"/>
      <c r="B416" s="1"/>
      <c r="C416" s="1"/>
      <c r="D416" s="1"/>
      <c r="E416" s="1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>
      <c r="A417" s="1"/>
      <c r="B417" s="1"/>
      <c r="C417" s="1"/>
      <c r="D417" s="1"/>
      <c r="E417" s="1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>
      <c r="A418" s="1"/>
      <c r="B418" s="1"/>
      <c r="C418" s="1"/>
      <c r="D418" s="1"/>
      <c r="E418" s="1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>
      <c r="A419" s="1"/>
      <c r="B419" s="1"/>
      <c r="C419" s="1"/>
      <c r="D419" s="1"/>
      <c r="E419" s="1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>
      <c r="A420" s="1"/>
      <c r="B420" s="1"/>
      <c r="C420" s="1"/>
      <c r="D420" s="1"/>
      <c r="E420" s="1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>
      <c r="A421" s="1"/>
      <c r="B421" s="1"/>
      <c r="C421" s="1"/>
      <c r="D421" s="1"/>
      <c r="E421" s="1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>
      <c r="A422" s="1"/>
      <c r="B422" s="1"/>
      <c r="C422" s="1"/>
      <c r="D422" s="1"/>
      <c r="E422" s="1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>
      <c r="A423" s="1"/>
      <c r="B423" s="1"/>
      <c r="C423" s="1"/>
      <c r="D423" s="1"/>
      <c r="E423" s="1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>
      <c r="A424" s="1"/>
      <c r="B424" s="1"/>
      <c r="C424" s="1"/>
      <c r="D424" s="1"/>
      <c r="E424" s="1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>
      <c r="A425" s="1"/>
      <c r="B425" s="1"/>
      <c r="C425" s="1"/>
      <c r="D425" s="1"/>
      <c r="E425" s="1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>
      <c r="A426" s="1"/>
      <c r="B426" s="1"/>
      <c r="C426" s="1"/>
      <c r="D426" s="1"/>
      <c r="E426" s="1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>
      <c r="A427" s="1"/>
      <c r="B427" s="1"/>
      <c r="C427" s="1"/>
      <c r="D427" s="1"/>
      <c r="E427" s="1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>
      <c r="A428" s="1"/>
      <c r="B428" s="1"/>
      <c r="C428" s="1"/>
      <c r="D428" s="1"/>
      <c r="E428" s="1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>
      <c r="A429" s="1"/>
      <c r="B429" s="1"/>
      <c r="C429" s="1"/>
      <c r="D429" s="1"/>
      <c r="E429" s="1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>
      <c r="A430" s="1"/>
      <c r="B430" s="1"/>
      <c r="C430" s="1"/>
      <c r="D430" s="1"/>
      <c r="E430" s="1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>
      <c r="A431" s="1"/>
      <c r="B431" s="1"/>
      <c r="C431" s="1"/>
      <c r="D431" s="1"/>
      <c r="E431" s="1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>
      <c r="A432" s="1"/>
      <c r="B432" s="1"/>
      <c r="C432" s="1"/>
      <c r="D432" s="1"/>
      <c r="E432" s="1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>
      <c r="A433" s="1"/>
      <c r="B433" s="1"/>
      <c r="C433" s="1"/>
      <c r="D433" s="1"/>
      <c r="E433" s="1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>
      <c r="A434" s="1"/>
      <c r="B434" s="1"/>
      <c r="C434" s="1"/>
      <c r="D434" s="1"/>
      <c r="E434" s="1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>
      <c r="A435" s="1"/>
      <c r="B435" s="1"/>
      <c r="C435" s="1"/>
      <c r="D435" s="1"/>
      <c r="E435" s="1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>
      <c r="A436" s="1"/>
      <c r="B436" s="1"/>
      <c r="C436" s="1"/>
      <c r="D436" s="1"/>
      <c r="E436" s="1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>
      <c r="A437" s="1"/>
      <c r="B437" s="1"/>
      <c r="C437" s="1"/>
      <c r="D437" s="1"/>
      <c r="E437" s="1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>
      <c r="A438" s="1"/>
      <c r="B438" s="1"/>
      <c r="C438" s="1"/>
      <c r="D438" s="1"/>
      <c r="E438" s="1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>
      <c r="A439" s="1"/>
      <c r="B439" s="1"/>
      <c r="C439" s="1"/>
      <c r="D439" s="1"/>
      <c r="E439" s="1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>
      <c r="A440" s="1"/>
      <c r="B440" s="1"/>
      <c r="C440" s="1"/>
      <c r="D440" s="1"/>
      <c r="E440" s="1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>
      <c r="A441" s="1"/>
      <c r="B441" s="1"/>
      <c r="C441" s="1"/>
      <c r="D441" s="1"/>
      <c r="E441" s="1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>
      <c r="A442" s="1"/>
      <c r="B442" s="1"/>
      <c r="C442" s="1"/>
      <c r="D442" s="1"/>
      <c r="E442" s="1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>
      <c r="A443" s="1"/>
      <c r="B443" s="1"/>
      <c r="C443" s="1"/>
      <c r="D443" s="1"/>
      <c r="E443" s="1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>
      <c r="A444" s="1"/>
      <c r="B444" s="1"/>
      <c r="C444" s="1"/>
      <c r="D444" s="1"/>
      <c r="E444" s="1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>
      <c r="A445" s="1"/>
      <c r="B445" s="1"/>
      <c r="C445" s="1"/>
      <c r="D445" s="1"/>
      <c r="E445" s="1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>
      <c r="A446" s="1"/>
      <c r="B446" s="1"/>
      <c r="C446" s="1"/>
      <c r="D446" s="1"/>
      <c r="E446" s="1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>
      <c r="A447" s="1"/>
      <c r="B447" s="1"/>
      <c r="C447" s="1"/>
      <c r="D447" s="1"/>
      <c r="E447" s="1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>
      <c r="A448" s="1"/>
      <c r="B448" s="1"/>
      <c r="C448" s="1"/>
      <c r="D448" s="1"/>
      <c r="E448" s="1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>
      <c r="A449" s="1"/>
      <c r="B449" s="1"/>
      <c r="C449" s="1"/>
      <c r="D449" s="1"/>
      <c r="E449" s="1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>
      <c r="A450" s="1"/>
      <c r="B450" s="1"/>
      <c r="C450" s="1"/>
      <c r="D450" s="1"/>
      <c r="E450" s="1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>
      <c r="A451" s="1"/>
      <c r="B451" s="1"/>
      <c r="C451" s="1"/>
      <c r="D451" s="1"/>
      <c r="E451" s="1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>
      <c r="A452" s="1"/>
      <c r="B452" s="1"/>
      <c r="C452" s="1"/>
      <c r="D452" s="1"/>
      <c r="E452" s="1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>
      <c r="A453" s="1"/>
      <c r="B453" s="1"/>
      <c r="C453" s="1"/>
      <c r="D453" s="1"/>
      <c r="E453" s="1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>
      <c r="A454" s="1"/>
      <c r="B454" s="1"/>
      <c r="C454" s="1"/>
      <c r="D454" s="1"/>
      <c r="E454" s="1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>
      <c r="A455" s="1"/>
      <c r="B455" s="1"/>
      <c r="C455" s="1"/>
      <c r="D455" s="1"/>
      <c r="E455" s="1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>
      <c r="A456" s="1"/>
      <c r="B456" s="1"/>
      <c r="C456" s="1"/>
      <c r="D456" s="1"/>
      <c r="E456" s="1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>
      <c r="A457" s="1"/>
      <c r="B457" s="1"/>
      <c r="C457" s="1"/>
      <c r="D457" s="1"/>
      <c r="E457" s="1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>
      <c r="A458" s="1"/>
      <c r="B458" s="1"/>
      <c r="C458" s="1"/>
      <c r="D458" s="1"/>
      <c r="E458" s="1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>
      <c r="A459" s="1"/>
      <c r="B459" s="1"/>
      <c r="C459" s="1"/>
      <c r="D459" s="1"/>
      <c r="E459" s="1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>
      <c r="A460" s="1"/>
      <c r="B460" s="1"/>
      <c r="C460" s="1"/>
      <c r="D460" s="1"/>
      <c r="E460" s="1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>
      <c r="A461" s="1"/>
      <c r="B461" s="1"/>
      <c r="C461" s="1"/>
      <c r="D461" s="1"/>
      <c r="E461" s="1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>
      <c r="A462" s="1"/>
      <c r="B462" s="1"/>
      <c r="C462" s="1"/>
      <c r="D462" s="1"/>
      <c r="E462" s="1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>
      <c r="A463" s="1"/>
      <c r="B463" s="1"/>
      <c r="C463" s="1"/>
      <c r="D463" s="1"/>
      <c r="E463" s="1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>
      <c r="A464" s="1"/>
      <c r="B464" s="1"/>
      <c r="C464" s="1"/>
      <c r="D464" s="1"/>
      <c r="E464" s="1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>
      <c r="A465" s="1"/>
      <c r="B465" s="1"/>
      <c r="C465" s="1"/>
      <c r="D465" s="1"/>
      <c r="E465" s="1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>
      <c r="A466" s="1"/>
      <c r="B466" s="1"/>
      <c r="C466" s="1"/>
      <c r="D466" s="1"/>
      <c r="E466" s="1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>
      <c r="A467" s="1"/>
      <c r="B467" s="1"/>
      <c r="C467" s="1"/>
      <c r="D467" s="1"/>
      <c r="E467" s="1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>
      <c r="A468" s="1"/>
      <c r="B468" s="1"/>
      <c r="C468" s="1"/>
      <c r="D468" s="1"/>
      <c r="E468" s="1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>
      <c r="A469" s="1"/>
      <c r="B469" s="1"/>
      <c r="C469" s="1"/>
      <c r="D469" s="1"/>
      <c r="E469" s="1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>
      <c r="A470" s="1"/>
      <c r="B470" s="1"/>
      <c r="C470" s="1"/>
      <c r="D470" s="1"/>
      <c r="E470" s="1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>
      <c r="A471" s="1"/>
      <c r="B471" s="1"/>
      <c r="C471" s="1"/>
      <c r="D471" s="1"/>
      <c r="E471" s="1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>
      <c r="A472" s="1"/>
      <c r="B472" s="1"/>
      <c r="C472" s="1"/>
      <c r="D472" s="1"/>
      <c r="E472" s="1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>
      <c r="A473" s="1"/>
      <c r="B473" s="1"/>
      <c r="C473" s="1"/>
      <c r="D473" s="1"/>
      <c r="E473" s="1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>
      <c r="A474" s="1"/>
      <c r="B474" s="1"/>
      <c r="C474" s="1"/>
      <c r="D474" s="1"/>
      <c r="E474" s="1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>
      <c r="A475" s="1"/>
      <c r="B475" s="1"/>
      <c r="C475" s="1"/>
      <c r="D475" s="1"/>
      <c r="E475" s="1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>
      <c r="A476" s="1"/>
      <c r="B476" s="1"/>
      <c r="C476" s="1"/>
      <c r="D476" s="1"/>
      <c r="E476" s="1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>
      <c r="A477" s="1"/>
      <c r="B477" s="1"/>
      <c r="C477" s="1"/>
      <c r="D477" s="1"/>
      <c r="E477" s="1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>
      <c r="A478" s="1"/>
      <c r="B478" s="1"/>
      <c r="C478" s="1"/>
      <c r="D478" s="1"/>
      <c r="E478" s="1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>
      <c r="A479" s="1"/>
      <c r="B479" s="1"/>
      <c r="C479" s="1"/>
      <c r="D479" s="1"/>
      <c r="E479" s="1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>
      <c r="A480" s="1"/>
      <c r="B480" s="1"/>
      <c r="C480" s="1"/>
      <c r="D480" s="1"/>
      <c r="E480" s="1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>
      <c r="A481" s="1"/>
      <c r="B481" s="1"/>
      <c r="C481" s="1"/>
      <c r="D481" s="1"/>
      <c r="E481" s="1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>
      <c r="A482" s="1"/>
      <c r="B482" s="1"/>
      <c r="C482" s="1"/>
      <c r="D482" s="1"/>
      <c r="E482" s="1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>
      <c r="A483" s="1"/>
      <c r="B483" s="1"/>
      <c r="C483" s="1"/>
      <c r="D483" s="1"/>
      <c r="E483" s="1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>
      <c r="A484" s="1"/>
      <c r="B484" s="1"/>
      <c r="C484" s="1"/>
      <c r="D484" s="1"/>
      <c r="E484" s="1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>
      <c r="A485" s="1"/>
      <c r="B485" s="1"/>
      <c r="C485" s="1"/>
      <c r="D485" s="1"/>
      <c r="E485" s="1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>
      <c r="A486" s="1"/>
      <c r="B486" s="1"/>
      <c r="C486" s="1"/>
      <c r="D486" s="1"/>
      <c r="E486" s="1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>
      <c r="A487" s="1"/>
      <c r="B487" s="1"/>
      <c r="C487" s="1"/>
      <c r="D487" s="1"/>
      <c r="E487" s="1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>
      <c r="A488" s="1"/>
      <c r="B488" s="1"/>
      <c r="C488" s="1"/>
      <c r="D488" s="1"/>
      <c r="E488" s="1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>
      <c r="A489" s="1"/>
      <c r="B489" s="1"/>
      <c r="C489" s="1"/>
      <c r="D489" s="1"/>
      <c r="E489" s="1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</sheetData>
  <mergeCells count="3">
    <mergeCell ref="A118:J118"/>
    <mergeCell ref="A119:D119"/>
    <mergeCell ref="A121:D121"/>
  </mergeCells>
  <printOptions horizontalCentered="1"/>
  <pageMargins left="0.27" right="0.27" top="0.4" bottom="0.4" header="0.2" footer="0.24"/>
  <pageSetup scale="42" fitToHeight="0" orientation="landscape" r:id="rId1"/>
  <headerFooter alignWithMargins="0">
    <oddFooter>&amp;R&amp;D &amp;T</oddFooter>
  </headerFooter>
  <rowBreaks count="1" manualBreakCount="1">
    <brk id="65" max="25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D46"/>
  <sheetViews>
    <sheetView topLeftCell="A19" workbookViewId="0">
      <selection activeCell="C28" sqref="C28"/>
    </sheetView>
  </sheetViews>
  <sheetFormatPr defaultRowHeight="12.75"/>
  <cols>
    <col min="1" max="1" width="36.140625" style="136" customWidth="1"/>
    <col min="2" max="2" width="12.140625" style="136" customWidth="1"/>
    <col min="3" max="3" width="12.5703125" style="136" customWidth="1"/>
    <col min="4" max="4" width="12.140625" style="136" customWidth="1"/>
    <col min="5" max="16384" width="9.140625" style="136"/>
  </cols>
  <sheetData>
    <row r="1" spans="1:4">
      <c r="A1" s="282" t="s">
        <v>0</v>
      </c>
      <c r="B1" s="283"/>
      <c r="C1" s="283"/>
      <c r="D1" s="283"/>
    </row>
    <row r="2" spans="1:4">
      <c r="A2" s="282" t="s">
        <v>235</v>
      </c>
      <c r="B2" s="283"/>
      <c r="C2" s="283"/>
      <c r="D2" s="283"/>
    </row>
    <row r="3" spans="1:4">
      <c r="A3" s="282" t="s">
        <v>199</v>
      </c>
      <c r="B3" s="283"/>
      <c r="C3" s="283"/>
      <c r="D3" s="283"/>
    </row>
    <row r="5" spans="1:4" ht="25.5">
      <c r="B5" s="160" t="s">
        <v>232</v>
      </c>
      <c r="C5" s="161" t="s">
        <v>233</v>
      </c>
      <c r="D5" s="160" t="s">
        <v>234</v>
      </c>
    </row>
    <row r="6" spans="1:4">
      <c r="A6" s="200" t="s">
        <v>210</v>
      </c>
      <c r="B6" s="201">
        <v>-20000</v>
      </c>
      <c r="C6" s="201">
        <f>-20000-2000</f>
        <v>-22000</v>
      </c>
      <c r="D6" s="200">
        <f>+C6-B6</f>
        <v>-2000</v>
      </c>
    </row>
    <row r="7" spans="1:4">
      <c r="A7" s="207" t="s">
        <v>229</v>
      </c>
      <c r="B7" s="207">
        <v>-12138</v>
      </c>
      <c r="C7" s="207">
        <v>-12138</v>
      </c>
      <c r="D7" s="207">
        <f t="shared" ref="D7:D32" si="0">+C7-B7</f>
        <v>0</v>
      </c>
    </row>
    <row r="8" spans="1:4">
      <c r="A8" s="203" t="s">
        <v>228</v>
      </c>
      <c r="B8" s="203">
        <v>-2223</v>
      </c>
      <c r="C8" s="203">
        <f>-2223</f>
        <v>-2223</v>
      </c>
      <c r="D8" s="203">
        <f t="shared" si="0"/>
        <v>0</v>
      </c>
    </row>
    <row r="9" spans="1:4">
      <c r="A9" s="203" t="s">
        <v>201</v>
      </c>
      <c r="B9" s="203">
        <v>-41205</v>
      </c>
      <c r="C9" s="203">
        <f>-2226+79+457+126-1</f>
        <v>-1565</v>
      </c>
      <c r="D9" s="203">
        <f t="shared" si="0"/>
        <v>39640</v>
      </c>
    </row>
    <row r="10" spans="1:4">
      <c r="A10" s="136" t="s">
        <v>211</v>
      </c>
      <c r="B10" s="136">
        <v>-2182</v>
      </c>
      <c r="C10" s="136">
        <f>-473+473</f>
        <v>0</v>
      </c>
      <c r="D10" s="136">
        <f t="shared" si="0"/>
        <v>2182</v>
      </c>
    </row>
    <row r="11" spans="1:4">
      <c r="A11" s="136" t="s">
        <v>212</v>
      </c>
      <c r="B11" s="136">
        <v>-5562</v>
      </c>
      <c r="C11" s="136">
        <f>-5562+5562</f>
        <v>0</v>
      </c>
      <c r="D11" s="136">
        <f t="shared" si="0"/>
        <v>5562</v>
      </c>
    </row>
    <row r="12" spans="1:4">
      <c r="A12" s="136" t="s">
        <v>213</v>
      </c>
      <c r="B12" s="136">
        <v>-672</v>
      </c>
      <c r="C12" s="136">
        <f>-689+689</f>
        <v>0</v>
      </c>
      <c r="D12" s="136">
        <f t="shared" si="0"/>
        <v>672</v>
      </c>
    </row>
    <row r="13" spans="1:4">
      <c r="A13" s="207" t="s">
        <v>214</v>
      </c>
      <c r="B13" s="207">
        <v>-26328</v>
      </c>
      <c r="C13" s="207">
        <v>-26328</v>
      </c>
      <c r="D13" s="207">
        <f t="shared" si="0"/>
        <v>0</v>
      </c>
    </row>
    <row r="14" spans="1:4">
      <c r="A14" s="200" t="s">
        <v>215</v>
      </c>
      <c r="B14" s="200">
        <v>-2600</v>
      </c>
      <c r="C14" s="200">
        <v>-2600</v>
      </c>
      <c r="D14" s="200">
        <f t="shared" si="0"/>
        <v>0</v>
      </c>
    </row>
    <row r="15" spans="1:4">
      <c r="A15" s="200" t="s">
        <v>216</v>
      </c>
      <c r="B15" s="200">
        <v>-762</v>
      </c>
      <c r="C15" s="200">
        <v>-762</v>
      </c>
      <c r="D15" s="200">
        <f t="shared" si="0"/>
        <v>0</v>
      </c>
    </row>
    <row r="16" spans="1:4">
      <c r="A16" s="205" t="s">
        <v>217</v>
      </c>
      <c r="B16" s="205">
        <v>-5766</v>
      </c>
      <c r="C16" s="205">
        <v>-5766</v>
      </c>
      <c r="D16" s="205">
        <f t="shared" si="0"/>
        <v>0</v>
      </c>
    </row>
    <row r="17" spans="1:4">
      <c r="A17" s="136" t="s">
        <v>218</v>
      </c>
      <c r="B17" s="136">
        <v>-2000</v>
      </c>
      <c r="C17" s="136">
        <f>-2000+2000</f>
        <v>0</v>
      </c>
      <c r="D17" s="136">
        <f t="shared" si="0"/>
        <v>2000</v>
      </c>
    </row>
    <row r="18" spans="1:4">
      <c r="A18" s="205" t="s">
        <v>219</v>
      </c>
      <c r="B18" s="205">
        <v>-5000</v>
      </c>
      <c r="C18" s="205">
        <v>-5000</v>
      </c>
      <c r="D18" s="205">
        <f t="shared" si="0"/>
        <v>0</v>
      </c>
    </row>
    <row r="19" spans="1:4">
      <c r="A19" s="203" t="s">
        <v>220</v>
      </c>
      <c r="B19" s="203">
        <v>-1300</v>
      </c>
      <c r="C19" s="203">
        <v>-1300</v>
      </c>
      <c r="D19" s="203">
        <f t="shared" si="0"/>
        <v>0</v>
      </c>
    </row>
    <row r="20" spans="1:4">
      <c r="A20" s="200" t="s">
        <v>221</v>
      </c>
      <c r="B20" s="200">
        <v>-391</v>
      </c>
      <c r="C20" s="200">
        <v>-391</v>
      </c>
      <c r="D20" s="200">
        <f t="shared" si="0"/>
        <v>0</v>
      </c>
    </row>
    <row r="21" spans="1:4">
      <c r="A21" s="203" t="s">
        <v>222</v>
      </c>
      <c r="B21" s="203">
        <v>-675</v>
      </c>
      <c r="C21" s="203">
        <f>-675+180</f>
        <v>-495</v>
      </c>
      <c r="D21" s="203">
        <f t="shared" si="0"/>
        <v>180</v>
      </c>
    </row>
    <row r="22" spans="1:4">
      <c r="A22" s="206" t="s">
        <v>245</v>
      </c>
      <c r="B22" s="205">
        <v>-10000</v>
      </c>
      <c r="C22" s="205">
        <v>-10000</v>
      </c>
      <c r="D22" s="205">
        <f t="shared" si="0"/>
        <v>0</v>
      </c>
    </row>
    <row r="23" spans="1:4">
      <c r="A23" s="204" t="s">
        <v>246</v>
      </c>
      <c r="B23" s="203">
        <v>-5000</v>
      </c>
      <c r="C23" s="203">
        <v>-5000</v>
      </c>
      <c r="D23" s="203">
        <f t="shared" si="0"/>
        <v>0</v>
      </c>
    </row>
    <row r="24" spans="1:4">
      <c r="A24" s="200" t="s">
        <v>223</v>
      </c>
      <c r="B24" s="200">
        <v>-1190</v>
      </c>
      <c r="C24" s="200">
        <v>-1190</v>
      </c>
      <c r="D24" s="200">
        <f t="shared" si="0"/>
        <v>0</v>
      </c>
    </row>
    <row r="25" spans="1:4">
      <c r="A25" s="205" t="s">
        <v>224</v>
      </c>
      <c r="B25" s="205">
        <v>-158</v>
      </c>
      <c r="C25" s="205">
        <v>-158</v>
      </c>
      <c r="D25" s="205">
        <f t="shared" si="0"/>
        <v>0</v>
      </c>
    </row>
    <row r="26" spans="1:4">
      <c r="A26" s="205" t="s">
        <v>254</v>
      </c>
      <c r="B26" s="205">
        <v>0</v>
      </c>
      <c r="C26" s="205">
        <v>-2702</v>
      </c>
      <c r="D26" s="205">
        <f t="shared" si="0"/>
        <v>-2702</v>
      </c>
    </row>
    <row r="27" spans="1:4">
      <c r="A27" s="207" t="s">
        <v>255</v>
      </c>
      <c r="B27" s="207">
        <v>0</v>
      </c>
      <c r="C27" s="207">
        <v>-344</v>
      </c>
      <c r="D27" s="207">
        <f t="shared" si="0"/>
        <v>-344</v>
      </c>
    </row>
    <row r="28" spans="1:4">
      <c r="A28" s="200" t="s">
        <v>257</v>
      </c>
      <c r="B28" s="200">
        <v>0</v>
      </c>
      <c r="C28" s="200">
        <v>-5123</v>
      </c>
      <c r="D28" s="200"/>
    </row>
    <row r="29" spans="1:4">
      <c r="A29" s="136" t="s">
        <v>225</v>
      </c>
      <c r="B29" s="136">
        <v>-41000</v>
      </c>
      <c r="C29" s="136">
        <f>-41000+41000</f>
        <v>0</v>
      </c>
      <c r="D29" s="136">
        <f t="shared" si="0"/>
        <v>41000</v>
      </c>
    </row>
    <row r="30" spans="1:4">
      <c r="A30" s="210" t="s">
        <v>227</v>
      </c>
      <c r="B30" s="210">
        <v>-171257</v>
      </c>
      <c r="C30" s="210">
        <f>-196057+13</f>
        <v>-196044</v>
      </c>
      <c r="D30" s="210">
        <f t="shared" si="0"/>
        <v>-24787</v>
      </c>
    </row>
    <row r="31" spans="1:4">
      <c r="A31" s="210" t="s">
        <v>226</v>
      </c>
      <c r="B31" s="210">
        <v>-15500</v>
      </c>
      <c r="C31" s="210">
        <v>-15500</v>
      </c>
      <c r="D31" s="210">
        <f t="shared" si="0"/>
        <v>0</v>
      </c>
    </row>
    <row r="32" spans="1:4">
      <c r="A32" s="158" t="s">
        <v>231</v>
      </c>
      <c r="C32" s="136">
        <v>-33330</v>
      </c>
      <c r="D32" s="136">
        <f t="shared" si="0"/>
        <v>-33330</v>
      </c>
    </row>
    <row r="33" spans="1:4" ht="13.5" thickBot="1">
      <c r="A33" s="158" t="s">
        <v>230</v>
      </c>
      <c r="B33" s="159">
        <f>SUM(B6:B32)</f>
        <v>-372909</v>
      </c>
      <c r="C33" s="159">
        <f>SUM(C6:C32)</f>
        <v>-349959</v>
      </c>
      <c r="D33" s="159">
        <f>SUM(D6:D32)</f>
        <v>28073</v>
      </c>
    </row>
    <row r="34" spans="1:4" ht="13.5" thickTop="1"/>
    <row r="37" spans="1:4">
      <c r="A37" s="202" t="s">
        <v>256</v>
      </c>
      <c r="B37" s="200"/>
      <c r="C37" s="200">
        <f>+C6+C20+C15+C14+C24+C28</f>
        <v>-32066</v>
      </c>
    </row>
    <row r="38" spans="1:4">
      <c r="A38" s="204" t="s">
        <v>247</v>
      </c>
      <c r="B38" s="203"/>
      <c r="C38" s="203">
        <f>+C21+C19+C23+C8+C9</f>
        <v>-10583</v>
      </c>
    </row>
    <row r="39" spans="1:4">
      <c r="A39" s="206" t="s">
        <v>248</v>
      </c>
      <c r="B39" s="205"/>
      <c r="C39" s="205">
        <f>+C16+C18+C22+C25+C26</f>
        <v>-23626</v>
      </c>
    </row>
    <row r="40" spans="1:4">
      <c r="A40" s="208" t="s">
        <v>249</v>
      </c>
      <c r="B40" s="207"/>
      <c r="C40" s="209">
        <f>+C7+C13+C27</f>
        <v>-38810</v>
      </c>
    </row>
    <row r="41" spans="1:4">
      <c r="A41" s="158" t="s">
        <v>253</v>
      </c>
      <c r="C41" s="198">
        <f>SUM(C37:C40)</f>
        <v>-105085</v>
      </c>
    </row>
    <row r="42" spans="1:4">
      <c r="A42" s="211" t="s">
        <v>250</v>
      </c>
      <c r="B42" s="210"/>
      <c r="C42" s="212">
        <f>+C30+C31</f>
        <v>-211544</v>
      </c>
    </row>
    <row r="43" spans="1:4">
      <c r="A43" s="158" t="s">
        <v>251</v>
      </c>
      <c r="C43" s="136">
        <f>+C42+C41</f>
        <v>-316629</v>
      </c>
    </row>
    <row r="44" spans="1:4">
      <c r="A44" s="158" t="s">
        <v>258</v>
      </c>
      <c r="C44" s="197">
        <f>+C32</f>
        <v>-33330</v>
      </c>
    </row>
    <row r="45" spans="1:4" ht="13.5" thickBot="1">
      <c r="A45" s="158" t="s">
        <v>252</v>
      </c>
      <c r="C45" s="199">
        <f>+C44+C43</f>
        <v>-349959</v>
      </c>
    </row>
    <row r="46" spans="1:4" ht="13.5" thickTop="1"/>
  </sheetData>
  <mergeCells count="3">
    <mergeCell ref="A1:D1"/>
    <mergeCell ref="A2:D2"/>
    <mergeCell ref="A3:D3"/>
  </mergeCells>
  <printOptions horizontalCentered="1"/>
  <pageMargins left="0.7" right="0.7" top="0.75" bottom="0.75" header="0.3" footer="0.3"/>
  <pageSetup orientation="portrait" r:id="rId1"/>
  <headerFooter>
    <oddFooter>&amp;R&amp;D 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3:E25"/>
  <sheetViews>
    <sheetView workbookViewId="0">
      <selection activeCell="D30" sqref="D30"/>
    </sheetView>
  </sheetViews>
  <sheetFormatPr defaultRowHeight="12.75"/>
  <cols>
    <col min="1" max="1" width="39" customWidth="1"/>
    <col min="2" max="2" width="14.42578125" customWidth="1"/>
    <col min="3" max="3" width="13.7109375" customWidth="1"/>
    <col min="4" max="4" width="13.85546875" customWidth="1"/>
  </cols>
  <sheetData>
    <row r="3" spans="1:5">
      <c r="B3" s="215" t="s">
        <v>276</v>
      </c>
    </row>
    <row r="4" spans="1:5">
      <c r="A4" s="158" t="s">
        <v>275</v>
      </c>
      <c r="B4" s="214" t="s">
        <v>267</v>
      </c>
      <c r="C4" s="214" t="s">
        <v>266</v>
      </c>
      <c r="D4" s="214" t="s">
        <v>234</v>
      </c>
      <c r="E4" s="136"/>
    </row>
    <row r="5" spans="1:5">
      <c r="A5" s="136"/>
      <c r="B5" s="216" t="s">
        <v>277</v>
      </c>
      <c r="C5" s="136"/>
      <c r="D5" s="136"/>
      <c r="E5" s="136"/>
    </row>
    <row r="6" spans="1:5">
      <c r="A6" s="136" t="s">
        <v>200</v>
      </c>
      <c r="B6" s="136"/>
      <c r="C6" s="136"/>
      <c r="D6" s="136"/>
      <c r="E6" s="136"/>
    </row>
    <row r="7" spans="1:5">
      <c r="A7" s="136" t="s">
        <v>268</v>
      </c>
      <c r="B7" s="217">
        <v>229695</v>
      </c>
      <c r="C7" s="217">
        <v>231794</v>
      </c>
      <c r="D7" s="217">
        <f>+B7-C7</f>
        <v>-2099</v>
      </c>
      <c r="E7" s="136"/>
    </row>
    <row r="8" spans="1:5">
      <c r="A8" s="136" t="s">
        <v>269</v>
      </c>
      <c r="B8" s="136">
        <v>44403</v>
      </c>
      <c r="C8" s="136">
        <v>44438</v>
      </c>
      <c r="D8" s="136">
        <f t="shared" ref="D8:D14" si="0">+B8-C8</f>
        <v>-35</v>
      </c>
      <c r="E8" s="136"/>
    </row>
    <row r="9" spans="1:5">
      <c r="A9" s="136" t="s">
        <v>270</v>
      </c>
      <c r="B9" s="136">
        <v>167649</v>
      </c>
      <c r="C9" s="136">
        <v>169992</v>
      </c>
      <c r="D9" s="136">
        <f t="shared" si="0"/>
        <v>-2343</v>
      </c>
      <c r="E9" s="136"/>
    </row>
    <row r="10" spans="1:5">
      <c r="A10" s="136" t="s">
        <v>271</v>
      </c>
      <c r="B10" s="136">
        <v>5403</v>
      </c>
      <c r="C10" s="136">
        <v>6912</v>
      </c>
      <c r="D10" s="136">
        <f t="shared" si="0"/>
        <v>-1509</v>
      </c>
      <c r="E10" s="136"/>
    </row>
    <row r="11" spans="1:5">
      <c r="A11" s="136"/>
      <c r="B11" s="136"/>
      <c r="C11" s="136"/>
      <c r="D11" s="158" t="s">
        <v>1</v>
      </c>
      <c r="E11" s="136"/>
    </row>
    <row r="12" spans="1:5">
      <c r="A12" s="136" t="s">
        <v>272</v>
      </c>
      <c r="B12" s="136">
        <v>-19713</v>
      </c>
      <c r="C12" s="136"/>
      <c r="D12" s="136">
        <f t="shared" si="0"/>
        <v>-19713</v>
      </c>
      <c r="E12" s="136"/>
    </row>
    <row r="13" spans="1:5">
      <c r="A13" s="136" t="s">
        <v>272</v>
      </c>
      <c r="B13" s="136">
        <v>-22821</v>
      </c>
      <c r="C13" s="136"/>
      <c r="D13" s="136">
        <f t="shared" si="0"/>
        <v>-22821</v>
      </c>
      <c r="E13" s="136"/>
    </row>
    <row r="14" spans="1:5">
      <c r="A14" s="136" t="s">
        <v>273</v>
      </c>
      <c r="B14" s="136">
        <v>-1483</v>
      </c>
      <c r="C14" s="136"/>
      <c r="D14" s="136">
        <f t="shared" si="0"/>
        <v>-1483</v>
      </c>
      <c r="E14" s="136"/>
    </row>
    <row r="15" spans="1:5">
      <c r="A15" s="136"/>
      <c r="B15" s="136"/>
      <c r="C15" s="136"/>
      <c r="D15" s="158" t="s">
        <v>1</v>
      </c>
      <c r="E15" s="136"/>
    </row>
    <row r="16" spans="1:5">
      <c r="A16" s="158" t="s">
        <v>274</v>
      </c>
      <c r="B16" s="136"/>
      <c r="C16" s="136"/>
      <c r="D16" s="217">
        <f>SUM(D7:D15)</f>
        <v>-50003</v>
      </c>
      <c r="E16" s="136"/>
    </row>
    <row r="17" spans="1:5">
      <c r="A17" s="136"/>
      <c r="B17" s="136"/>
      <c r="C17" s="136"/>
      <c r="D17" s="136"/>
      <c r="E17" s="136"/>
    </row>
    <row r="18" spans="1:5">
      <c r="A18" s="136"/>
      <c r="B18" s="136"/>
      <c r="C18" s="136"/>
      <c r="D18" s="136"/>
      <c r="E18" s="136"/>
    </row>
    <row r="19" spans="1:5">
      <c r="A19" s="136"/>
      <c r="B19" s="136"/>
      <c r="C19" s="136"/>
      <c r="D19" s="136"/>
      <c r="E19" s="136"/>
    </row>
    <row r="20" spans="1:5">
      <c r="A20" s="136"/>
      <c r="B20" s="136"/>
      <c r="C20" s="136"/>
      <c r="D20" s="136"/>
      <c r="E20" s="136"/>
    </row>
    <row r="21" spans="1:5">
      <c r="A21" s="136"/>
      <c r="B21" s="136"/>
      <c r="C21" s="136"/>
      <c r="D21" s="136"/>
      <c r="E21" s="136"/>
    </row>
    <row r="22" spans="1:5">
      <c r="A22" s="136"/>
      <c r="B22" s="136"/>
      <c r="C22" s="136"/>
      <c r="D22" s="136"/>
      <c r="E22" s="136"/>
    </row>
    <row r="23" spans="1:5">
      <c r="A23" s="136"/>
      <c r="B23" s="136"/>
      <c r="C23" s="136"/>
      <c r="D23" s="136"/>
      <c r="E23" s="136"/>
    </row>
    <row r="24" spans="1:5">
      <c r="A24" s="136"/>
      <c r="B24" s="136"/>
      <c r="C24" s="136"/>
      <c r="D24" s="136"/>
      <c r="E24" s="136"/>
    </row>
    <row r="25" spans="1:5">
      <c r="A25" s="136"/>
      <c r="B25" s="136"/>
      <c r="C25" s="136"/>
      <c r="D25" s="136"/>
      <c r="E25" s="136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3" tint="0.59999389629810485"/>
  </sheetPr>
  <dimension ref="A1:Z489"/>
  <sheetViews>
    <sheetView tabSelected="1" view="pageBreakPreview" zoomScale="79" zoomScaleNormal="100" zoomScaleSheetLayoutView="79" workbookViewId="0">
      <pane xSplit="4" ySplit="8" topLeftCell="E9" activePane="bottomRight" state="frozen"/>
      <selection activeCell="Q14" sqref="Q14"/>
      <selection pane="topRight" activeCell="Q14" sqref="Q14"/>
      <selection pane="bottomLeft" activeCell="Q14" sqref="Q14"/>
      <selection pane="bottomRight" activeCell="E9" sqref="E9"/>
    </sheetView>
  </sheetViews>
  <sheetFormatPr defaultRowHeight="15"/>
  <cols>
    <col min="1" max="1" width="14.140625" style="44" bestFit="1" customWidth="1"/>
    <col min="2" max="2" width="9.140625" style="44"/>
    <col min="3" max="3" width="12.5703125" style="44" customWidth="1"/>
    <col min="4" max="4" width="37" style="44" customWidth="1"/>
    <col min="5" max="5" width="12.140625" style="1" customWidth="1"/>
    <col min="6" max="6" width="12" style="1" customWidth="1"/>
    <col min="7" max="7" width="20.5703125" style="1" customWidth="1"/>
    <col min="8" max="8" width="17.7109375" style="1" customWidth="1"/>
    <col min="9" max="9" width="11.85546875" style="1" customWidth="1"/>
    <col min="10" max="10" width="13.42578125" style="1" customWidth="1"/>
    <col min="11" max="11" width="22.85546875" style="1" customWidth="1"/>
    <col min="12" max="12" width="15.28515625" style="1" customWidth="1"/>
    <col min="13" max="13" width="15" style="1" customWidth="1"/>
    <col min="14" max="14" width="23.85546875" style="1" customWidth="1"/>
    <col min="15" max="15" width="11.5703125" style="1" customWidth="1"/>
    <col min="16" max="16" width="12.140625" style="1" customWidth="1"/>
    <col min="17" max="17" width="19.28515625" style="1" customWidth="1"/>
    <col min="18" max="18" width="10.7109375" style="1" customWidth="1"/>
    <col min="19" max="19" width="9.5703125" style="1" customWidth="1"/>
    <col min="20" max="20" width="16" style="1" customWidth="1"/>
    <col min="21" max="21" width="12.85546875" style="1" customWidth="1"/>
    <col min="22" max="22" width="12.42578125" style="1" customWidth="1"/>
    <col min="23" max="23" width="19" style="1" customWidth="1"/>
    <col min="24" max="24" width="13" style="1" bestFit="1" customWidth="1"/>
    <col min="25" max="25" width="17.85546875" style="169" bestFit="1" customWidth="1"/>
    <col min="26" max="26" width="12.42578125" style="1" bestFit="1" customWidth="1"/>
    <col min="27" max="16384" width="9.140625" style="1"/>
  </cols>
  <sheetData>
    <row r="1" spans="1:26" ht="15.75">
      <c r="A1" s="247" t="s">
        <v>0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</row>
    <row r="2" spans="1:26" ht="15.75">
      <c r="A2" s="247" t="s">
        <v>302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</row>
    <row r="3" spans="1:26" ht="15.75">
      <c r="A3" s="247" t="s">
        <v>105</v>
      </c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</row>
    <row r="4" spans="1:26" ht="16.5" thickBot="1">
      <c r="A4" s="4"/>
      <c r="B4" s="5"/>
      <c r="C4" s="6"/>
      <c r="D4" s="2"/>
      <c r="M4" s="3"/>
      <c r="V4" s="7"/>
    </row>
    <row r="5" spans="1:26" ht="16.5" customHeight="1" thickTop="1">
      <c r="A5" s="8"/>
      <c r="B5" s="9"/>
      <c r="C5" s="10"/>
      <c r="D5" s="54"/>
      <c r="E5" s="248" t="s">
        <v>292</v>
      </c>
      <c r="F5" s="249"/>
      <c r="G5" s="250"/>
      <c r="H5" s="240" t="s">
        <v>203</v>
      </c>
      <c r="I5" s="284" t="s">
        <v>302</v>
      </c>
      <c r="J5" s="285"/>
      <c r="K5" s="285"/>
      <c r="L5" s="285"/>
      <c r="M5" s="285"/>
      <c r="N5" s="285"/>
      <c r="O5" s="285"/>
      <c r="P5" s="285"/>
      <c r="Q5" s="285"/>
      <c r="R5" s="285"/>
      <c r="S5" s="285"/>
      <c r="T5" s="285"/>
      <c r="U5" s="285"/>
      <c r="V5" s="285"/>
      <c r="W5" s="286"/>
    </row>
    <row r="6" spans="1:26" ht="16.5" customHeight="1">
      <c r="A6" s="11"/>
      <c r="B6" s="1"/>
      <c r="C6" s="3"/>
      <c r="D6" s="55"/>
      <c r="E6" s="251"/>
      <c r="F6" s="252"/>
      <c r="G6" s="253"/>
      <c r="H6" s="241"/>
      <c r="I6" s="287"/>
      <c r="J6" s="288"/>
      <c r="K6" s="288"/>
      <c r="L6" s="288"/>
      <c r="M6" s="288"/>
      <c r="N6" s="288"/>
      <c r="O6" s="288"/>
      <c r="P6" s="288"/>
      <c r="Q6" s="288"/>
      <c r="R6" s="288"/>
      <c r="S6" s="288"/>
      <c r="T6" s="288"/>
      <c r="U6" s="288"/>
      <c r="V6" s="288"/>
      <c r="W6" s="289"/>
    </row>
    <row r="7" spans="1:26" ht="33.75" customHeight="1">
      <c r="A7" s="12"/>
      <c r="B7" s="1"/>
      <c r="C7" s="3"/>
      <c r="D7" s="55"/>
      <c r="E7" s="254"/>
      <c r="F7" s="255"/>
      <c r="G7" s="256"/>
      <c r="H7" s="242"/>
      <c r="I7" s="260" t="s">
        <v>2</v>
      </c>
      <c r="J7" s="261"/>
      <c r="K7" s="262"/>
      <c r="L7" s="260" t="s">
        <v>3</v>
      </c>
      <c r="M7" s="261"/>
      <c r="N7" s="262"/>
      <c r="O7" s="243" t="s">
        <v>4</v>
      </c>
      <c r="P7" s="263"/>
      <c r="Q7" s="264"/>
      <c r="R7" s="243" t="s">
        <v>5</v>
      </c>
      <c r="S7" s="244"/>
      <c r="T7" s="245"/>
      <c r="U7" s="246" t="s">
        <v>6</v>
      </c>
      <c r="V7" s="244"/>
      <c r="W7" s="245"/>
    </row>
    <row r="8" spans="1:26" ht="15.75">
      <c r="A8" s="65" t="s">
        <v>7</v>
      </c>
      <c r="B8" s="62"/>
      <c r="C8" s="62"/>
      <c r="D8" s="64"/>
      <c r="E8" s="13" t="s">
        <v>8</v>
      </c>
      <c r="F8" s="13" t="s">
        <v>9</v>
      </c>
      <c r="G8" s="13" t="s">
        <v>10</v>
      </c>
      <c r="H8" s="13" t="s">
        <v>1</v>
      </c>
      <c r="I8" s="13" t="s">
        <v>8</v>
      </c>
      <c r="J8" s="13" t="s">
        <v>9</v>
      </c>
      <c r="K8" s="13" t="s">
        <v>10</v>
      </c>
      <c r="L8" s="13" t="s">
        <v>8</v>
      </c>
      <c r="M8" s="13" t="s">
        <v>9</v>
      </c>
      <c r="N8" s="13" t="s">
        <v>10</v>
      </c>
      <c r="O8" s="13" t="s">
        <v>8</v>
      </c>
      <c r="P8" s="13" t="s">
        <v>9</v>
      </c>
      <c r="Q8" s="68" t="s">
        <v>10</v>
      </c>
      <c r="R8" s="13" t="s">
        <v>8</v>
      </c>
      <c r="S8" s="13" t="s">
        <v>9</v>
      </c>
      <c r="T8" s="68" t="s">
        <v>10</v>
      </c>
      <c r="U8" s="68" t="s">
        <v>8</v>
      </c>
      <c r="V8" s="68" t="s">
        <v>9</v>
      </c>
      <c r="W8" s="68" t="s">
        <v>10</v>
      </c>
    </row>
    <row r="9" spans="1:26" s="163" customFormat="1">
      <c r="A9" s="162" t="s">
        <v>11</v>
      </c>
      <c r="D9" s="167"/>
      <c r="E9" s="63">
        <f>687-126</f>
        <v>561</v>
      </c>
      <c r="F9" s="63">
        <f>778-127</f>
        <v>651</v>
      </c>
      <c r="G9" s="63">
        <v>118488</v>
      </c>
      <c r="H9" s="63">
        <v>0</v>
      </c>
      <c r="I9" s="63">
        <f>-53+126</f>
        <v>73</v>
      </c>
      <c r="J9" s="63">
        <f>-43-61+127</f>
        <v>23</v>
      </c>
      <c r="K9" s="63">
        <v>17267</v>
      </c>
      <c r="L9" s="24">
        <f>SUM(E9,I9)</f>
        <v>634</v>
      </c>
      <c r="M9" s="24">
        <f>SUM(F9,J9)</f>
        <v>674</v>
      </c>
      <c r="N9" s="63">
        <f>SUM(G9,K9,H9)</f>
        <v>135755</v>
      </c>
      <c r="O9" s="63">
        <f>6+2</f>
        <v>8</v>
      </c>
      <c r="P9" s="63">
        <v>4</v>
      </c>
      <c r="Q9" s="63">
        <f>8467-7619</f>
        <v>848</v>
      </c>
      <c r="R9" s="63">
        <v>-14</v>
      </c>
      <c r="S9" s="63">
        <v>-14</v>
      </c>
      <c r="T9" s="63">
        <v>-2378</v>
      </c>
      <c r="U9" s="63">
        <f>SUM(R9,O9,L9)</f>
        <v>628</v>
      </c>
      <c r="V9" s="63">
        <f>SUM(S9,P9,M9)</f>
        <v>664</v>
      </c>
      <c r="W9" s="63">
        <f>SUM(T9,Q9,N9)</f>
        <v>134225</v>
      </c>
      <c r="X9" s="168"/>
      <c r="Y9" s="169"/>
      <c r="Z9" s="3"/>
    </row>
    <row r="10" spans="1:26">
      <c r="A10" s="30" t="s">
        <v>97</v>
      </c>
      <c r="B10" s="1"/>
      <c r="C10" s="1"/>
      <c r="D10" s="52"/>
      <c r="E10" s="71">
        <v>239</v>
      </c>
      <c r="F10" s="71">
        <v>239</v>
      </c>
      <c r="G10" s="72">
        <v>44023</v>
      </c>
      <c r="H10" s="72">
        <v>0</v>
      </c>
      <c r="I10" s="71">
        <v>18</v>
      </c>
      <c r="J10" s="71">
        <v>18</v>
      </c>
      <c r="K10" s="72">
        <v>261</v>
      </c>
      <c r="L10" s="24">
        <f t="shared" ref="L10:M13" si="0">SUM(E10,I10)</f>
        <v>257</v>
      </c>
      <c r="M10" s="24">
        <f t="shared" si="0"/>
        <v>257</v>
      </c>
      <c r="N10" s="63">
        <f t="shared" ref="N10:N13" si="1">SUM(G10,K10,H10)</f>
        <v>44284</v>
      </c>
      <c r="O10" s="63">
        <v>0</v>
      </c>
      <c r="P10" s="63">
        <v>0</v>
      </c>
      <c r="Q10" s="63">
        <v>0</v>
      </c>
      <c r="R10" s="63">
        <v>-19</v>
      </c>
      <c r="S10" s="63">
        <v>-19</v>
      </c>
      <c r="T10" s="63">
        <f>-8250-11034</f>
        <v>-19284</v>
      </c>
      <c r="U10" s="63">
        <f t="shared" ref="U10:W13" si="2">SUM(R10,O10,L10)</f>
        <v>238</v>
      </c>
      <c r="V10" s="63">
        <f t="shared" si="2"/>
        <v>238</v>
      </c>
      <c r="W10" s="63">
        <f t="shared" si="2"/>
        <v>25000</v>
      </c>
      <c r="X10" s="3"/>
      <c r="Z10" s="3"/>
    </row>
    <row r="11" spans="1:26">
      <c r="A11" s="12" t="s">
        <v>12</v>
      </c>
      <c r="B11" s="1"/>
      <c r="C11" s="1"/>
      <c r="D11" s="52"/>
      <c r="E11" s="71">
        <v>72</v>
      </c>
      <c r="F11" s="63">
        <v>72</v>
      </c>
      <c r="G11" s="63">
        <v>88285</v>
      </c>
      <c r="H11" s="72">
        <v>0</v>
      </c>
      <c r="I11" s="71">
        <v>0</v>
      </c>
      <c r="J11" s="63">
        <v>0</v>
      </c>
      <c r="K11" s="63">
        <f>550-17572</f>
        <v>-17022</v>
      </c>
      <c r="L11" s="24">
        <f t="shared" si="0"/>
        <v>72</v>
      </c>
      <c r="M11" s="24">
        <f t="shared" si="0"/>
        <v>72</v>
      </c>
      <c r="N11" s="63">
        <f t="shared" si="1"/>
        <v>71263</v>
      </c>
      <c r="O11" s="63">
        <v>0</v>
      </c>
      <c r="P11" s="63">
        <v>0</v>
      </c>
      <c r="Q11" s="63">
        <f>25300-25300</f>
        <v>0</v>
      </c>
      <c r="R11" s="63">
        <v>0</v>
      </c>
      <c r="S11" s="63">
        <v>0</v>
      </c>
      <c r="T11" s="63">
        <f>-5456-11500</f>
        <v>-16956</v>
      </c>
      <c r="U11" s="63">
        <f t="shared" si="2"/>
        <v>72</v>
      </c>
      <c r="V11" s="63">
        <f t="shared" si="2"/>
        <v>72</v>
      </c>
      <c r="W11" s="63">
        <f>SUM(T11,Q11,N11)</f>
        <v>54307</v>
      </c>
      <c r="X11" s="3"/>
      <c r="Z11" s="3"/>
    </row>
    <row r="12" spans="1:26">
      <c r="A12" s="162" t="s">
        <v>13</v>
      </c>
      <c r="B12" s="163"/>
      <c r="C12" s="163"/>
      <c r="D12" s="167"/>
      <c r="E12" s="24">
        <v>27</v>
      </c>
      <c r="F12" s="24">
        <v>25</v>
      </c>
      <c r="G12" s="164">
        <f>1533863-95200</f>
        <v>1438663</v>
      </c>
      <c r="H12" s="123">
        <f>95200-95200</f>
        <v>0</v>
      </c>
      <c r="I12" s="63">
        <f>2-2</f>
        <v>0</v>
      </c>
      <c r="J12" s="63">
        <f>4-2</f>
        <v>2</v>
      </c>
      <c r="K12" s="63">
        <v>122</v>
      </c>
      <c r="L12" s="24">
        <f t="shared" si="0"/>
        <v>27</v>
      </c>
      <c r="M12" s="24">
        <f t="shared" si="0"/>
        <v>27</v>
      </c>
      <c r="N12" s="63">
        <f t="shared" si="1"/>
        <v>1438785</v>
      </c>
      <c r="O12" s="63">
        <v>2</v>
      </c>
      <c r="P12" s="63">
        <f>1+1</f>
        <v>2</v>
      </c>
      <c r="Q12" s="63">
        <f>61384+95200</f>
        <v>156584</v>
      </c>
      <c r="R12" s="63">
        <f>-29+29</f>
        <v>0</v>
      </c>
      <c r="S12" s="63">
        <f>-29+29</f>
        <v>0</v>
      </c>
      <c r="T12" s="63">
        <f>-5571+5562-5562+5562</f>
        <v>-9</v>
      </c>
      <c r="U12" s="63">
        <f t="shared" si="2"/>
        <v>29</v>
      </c>
      <c r="V12" s="63">
        <f t="shared" si="2"/>
        <v>29</v>
      </c>
      <c r="W12" s="63">
        <f t="shared" si="2"/>
        <v>1595360</v>
      </c>
      <c r="X12" s="3"/>
      <c r="Z12" s="3"/>
    </row>
    <row r="13" spans="1:26">
      <c r="A13" s="12" t="s">
        <v>109</v>
      </c>
      <c r="B13" s="1"/>
      <c r="C13" s="1"/>
      <c r="D13" s="52"/>
      <c r="E13" s="71">
        <v>35</v>
      </c>
      <c r="F13" s="71">
        <v>35</v>
      </c>
      <c r="G13" s="72">
        <f>206143</f>
        <v>206143</v>
      </c>
      <c r="H13" s="72">
        <v>0</v>
      </c>
      <c r="I13" s="71">
        <v>0</v>
      </c>
      <c r="J13" s="71">
        <v>0</v>
      </c>
      <c r="K13" s="72">
        <v>1625</v>
      </c>
      <c r="L13" s="24">
        <f t="shared" si="0"/>
        <v>35</v>
      </c>
      <c r="M13" s="24">
        <f t="shared" si="0"/>
        <v>35</v>
      </c>
      <c r="N13" s="63">
        <f t="shared" si="1"/>
        <v>207768</v>
      </c>
      <c r="O13" s="63">
        <v>0</v>
      </c>
      <c r="P13" s="63">
        <v>0</v>
      </c>
      <c r="Q13" s="63">
        <f>20800-20800</f>
        <v>0</v>
      </c>
      <c r="R13" s="63">
        <v>0</v>
      </c>
      <c r="S13" s="63">
        <v>0</v>
      </c>
      <c r="T13" s="63">
        <f>-17-105000</f>
        <v>-105017</v>
      </c>
      <c r="U13" s="63">
        <f t="shared" si="2"/>
        <v>35</v>
      </c>
      <c r="V13" s="63">
        <f t="shared" si="2"/>
        <v>35</v>
      </c>
      <c r="W13" s="63">
        <f t="shared" si="2"/>
        <v>102751</v>
      </c>
      <c r="X13" s="3"/>
      <c r="Y13" s="170"/>
      <c r="Z13" s="3"/>
    </row>
    <row r="14" spans="1:26" ht="16.5" customHeight="1">
      <c r="A14" s="14" t="s">
        <v>14</v>
      </c>
      <c r="B14" s="15"/>
      <c r="C14" s="15"/>
      <c r="D14" s="51"/>
      <c r="E14" s="23">
        <f>SUM(E15,E16)</f>
        <v>1573</v>
      </c>
      <c r="F14" s="23">
        <f t="shared" ref="F14:W14" si="3">SUM(F15,F16)</f>
        <v>1525</v>
      </c>
      <c r="G14" s="23">
        <f t="shared" si="3"/>
        <v>300685</v>
      </c>
      <c r="H14" s="192">
        <f t="shared" si="3"/>
        <v>-4000</v>
      </c>
      <c r="I14" s="17">
        <f t="shared" si="3"/>
        <v>24</v>
      </c>
      <c r="J14" s="17">
        <f t="shared" si="3"/>
        <v>110</v>
      </c>
      <c r="K14" s="17">
        <f t="shared" si="3"/>
        <v>21266</v>
      </c>
      <c r="L14" s="17">
        <f t="shared" si="3"/>
        <v>1597</v>
      </c>
      <c r="M14" s="17">
        <f t="shared" si="3"/>
        <v>1635</v>
      </c>
      <c r="N14" s="17">
        <f t="shared" si="3"/>
        <v>317951</v>
      </c>
      <c r="O14" s="17">
        <f t="shared" si="3"/>
        <v>125</v>
      </c>
      <c r="P14" s="17">
        <f t="shared" si="3"/>
        <v>63</v>
      </c>
      <c r="Q14" s="17">
        <f t="shared" si="3"/>
        <v>15039</v>
      </c>
      <c r="R14" s="17">
        <f t="shared" si="3"/>
        <v>0</v>
      </c>
      <c r="S14" s="17">
        <f t="shared" si="3"/>
        <v>0</v>
      </c>
      <c r="T14" s="17">
        <f t="shared" si="3"/>
        <v>-407</v>
      </c>
      <c r="U14" s="17">
        <f t="shared" si="3"/>
        <v>1722</v>
      </c>
      <c r="V14" s="17">
        <f t="shared" si="3"/>
        <v>1698</v>
      </c>
      <c r="W14" s="17">
        <f t="shared" si="3"/>
        <v>332583</v>
      </c>
      <c r="X14" s="3"/>
      <c r="Z14" s="3"/>
    </row>
    <row r="15" spans="1:26">
      <c r="A15" s="16" t="s">
        <v>15</v>
      </c>
      <c r="B15" s="1"/>
      <c r="C15" s="1"/>
      <c r="D15" s="52"/>
      <c r="E15" s="63">
        <v>1558</v>
      </c>
      <c r="F15" s="63">
        <v>1510</v>
      </c>
      <c r="G15" s="63">
        <f>316442-18487</f>
        <v>297955</v>
      </c>
      <c r="H15" s="164">
        <v>-4000</v>
      </c>
      <c r="I15" s="63">
        <v>24</v>
      </c>
      <c r="J15" s="63">
        <v>110</v>
      </c>
      <c r="K15" s="63">
        <f>21224-4000+4000</f>
        <v>21224</v>
      </c>
      <c r="L15" s="24">
        <f t="shared" ref="L15:M17" si="4">+E15+I15</f>
        <v>1582</v>
      </c>
      <c r="M15" s="24">
        <f t="shared" si="4"/>
        <v>1620</v>
      </c>
      <c r="N15" s="63">
        <f t="shared" ref="N15:N20" si="5">+G15+K15+H15</f>
        <v>315179</v>
      </c>
      <c r="O15" s="63">
        <v>125</v>
      </c>
      <c r="P15" s="63">
        <v>63</v>
      </c>
      <c r="Q15" s="63">
        <v>15039</v>
      </c>
      <c r="R15" s="63">
        <v>0</v>
      </c>
      <c r="S15" s="63">
        <v>0</v>
      </c>
      <c r="T15" s="63">
        <v>-405</v>
      </c>
      <c r="U15" s="63">
        <f t="shared" ref="U15:W17" si="6">SUM(R15,O15,L15)</f>
        <v>1707</v>
      </c>
      <c r="V15" s="63">
        <f t="shared" si="6"/>
        <v>1683</v>
      </c>
      <c r="W15" s="63">
        <f t="shared" si="6"/>
        <v>329813</v>
      </c>
      <c r="X15" s="3"/>
      <c r="Z15" s="3"/>
    </row>
    <row r="16" spans="1:26">
      <c r="A16" s="16" t="s">
        <v>16</v>
      </c>
      <c r="B16" s="1"/>
      <c r="C16" s="1"/>
      <c r="D16" s="52"/>
      <c r="E16" s="63">
        <v>15</v>
      </c>
      <c r="F16" s="63">
        <v>15</v>
      </c>
      <c r="G16" s="63">
        <f>2778-48</f>
        <v>2730</v>
      </c>
      <c r="H16" s="164">
        <v>0</v>
      </c>
      <c r="I16" s="71">
        <v>0</v>
      </c>
      <c r="J16" s="63">
        <v>0</v>
      </c>
      <c r="K16" s="63">
        <v>42</v>
      </c>
      <c r="L16" s="24">
        <f t="shared" si="4"/>
        <v>15</v>
      </c>
      <c r="M16" s="24">
        <f t="shared" si="4"/>
        <v>15</v>
      </c>
      <c r="N16" s="63">
        <f t="shared" si="5"/>
        <v>2772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-2</v>
      </c>
      <c r="U16" s="63">
        <f t="shared" si="6"/>
        <v>15</v>
      </c>
      <c r="V16" s="63">
        <f t="shared" si="6"/>
        <v>15</v>
      </c>
      <c r="W16" s="63">
        <f t="shared" si="6"/>
        <v>2770</v>
      </c>
      <c r="X16" s="3"/>
      <c r="Z16" s="3"/>
    </row>
    <row r="17" spans="1:26">
      <c r="A17" s="12" t="s">
        <v>17</v>
      </c>
      <c r="B17" s="1"/>
      <c r="C17" s="1"/>
      <c r="D17" s="52"/>
      <c r="E17" s="63">
        <v>495</v>
      </c>
      <c r="F17" s="63">
        <v>497</v>
      </c>
      <c r="G17" s="63">
        <f>88792-4424</f>
        <v>84368</v>
      </c>
      <c r="H17" s="24">
        <v>0</v>
      </c>
      <c r="I17" s="63">
        <v>0</v>
      </c>
      <c r="J17" s="63">
        <v>9</v>
      </c>
      <c r="K17" s="63">
        <f>1264-1044</f>
        <v>220</v>
      </c>
      <c r="L17" s="24">
        <f t="shared" si="4"/>
        <v>495</v>
      </c>
      <c r="M17" s="24">
        <f t="shared" si="4"/>
        <v>506</v>
      </c>
      <c r="N17" s="63">
        <f t="shared" si="5"/>
        <v>84588</v>
      </c>
      <c r="O17" s="63">
        <v>0</v>
      </c>
      <c r="P17" s="63">
        <v>0</v>
      </c>
      <c r="Q17" s="63">
        <v>575</v>
      </c>
      <c r="R17" s="63">
        <v>0</v>
      </c>
      <c r="S17" s="63">
        <v>0</v>
      </c>
      <c r="T17" s="63">
        <v>-106</v>
      </c>
      <c r="U17" s="63">
        <f>SUM(R17,O17,L17)</f>
        <v>495</v>
      </c>
      <c r="V17" s="63">
        <f t="shared" si="6"/>
        <v>506</v>
      </c>
      <c r="W17" s="63">
        <f t="shared" si="6"/>
        <v>85057</v>
      </c>
      <c r="X17" s="3"/>
      <c r="Z17" s="3"/>
    </row>
    <row r="18" spans="1:26">
      <c r="A18" s="59" t="s">
        <v>18</v>
      </c>
      <c r="B18" s="60"/>
      <c r="C18" s="60"/>
      <c r="D18" s="61"/>
      <c r="E18" s="24" t="s">
        <v>19</v>
      </c>
      <c r="F18" s="63">
        <v>723</v>
      </c>
      <c r="G18" s="63">
        <v>0</v>
      </c>
      <c r="H18" s="164">
        <v>0</v>
      </c>
      <c r="I18" s="71">
        <v>0</v>
      </c>
      <c r="J18" s="71">
        <v>0</v>
      </c>
      <c r="K18" s="72">
        <f>-40000+40000</f>
        <v>0</v>
      </c>
      <c r="L18" s="24" t="s">
        <v>19</v>
      </c>
      <c r="M18" s="24">
        <f>+F18+J18</f>
        <v>723</v>
      </c>
      <c r="N18" s="63">
        <f t="shared" si="5"/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-40000</v>
      </c>
      <c r="U18" s="24" t="s">
        <v>19</v>
      </c>
      <c r="V18" s="63">
        <f t="shared" ref="V18:W18" si="7">+S18+P18+M18</f>
        <v>723</v>
      </c>
      <c r="W18" s="63">
        <f t="shared" si="7"/>
        <v>-40000</v>
      </c>
      <c r="X18" s="3"/>
      <c r="Z18" s="3"/>
    </row>
    <row r="19" spans="1:26">
      <c r="A19" s="12" t="s">
        <v>20</v>
      </c>
      <c r="B19" s="1"/>
      <c r="C19" s="1"/>
      <c r="D19" s="52"/>
      <c r="E19" s="63">
        <f>91-91+85</f>
        <v>85</v>
      </c>
      <c r="F19" s="63">
        <f>90-90+87</f>
        <v>87</v>
      </c>
      <c r="G19" s="63">
        <f>13582-723</f>
        <v>12859</v>
      </c>
      <c r="H19" s="24">
        <v>0</v>
      </c>
      <c r="I19" s="63">
        <f>-6+6</f>
        <v>0</v>
      </c>
      <c r="J19" s="63">
        <f>-3+3</f>
        <v>0</v>
      </c>
      <c r="K19" s="63">
        <v>369</v>
      </c>
      <c r="L19" s="24">
        <f>+E19+I19</f>
        <v>85</v>
      </c>
      <c r="M19" s="24">
        <f>+F19+J19</f>
        <v>87</v>
      </c>
      <c r="N19" s="63">
        <f t="shared" si="5"/>
        <v>13228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-15</v>
      </c>
      <c r="U19" s="63">
        <f t="shared" ref="U19:W20" si="8">SUM(R19,O19,L19)</f>
        <v>85</v>
      </c>
      <c r="V19" s="63">
        <f t="shared" si="8"/>
        <v>87</v>
      </c>
      <c r="W19" s="63">
        <f t="shared" si="8"/>
        <v>13213</v>
      </c>
      <c r="X19" s="3"/>
      <c r="Z19" s="3"/>
    </row>
    <row r="20" spans="1:26">
      <c r="A20" s="59" t="s">
        <v>21</v>
      </c>
      <c r="B20" s="60"/>
      <c r="C20" s="60"/>
      <c r="D20" s="61"/>
      <c r="E20" s="24">
        <f>363-363+346</f>
        <v>346</v>
      </c>
      <c r="F20" s="24">
        <f>355-355+346</f>
        <v>346</v>
      </c>
      <c r="G20" s="63">
        <f>99537-11599</f>
        <v>87938</v>
      </c>
      <c r="H20" s="164">
        <v>0</v>
      </c>
      <c r="I20" s="63">
        <f>-17+17</f>
        <v>0</v>
      </c>
      <c r="J20" s="63">
        <f>-9+9</f>
        <v>0</v>
      </c>
      <c r="K20" s="63">
        <v>663</v>
      </c>
      <c r="L20" s="24">
        <f>+E20+I20</f>
        <v>346</v>
      </c>
      <c r="M20" s="24">
        <f>+F20+J20</f>
        <v>346</v>
      </c>
      <c r="N20" s="63">
        <f t="shared" si="5"/>
        <v>88601</v>
      </c>
      <c r="O20" s="63">
        <v>5</v>
      </c>
      <c r="P20" s="63">
        <v>3</v>
      </c>
      <c r="Q20" s="63">
        <v>729</v>
      </c>
      <c r="R20" s="63">
        <v>13</v>
      </c>
      <c r="S20" s="63">
        <v>7</v>
      </c>
      <c r="T20" s="63">
        <v>-1448</v>
      </c>
      <c r="U20" s="63">
        <f t="shared" si="8"/>
        <v>364</v>
      </c>
      <c r="V20" s="63">
        <f t="shared" si="8"/>
        <v>356</v>
      </c>
      <c r="W20" s="63">
        <f t="shared" si="8"/>
        <v>87882</v>
      </c>
      <c r="X20" s="3"/>
      <c r="Z20" s="3"/>
    </row>
    <row r="21" spans="1:26">
      <c r="A21" s="14" t="s">
        <v>22</v>
      </c>
      <c r="B21" s="15"/>
      <c r="C21" s="15"/>
      <c r="D21" s="51"/>
      <c r="E21" s="23">
        <f t="shared" ref="E21:W21" si="9">SUM(E22:E30)</f>
        <v>4304</v>
      </c>
      <c r="F21" s="23">
        <f t="shared" si="9"/>
        <v>4572</v>
      </c>
      <c r="G21" s="23">
        <f t="shared" si="9"/>
        <v>875097</v>
      </c>
      <c r="H21" s="191">
        <f t="shared" si="9"/>
        <v>0</v>
      </c>
      <c r="I21" s="23">
        <f t="shared" si="9"/>
        <v>163</v>
      </c>
      <c r="J21" s="23">
        <f t="shared" si="9"/>
        <v>343</v>
      </c>
      <c r="K21" s="23">
        <f t="shared" si="9"/>
        <v>78170</v>
      </c>
      <c r="L21" s="23">
        <f t="shared" si="9"/>
        <v>4467</v>
      </c>
      <c r="M21" s="23">
        <f t="shared" si="9"/>
        <v>4915</v>
      </c>
      <c r="N21" s="23">
        <f t="shared" si="9"/>
        <v>953267</v>
      </c>
      <c r="O21" s="23">
        <f>SUM(O22:O30)</f>
        <v>8</v>
      </c>
      <c r="P21" s="23">
        <f>SUM(P22:P30)</f>
        <v>5</v>
      </c>
      <c r="Q21" s="23">
        <f>SUM(Q22:Q30)</f>
        <v>3374</v>
      </c>
      <c r="R21" s="23">
        <f t="shared" si="9"/>
        <v>0</v>
      </c>
      <c r="S21" s="23">
        <f t="shared" si="9"/>
        <v>0</v>
      </c>
      <c r="T21" s="23">
        <f t="shared" si="9"/>
        <v>-1250</v>
      </c>
      <c r="U21" s="23">
        <f t="shared" si="9"/>
        <v>4475</v>
      </c>
      <c r="V21" s="23">
        <f t="shared" si="9"/>
        <v>4920</v>
      </c>
      <c r="W21" s="23">
        <f t="shared" si="9"/>
        <v>955391</v>
      </c>
      <c r="X21" s="3"/>
      <c r="Z21" s="3"/>
    </row>
    <row r="22" spans="1:26">
      <c r="A22" s="16" t="s">
        <v>23</v>
      </c>
      <c r="B22" s="1"/>
      <c r="C22" s="1"/>
      <c r="D22" s="52"/>
      <c r="E22" s="63">
        <v>48</v>
      </c>
      <c r="F22" s="63">
        <v>49</v>
      </c>
      <c r="G22" s="63">
        <f>11018-209</f>
        <v>10809</v>
      </c>
      <c r="H22" s="63">
        <v>0</v>
      </c>
      <c r="I22" s="63">
        <v>0</v>
      </c>
      <c r="J22" s="63">
        <v>0</v>
      </c>
      <c r="K22" s="63">
        <f>-2+128</f>
        <v>126</v>
      </c>
      <c r="L22" s="24">
        <f t="shared" ref="L22:M30" si="10">+E22+I22</f>
        <v>48</v>
      </c>
      <c r="M22" s="24">
        <f t="shared" si="10"/>
        <v>49</v>
      </c>
      <c r="N22" s="63">
        <f t="shared" ref="N22:N30" si="11">+G22+K22+H22</f>
        <v>10935</v>
      </c>
      <c r="O22" s="63">
        <v>2</v>
      </c>
      <c r="P22" s="63">
        <v>2</v>
      </c>
      <c r="Q22" s="63">
        <v>424</v>
      </c>
      <c r="R22" s="63">
        <v>0</v>
      </c>
      <c r="S22" s="63">
        <f>-5+5</f>
        <v>0</v>
      </c>
      <c r="T22" s="63">
        <v>-11</v>
      </c>
      <c r="U22" s="70">
        <f t="shared" ref="U22:W30" si="12">SUM(R22,O22,L22)</f>
        <v>50</v>
      </c>
      <c r="V22" s="70">
        <f t="shared" si="12"/>
        <v>51</v>
      </c>
      <c r="W22" s="63">
        <f t="shared" si="12"/>
        <v>11348</v>
      </c>
      <c r="X22" s="3"/>
      <c r="Z22" s="3"/>
    </row>
    <row r="23" spans="1:26">
      <c r="A23" s="16" t="s">
        <v>24</v>
      </c>
      <c r="B23" s="1"/>
      <c r="C23" s="1"/>
      <c r="D23" s="52"/>
      <c r="E23" s="63">
        <v>639</v>
      </c>
      <c r="F23" s="63">
        <v>587</v>
      </c>
      <c r="G23" s="63">
        <f>115972-10095</f>
        <v>105877</v>
      </c>
      <c r="H23" s="63">
        <v>0</v>
      </c>
      <c r="I23" s="71">
        <v>0</v>
      </c>
      <c r="J23" s="71">
        <v>-5</v>
      </c>
      <c r="K23" s="72">
        <v>7284</v>
      </c>
      <c r="L23" s="24">
        <f t="shared" si="10"/>
        <v>639</v>
      </c>
      <c r="M23" s="24">
        <f t="shared" si="10"/>
        <v>582</v>
      </c>
      <c r="N23" s="63">
        <f t="shared" si="11"/>
        <v>113161</v>
      </c>
      <c r="O23" s="71">
        <v>0</v>
      </c>
      <c r="P23" s="71">
        <v>0</v>
      </c>
      <c r="Q23" s="72">
        <v>0</v>
      </c>
      <c r="R23" s="71">
        <v>0</v>
      </c>
      <c r="S23" s="71">
        <v>0</v>
      </c>
      <c r="T23" s="72">
        <v>-126</v>
      </c>
      <c r="U23" s="63">
        <f t="shared" si="12"/>
        <v>639</v>
      </c>
      <c r="V23" s="63">
        <f t="shared" si="12"/>
        <v>582</v>
      </c>
      <c r="W23" s="63">
        <f t="shared" si="12"/>
        <v>113035</v>
      </c>
      <c r="X23" s="3"/>
      <c r="Z23" s="3"/>
    </row>
    <row r="24" spans="1:26">
      <c r="A24" s="16" t="s">
        <v>25</v>
      </c>
      <c r="B24" s="1"/>
      <c r="C24" s="1"/>
      <c r="D24" s="52"/>
      <c r="E24" s="63">
        <f>770-770+751</f>
        <v>751</v>
      </c>
      <c r="F24" s="63">
        <v>957</v>
      </c>
      <c r="G24" s="63">
        <f>187625-10764</f>
        <v>176861</v>
      </c>
      <c r="H24" s="63">
        <v>0</v>
      </c>
      <c r="I24" s="63">
        <v>25</v>
      </c>
      <c r="J24" s="63">
        <v>35</v>
      </c>
      <c r="K24" s="63">
        <v>21121</v>
      </c>
      <c r="L24" s="24">
        <f t="shared" si="10"/>
        <v>776</v>
      </c>
      <c r="M24" s="24">
        <f t="shared" si="10"/>
        <v>992</v>
      </c>
      <c r="N24" s="63">
        <f t="shared" si="11"/>
        <v>197982</v>
      </c>
      <c r="O24" s="63">
        <f>13-7</f>
        <v>6</v>
      </c>
      <c r="P24" s="63">
        <f>7-4</f>
        <v>3</v>
      </c>
      <c r="Q24" s="63">
        <v>2950</v>
      </c>
      <c r="R24" s="63">
        <v>0</v>
      </c>
      <c r="S24" s="63">
        <v>0</v>
      </c>
      <c r="T24" s="63">
        <v>-330</v>
      </c>
      <c r="U24" s="63">
        <f t="shared" si="12"/>
        <v>782</v>
      </c>
      <c r="V24" s="63">
        <f t="shared" si="12"/>
        <v>995</v>
      </c>
      <c r="W24" s="63">
        <f t="shared" si="12"/>
        <v>200602</v>
      </c>
      <c r="X24" s="3"/>
      <c r="Z24" s="3"/>
    </row>
    <row r="25" spans="1:26">
      <c r="A25" s="16" t="s">
        <v>26</v>
      </c>
      <c r="B25" s="1"/>
      <c r="C25" s="1"/>
      <c r="D25" s="52"/>
      <c r="E25" s="63">
        <f>1500-1500+1475</f>
        <v>1475</v>
      </c>
      <c r="F25" s="63">
        <f>1510-1510+1391</f>
        <v>1391</v>
      </c>
      <c r="G25" s="63">
        <f>334944-47186</f>
        <v>287758</v>
      </c>
      <c r="H25" s="63">
        <v>0</v>
      </c>
      <c r="I25" s="63">
        <f>-25+13+25</f>
        <v>13</v>
      </c>
      <c r="J25" s="63">
        <f>-119+94+121+119+19</f>
        <v>234</v>
      </c>
      <c r="K25" s="63">
        <v>22738</v>
      </c>
      <c r="L25" s="24">
        <f t="shared" si="10"/>
        <v>1488</v>
      </c>
      <c r="M25" s="24">
        <f t="shared" si="10"/>
        <v>1625</v>
      </c>
      <c r="N25" s="63">
        <f t="shared" si="11"/>
        <v>310496</v>
      </c>
      <c r="O25" s="63">
        <f>35-10-25</f>
        <v>0</v>
      </c>
      <c r="P25" s="63">
        <f>35-10-25</f>
        <v>0</v>
      </c>
      <c r="Q25" s="63">
        <v>0</v>
      </c>
      <c r="R25" s="63">
        <v>0</v>
      </c>
      <c r="S25" s="63">
        <v>0</v>
      </c>
      <c r="T25" s="63">
        <v>-384</v>
      </c>
      <c r="U25" s="63">
        <f t="shared" si="12"/>
        <v>1488</v>
      </c>
      <c r="V25" s="63">
        <f t="shared" si="12"/>
        <v>1625</v>
      </c>
      <c r="W25" s="63">
        <f t="shared" si="12"/>
        <v>310112</v>
      </c>
      <c r="X25" s="3"/>
      <c r="Z25" s="3"/>
    </row>
    <row r="26" spans="1:26">
      <c r="A26" s="16" t="s">
        <v>108</v>
      </c>
      <c r="B26" s="1"/>
      <c r="C26" s="1"/>
      <c r="D26" s="1"/>
      <c r="E26" s="63">
        <v>459</v>
      </c>
      <c r="F26" s="63">
        <v>691</v>
      </c>
      <c r="G26" s="63">
        <f>119310-9525</f>
        <v>109785</v>
      </c>
      <c r="H26" s="63">
        <v>0</v>
      </c>
      <c r="I26" s="63">
        <v>130</v>
      </c>
      <c r="J26" s="63">
        <v>16</v>
      </c>
      <c r="K26" s="63">
        <v>7625</v>
      </c>
      <c r="L26" s="24">
        <f t="shared" si="10"/>
        <v>589</v>
      </c>
      <c r="M26" s="24">
        <f t="shared" si="10"/>
        <v>707</v>
      </c>
      <c r="N26" s="63">
        <f t="shared" si="11"/>
        <v>117410</v>
      </c>
      <c r="O26" s="63">
        <f>13-13</f>
        <v>0</v>
      </c>
      <c r="P26" s="63">
        <f>13-13</f>
        <v>0</v>
      </c>
      <c r="Q26" s="63">
        <f>3951-3951</f>
        <v>0</v>
      </c>
      <c r="R26" s="63">
        <v>0</v>
      </c>
      <c r="S26" s="63">
        <v>0</v>
      </c>
      <c r="T26" s="63">
        <v>-166</v>
      </c>
      <c r="U26" s="63">
        <f t="shared" si="12"/>
        <v>589</v>
      </c>
      <c r="V26" s="63">
        <f t="shared" si="12"/>
        <v>707</v>
      </c>
      <c r="W26" s="63">
        <f t="shared" si="12"/>
        <v>117244</v>
      </c>
      <c r="X26" s="3"/>
      <c r="Z26" s="3"/>
    </row>
    <row r="27" spans="1:26">
      <c r="A27" s="16" t="s">
        <v>27</v>
      </c>
      <c r="B27" s="1"/>
      <c r="C27" s="1"/>
      <c r="D27" s="1"/>
      <c r="E27" s="63">
        <v>37</v>
      </c>
      <c r="F27" s="63">
        <v>37</v>
      </c>
      <c r="G27" s="63">
        <f>7782-117</f>
        <v>7665</v>
      </c>
      <c r="H27" s="123">
        <v>0</v>
      </c>
      <c r="I27" s="63">
        <v>-1</v>
      </c>
      <c r="J27" s="63">
        <v>-1</v>
      </c>
      <c r="K27" s="63">
        <v>183</v>
      </c>
      <c r="L27" s="24">
        <f>+E27+I27</f>
        <v>36</v>
      </c>
      <c r="M27" s="24">
        <f>+F27+J27</f>
        <v>36</v>
      </c>
      <c r="N27" s="63">
        <f>+G27+K27+H27</f>
        <v>7848</v>
      </c>
      <c r="O27" s="63">
        <v>0</v>
      </c>
      <c r="P27" s="63">
        <v>0</v>
      </c>
      <c r="Q27" s="63">
        <v>0</v>
      </c>
      <c r="R27" s="63">
        <v>0</v>
      </c>
      <c r="S27" s="63">
        <f>4-4</f>
        <v>0</v>
      </c>
      <c r="T27" s="63">
        <v>-9</v>
      </c>
      <c r="U27" s="63">
        <f t="shared" si="12"/>
        <v>36</v>
      </c>
      <c r="V27" s="63">
        <f t="shared" si="12"/>
        <v>36</v>
      </c>
      <c r="W27" s="63">
        <f t="shared" si="12"/>
        <v>7839</v>
      </c>
      <c r="X27" s="3"/>
      <c r="Z27" s="3"/>
    </row>
    <row r="28" spans="1:26">
      <c r="A28" s="16" t="s">
        <v>28</v>
      </c>
      <c r="B28" s="1"/>
      <c r="C28" s="1"/>
      <c r="D28" s="1"/>
      <c r="E28" s="63">
        <v>815</v>
      </c>
      <c r="F28" s="63">
        <v>784</v>
      </c>
      <c r="G28" s="63">
        <f>161885-16436</f>
        <v>145449</v>
      </c>
      <c r="H28" s="63">
        <v>0</v>
      </c>
      <c r="I28" s="63">
        <v>-1</v>
      </c>
      <c r="J28" s="63">
        <v>61</v>
      </c>
      <c r="K28" s="63">
        <f>10221+6283</f>
        <v>16504</v>
      </c>
      <c r="L28" s="24">
        <f t="shared" si="10"/>
        <v>814</v>
      </c>
      <c r="M28" s="24">
        <f t="shared" si="10"/>
        <v>845</v>
      </c>
      <c r="N28" s="63">
        <f t="shared" si="11"/>
        <v>161953</v>
      </c>
      <c r="O28" s="63">
        <v>0</v>
      </c>
      <c r="P28" s="63">
        <f>32-32</f>
        <v>0</v>
      </c>
      <c r="Q28" s="63">
        <f>6283-6283</f>
        <v>0</v>
      </c>
      <c r="R28" s="63">
        <v>0</v>
      </c>
      <c r="S28" s="63">
        <v>0</v>
      </c>
      <c r="T28" s="63">
        <f>-198</f>
        <v>-198</v>
      </c>
      <c r="U28" s="63">
        <f t="shared" si="12"/>
        <v>814</v>
      </c>
      <c r="V28" s="63">
        <f t="shared" si="12"/>
        <v>845</v>
      </c>
      <c r="W28" s="63">
        <f t="shared" si="12"/>
        <v>161755</v>
      </c>
      <c r="X28" s="3"/>
      <c r="Z28" s="3"/>
    </row>
    <row r="29" spans="1:26">
      <c r="A29" s="16" t="s">
        <v>29</v>
      </c>
      <c r="B29" s="1"/>
      <c r="C29" s="1"/>
      <c r="D29" s="1"/>
      <c r="E29" s="63">
        <v>77</v>
      </c>
      <c r="F29" s="63">
        <v>73</v>
      </c>
      <c r="G29" s="63">
        <f>37018-6927</f>
        <v>30091</v>
      </c>
      <c r="H29" s="123">
        <v>0</v>
      </c>
      <c r="I29" s="63">
        <v>0</v>
      </c>
      <c r="J29" s="63">
        <v>6</v>
      </c>
      <c r="K29" s="63">
        <v>3391</v>
      </c>
      <c r="L29" s="24">
        <f t="shared" si="10"/>
        <v>77</v>
      </c>
      <c r="M29" s="24">
        <f t="shared" si="10"/>
        <v>79</v>
      </c>
      <c r="N29" s="63">
        <f t="shared" si="11"/>
        <v>33482</v>
      </c>
      <c r="O29" s="63">
        <v>0</v>
      </c>
      <c r="P29" s="63">
        <v>0</v>
      </c>
      <c r="Q29" s="63">
        <v>0</v>
      </c>
      <c r="R29" s="63">
        <v>0</v>
      </c>
      <c r="S29" s="63">
        <f>-8+8</f>
        <v>0</v>
      </c>
      <c r="T29" s="63">
        <v>-26</v>
      </c>
      <c r="U29" s="63">
        <f t="shared" si="12"/>
        <v>77</v>
      </c>
      <c r="V29" s="63">
        <f t="shared" si="12"/>
        <v>79</v>
      </c>
      <c r="W29" s="63">
        <f t="shared" si="12"/>
        <v>33456</v>
      </c>
      <c r="X29" s="3"/>
      <c r="Z29" s="3"/>
    </row>
    <row r="30" spans="1:26">
      <c r="A30" s="16" t="s">
        <v>30</v>
      </c>
      <c r="B30" s="1"/>
      <c r="C30" s="1"/>
      <c r="D30" s="1"/>
      <c r="E30" s="63">
        <v>3</v>
      </c>
      <c r="F30" s="63">
        <v>3</v>
      </c>
      <c r="G30" s="63">
        <f>835-33</f>
        <v>802</v>
      </c>
      <c r="H30" s="63">
        <v>0</v>
      </c>
      <c r="I30" s="63">
        <f>-1-2</f>
        <v>-3</v>
      </c>
      <c r="J30" s="63">
        <f>-1-2</f>
        <v>-3</v>
      </c>
      <c r="K30" s="63">
        <v>-802</v>
      </c>
      <c r="L30" s="24">
        <f t="shared" si="10"/>
        <v>0</v>
      </c>
      <c r="M30" s="24">
        <f t="shared" si="10"/>
        <v>0</v>
      </c>
      <c r="N30" s="63">
        <f t="shared" si="11"/>
        <v>0</v>
      </c>
      <c r="O30" s="63">
        <v>0</v>
      </c>
      <c r="P30" s="63">
        <v>0</v>
      </c>
      <c r="Q30" s="63">
        <v>0</v>
      </c>
      <c r="R30" s="63">
        <f>-2+2</f>
        <v>0</v>
      </c>
      <c r="S30" s="63">
        <f>-2+2</f>
        <v>0</v>
      </c>
      <c r="T30" s="63">
        <f>-689+689</f>
        <v>0</v>
      </c>
      <c r="U30" s="63">
        <f t="shared" si="12"/>
        <v>0</v>
      </c>
      <c r="V30" s="63">
        <f t="shared" si="12"/>
        <v>0</v>
      </c>
      <c r="W30" s="63">
        <f t="shared" si="12"/>
        <v>0</v>
      </c>
      <c r="X30" s="3"/>
      <c r="Z30" s="3"/>
    </row>
    <row r="31" spans="1:26">
      <c r="A31" s="12" t="s">
        <v>31</v>
      </c>
      <c r="B31" s="1"/>
      <c r="C31" s="1"/>
      <c r="D31" s="1"/>
      <c r="E31" s="63">
        <v>0</v>
      </c>
      <c r="F31" s="24" t="s">
        <v>32</v>
      </c>
      <c r="G31" s="24" t="s">
        <v>33</v>
      </c>
      <c r="H31" s="164">
        <v>0</v>
      </c>
      <c r="I31" s="63">
        <v>0</v>
      </c>
      <c r="J31" s="63">
        <v>0</v>
      </c>
      <c r="K31" s="24">
        <v>0</v>
      </c>
      <c r="L31" s="24">
        <f>+E31+I31</f>
        <v>0</v>
      </c>
      <c r="M31" s="24" t="str">
        <f>+F31</f>
        <v>[41]</v>
      </c>
      <c r="N31" s="24" t="s">
        <v>33</v>
      </c>
      <c r="O31" s="63">
        <v>0</v>
      </c>
      <c r="P31" s="63">
        <v>0</v>
      </c>
      <c r="Q31" s="24">
        <v>0</v>
      </c>
      <c r="R31" s="63">
        <v>0</v>
      </c>
      <c r="S31" s="63">
        <v>0</v>
      </c>
      <c r="T31" s="24">
        <v>0</v>
      </c>
      <c r="U31" s="63">
        <f>+R31+O31+L31</f>
        <v>0</v>
      </c>
      <c r="V31" s="24" t="s">
        <v>32</v>
      </c>
      <c r="W31" s="24" t="s">
        <v>33</v>
      </c>
      <c r="X31" s="3"/>
      <c r="Z31" s="3"/>
    </row>
    <row r="32" spans="1:26">
      <c r="A32" s="14" t="s">
        <v>34</v>
      </c>
      <c r="B32" s="15"/>
      <c r="C32" s="15"/>
      <c r="D32" s="51"/>
      <c r="E32" s="69" t="s">
        <v>35</v>
      </c>
      <c r="F32" s="25">
        <f t="shared" ref="F32:W32" si="13">SUM(F33,F34)</f>
        <v>851</v>
      </c>
      <c r="G32" s="25">
        <f t="shared" si="13"/>
        <v>61170</v>
      </c>
      <c r="H32" s="232">
        <f t="shared" si="13"/>
        <v>-8000</v>
      </c>
      <c r="I32" s="25">
        <f t="shared" si="13"/>
        <v>0</v>
      </c>
      <c r="J32" s="25">
        <f t="shared" si="13"/>
        <v>0</v>
      </c>
      <c r="K32" s="25">
        <f t="shared" si="13"/>
        <v>3362</v>
      </c>
      <c r="L32" s="69" t="s">
        <v>35</v>
      </c>
      <c r="M32" s="69">
        <f t="shared" si="13"/>
        <v>851</v>
      </c>
      <c r="N32" s="25">
        <f t="shared" si="13"/>
        <v>56532</v>
      </c>
      <c r="O32" s="25">
        <f t="shared" si="13"/>
        <v>0</v>
      </c>
      <c r="P32" s="25">
        <f t="shared" si="13"/>
        <v>0</v>
      </c>
      <c r="Q32" s="25">
        <f t="shared" si="13"/>
        <v>0</v>
      </c>
      <c r="R32" s="25">
        <f t="shared" si="13"/>
        <v>0</v>
      </c>
      <c r="S32" s="25">
        <f t="shared" si="13"/>
        <v>0</v>
      </c>
      <c r="T32" s="25">
        <f t="shared" si="13"/>
        <v>-311</v>
      </c>
      <c r="U32" s="69" t="s">
        <v>35</v>
      </c>
      <c r="V32" s="25">
        <f t="shared" si="13"/>
        <v>851</v>
      </c>
      <c r="W32" s="25">
        <f t="shared" si="13"/>
        <v>56221</v>
      </c>
      <c r="X32" s="3"/>
      <c r="Z32" s="3"/>
    </row>
    <row r="33" spans="1:26">
      <c r="A33" s="12" t="s">
        <v>34</v>
      </c>
      <c r="B33" s="1"/>
      <c r="C33" s="1"/>
      <c r="D33" s="1"/>
      <c r="E33" s="24" t="s">
        <v>35</v>
      </c>
      <c r="F33" s="63">
        <v>851</v>
      </c>
      <c r="G33" s="63">
        <f>167028-3858</f>
        <v>163170</v>
      </c>
      <c r="H33" s="24">
        <v>0</v>
      </c>
      <c r="I33" s="63">
        <v>0</v>
      </c>
      <c r="J33" s="63">
        <v>0</v>
      </c>
      <c r="K33" s="63">
        <v>3362</v>
      </c>
      <c r="L33" s="24" t="s">
        <v>35</v>
      </c>
      <c r="M33" s="24">
        <f>+F33+J33</f>
        <v>851</v>
      </c>
      <c r="N33" s="63">
        <f>+G33+K33+H33</f>
        <v>166532</v>
      </c>
      <c r="O33" s="63">
        <v>0</v>
      </c>
      <c r="P33" s="63">
        <v>0</v>
      </c>
      <c r="Q33" s="63">
        <v>0</v>
      </c>
      <c r="R33" s="24">
        <v>0</v>
      </c>
      <c r="S33" s="63">
        <v>0</v>
      </c>
      <c r="T33" s="63">
        <v>-311</v>
      </c>
      <c r="U33" s="24" t="s">
        <v>35</v>
      </c>
      <c r="V33" s="63">
        <f t="shared" ref="V33:W33" si="14">+S33+P33+M33</f>
        <v>851</v>
      </c>
      <c r="W33" s="63">
        <f t="shared" si="14"/>
        <v>166221</v>
      </c>
      <c r="X33" s="3"/>
      <c r="Z33" s="3"/>
    </row>
    <row r="34" spans="1:26">
      <c r="A34" s="12" t="s">
        <v>36</v>
      </c>
      <c r="B34" s="1"/>
      <c r="C34" s="1"/>
      <c r="D34" s="1"/>
      <c r="E34" s="63">
        <v>0</v>
      </c>
      <c r="F34" s="63">
        <v>0</v>
      </c>
      <c r="G34" s="63">
        <f>-110000+8000</f>
        <v>-102000</v>
      </c>
      <c r="H34" s="164">
        <v>-8000</v>
      </c>
      <c r="I34" s="63">
        <v>0</v>
      </c>
      <c r="J34" s="63">
        <v>0</v>
      </c>
      <c r="K34" s="63">
        <v>0</v>
      </c>
      <c r="L34" s="24">
        <f>+E34+I34</f>
        <v>0</v>
      </c>
      <c r="M34" s="24">
        <f>+F34+J34</f>
        <v>0</v>
      </c>
      <c r="N34" s="63">
        <f>+G34+K34+H34</f>
        <v>-110000</v>
      </c>
      <c r="O34" s="63">
        <v>0</v>
      </c>
      <c r="P34" s="63">
        <v>0</v>
      </c>
      <c r="Q34" s="63">
        <v>0</v>
      </c>
      <c r="R34" s="63">
        <v>0</v>
      </c>
      <c r="S34" s="63">
        <v>0</v>
      </c>
      <c r="T34" s="63">
        <v>0</v>
      </c>
      <c r="U34" s="63">
        <f t="shared" ref="U34:W35" si="15">SUM(R34,O34,L34)</f>
        <v>0</v>
      </c>
      <c r="V34" s="63">
        <f t="shared" si="15"/>
        <v>0</v>
      </c>
      <c r="W34" s="63">
        <f t="shared" si="15"/>
        <v>-110000</v>
      </c>
      <c r="X34" s="3"/>
      <c r="Z34" s="3"/>
    </row>
    <row r="35" spans="1:26">
      <c r="A35" s="59" t="s">
        <v>37</v>
      </c>
      <c r="B35" s="60"/>
      <c r="C35" s="60"/>
      <c r="D35" s="60"/>
      <c r="E35" s="63">
        <f>10731-102</f>
        <v>10629</v>
      </c>
      <c r="F35" s="63">
        <f>12485-198</f>
        <v>12287</v>
      </c>
      <c r="G35" s="164">
        <f>2041269-96659-10607</f>
        <v>1934003</v>
      </c>
      <c r="H35" s="123">
        <f>10607-10607</f>
        <v>0</v>
      </c>
      <c r="I35" s="63">
        <f>52-6+3-102-2+102</f>
        <v>47</v>
      </c>
      <c r="J35" s="63">
        <f>285-46-100</f>
        <v>139</v>
      </c>
      <c r="K35" s="63">
        <f>51725+10607</f>
        <v>62332</v>
      </c>
      <c r="L35" s="24">
        <f>+E35+I35</f>
        <v>10676</v>
      </c>
      <c r="M35" s="24">
        <f>+F35+J35</f>
        <v>12426</v>
      </c>
      <c r="N35" s="63">
        <f>+G35+K35+H35</f>
        <v>1996335</v>
      </c>
      <c r="O35" s="63">
        <v>0</v>
      </c>
      <c r="P35" s="63">
        <v>47</v>
      </c>
      <c r="Q35" s="63">
        <f>2000+10607-10607</f>
        <v>2000</v>
      </c>
      <c r="R35" s="63">
        <v>0</v>
      </c>
      <c r="S35" s="63">
        <f>-121+121</f>
        <v>0</v>
      </c>
      <c r="T35" s="63">
        <v>-3186</v>
      </c>
      <c r="U35" s="63">
        <f t="shared" si="15"/>
        <v>10676</v>
      </c>
      <c r="V35" s="63">
        <f t="shared" si="15"/>
        <v>12473</v>
      </c>
      <c r="W35" s="63">
        <f t="shared" si="15"/>
        <v>1995149</v>
      </c>
      <c r="X35" s="3"/>
      <c r="Z35" s="3"/>
    </row>
    <row r="36" spans="1:26">
      <c r="A36" s="14" t="s">
        <v>38</v>
      </c>
      <c r="B36" s="15"/>
      <c r="C36" s="15"/>
      <c r="D36" s="51"/>
      <c r="E36" s="69" t="s">
        <v>285</v>
      </c>
      <c r="F36" s="25">
        <f t="shared" ref="F36:W36" si="16">SUM(F37:F38)</f>
        <v>1314</v>
      </c>
      <c r="G36" s="25">
        <f t="shared" si="16"/>
        <v>4250</v>
      </c>
      <c r="H36" s="232">
        <f t="shared" si="16"/>
        <v>-61591</v>
      </c>
      <c r="I36" s="25">
        <f t="shared" si="16"/>
        <v>0</v>
      </c>
      <c r="J36" s="25">
        <f t="shared" si="16"/>
        <v>9</v>
      </c>
      <c r="K36" s="25">
        <f t="shared" si="16"/>
        <v>4290</v>
      </c>
      <c r="L36" s="69" t="s">
        <v>285</v>
      </c>
      <c r="M36" s="69">
        <f t="shared" si="16"/>
        <v>1323</v>
      </c>
      <c r="N36" s="25">
        <f t="shared" si="16"/>
        <v>-53051</v>
      </c>
      <c r="O36" s="69" t="s">
        <v>127</v>
      </c>
      <c r="P36" s="25">
        <f>SUM(P37:P38)</f>
        <v>4</v>
      </c>
      <c r="Q36" s="25">
        <f>SUM(Q37:Q38)</f>
        <v>5816</v>
      </c>
      <c r="R36" s="25">
        <f t="shared" si="16"/>
        <v>0</v>
      </c>
      <c r="S36" s="25">
        <f t="shared" si="16"/>
        <v>0</v>
      </c>
      <c r="T36" s="25">
        <f t="shared" si="16"/>
        <v>-479</v>
      </c>
      <c r="U36" s="69" t="s">
        <v>293</v>
      </c>
      <c r="V36" s="25">
        <f t="shared" si="16"/>
        <v>1327</v>
      </c>
      <c r="W36" s="25">
        <f t="shared" si="16"/>
        <v>-47714</v>
      </c>
      <c r="X36" s="3"/>
      <c r="Z36" s="3"/>
    </row>
    <row r="37" spans="1:26">
      <c r="A37" s="16" t="s">
        <v>39</v>
      </c>
      <c r="B37" s="1"/>
      <c r="C37" s="1"/>
      <c r="D37" s="52"/>
      <c r="E37" s="24" t="s">
        <v>285</v>
      </c>
      <c r="F37" s="63">
        <v>1314</v>
      </c>
      <c r="G37" s="63">
        <f>236435-17185</f>
        <v>219250</v>
      </c>
      <c r="H37" s="24">
        <v>5238</v>
      </c>
      <c r="I37" s="63">
        <v>0</v>
      </c>
      <c r="J37" s="63">
        <v>9</v>
      </c>
      <c r="K37" s="63">
        <f>9528-5238</f>
        <v>4290</v>
      </c>
      <c r="L37" s="24" t="s">
        <v>285</v>
      </c>
      <c r="M37" s="24">
        <f>+F37+J37</f>
        <v>1323</v>
      </c>
      <c r="N37" s="63">
        <f>+G37+K37+H37</f>
        <v>228778</v>
      </c>
      <c r="O37" s="24" t="s">
        <v>127</v>
      </c>
      <c r="P37" s="63">
        <v>4</v>
      </c>
      <c r="Q37" s="63">
        <v>5816</v>
      </c>
      <c r="R37" s="24">
        <v>0</v>
      </c>
      <c r="S37" s="63">
        <v>0</v>
      </c>
      <c r="T37" s="63">
        <v>-479</v>
      </c>
      <c r="U37" s="24" t="s">
        <v>293</v>
      </c>
      <c r="V37" s="63">
        <f t="shared" ref="V37:W37" si="17">+S37+P37+M37</f>
        <v>1327</v>
      </c>
      <c r="W37" s="63">
        <f t="shared" si="17"/>
        <v>234115</v>
      </c>
      <c r="X37" s="3"/>
      <c r="Z37" s="3"/>
    </row>
    <row r="38" spans="1:26">
      <c r="A38" s="16" t="s">
        <v>40</v>
      </c>
      <c r="B38" s="1"/>
      <c r="C38" s="1"/>
      <c r="D38" s="52"/>
      <c r="E38" s="63">
        <v>0</v>
      </c>
      <c r="F38" s="63">
        <v>0</v>
      </c>
      <c r="G38" s="63">
        <f>-281829+66829</f>
        <v>-215000</v>
      </c>
      <c r="H38" s="164">
        <v>-66829</v>
      </c>
      <c r="I38" s="63">
        <v>0</v>
      </c>
      <c r="J38" s="63">
        <v>0</v>
      </c>
      <c r="K38" s="63">
        <v>0</v>
      </c>
      <c r="L38" s="24">
        <f>+E38+I38</f>
        <v>0</v>
      </c>
      <c r="M38" s="24">
        <f>+F38+J38</f>
        <v>0</v>
      </c>
      <c r="N38" s="63">
        <f>+G38+K38+H38</f>
        <v>-281829</v>
      </c>
      <c r="O38" s="63">
        <v>0</v>
      </c>
      <c r="P38" s="63">
        <v>0</v>
      </c>
      <c r="Q38" s="63">
        <v>0</v>
      </c>
      <c r="R38" s="63">
        <v>0</v>
      </c>
      <c r="S38" s="63">
        <v>0</v>
      </c>
      <c r="T38" s="63">
        <v>0</v>
      </c>
      <c r="U38" s="63">
        <f t="shared" ref="U38:W39" si="18">SUM(R38,O38,L38)</f>
        <v>0</v>
      </c>
      <c r="V38" s="63">
        <f t="shared" si="18"/>
        <v>0</v>
      </c>
      <c r="W38" s="63">
        <f t="shared" si="18"/>
        <v>-281829</v>
      </c>
      <c r="X38" s="3"/>
      <c r="Z38" s="3"/>
    </row>
    <row r="39" spans="1:26">
      <c r="A39" s="12" t="s">
        <v>41</v>
      </c>
      <c r="B39" s="1"/>
      <c r="C39" s="1"/>
      <c r="D39" s="52"/>
      <c r="E39" s="63">
        <v>11</v>
      </c>
      <c r="F39" s="63">
        <v>11</v>
      </c>
      <c r="G39" s="63">
        <f>2159-42</f>
        <v>2117</v>
      </c>
      <c r="H39" s="24">
        <v>0</v>
      </c>
      <c r="I39" s="63">
        <v>0</v>
      </c>
      <c r="J39" s="63">
        <v>0</v>
      </c>
      <c r="K39" s="63">
        <v>9</v>
      </c>
      <c r="L39" s="24">
        <f>+E39+I39</f>
        <v>11</v>
      </c>
      <c r="M39" s="24">
        <f>+F39+J39</f>
        <v>11</v>
      </c>
      <c r="N39" s="63">
        <f>+G39+K39+H39</f>
        <v>2126</v>
      </c>
      <c r="O39" s="63">
        <v>0</v>
      </c>
      <c r="P39" s="63">
        <v>0</v>
      </c>
      <c r="Q39" s="63">
        <v>0</v>
      </c>
      <c r="R39" s="63">
        <v>0</v>
      </c>
      <c r="S39" s="63">
        <v>0</v>
      </c>
      <c r="T39" s="63">
        <v>-2</v>
      </c>
      <c r="U39" s="63">
        <f t="shared" si="18"/>
        <v>11</v>
      </c>
      <c r="V39" s="63">
        <f t="shared" si="18"/>
        <v>11</v>
      </c>
      <c r="W39" s="63">
        <f t="shared" si="18"/>
        <v>2124</v>
      </c>
      <c r="X39" s="3"/>
      <c r="Z39" s="3"/>
    </row>
    <row r="40" spans="1:26">
      <c r="A40" s="14" t="s">
        <v>42</v>
      </c>
      <c r="B40" s="15"/>
      <c r="C40" s="15"/>
      <c r="D40" s="51"/>
      <c r="E40" s="23">
        <f t="shared" ref="E40:W40" si="19">SUM(E41:E43)</f>
        <v>5544</v>
      </c>
      <c r="F40" s="23">
        <f t="shared" si="19"/>
        <v>5464</v>
      </c>
      <c r="G40" s="23">
        <f t="shared" si="19"/>
        <v>1152388</v>
      </c>
      <c r="H40" s="192">
        <f t="shared" si="19"/>
        <v>0</v>
      </c>
      <c r="I40" s="17">
        <f t="shared" si="19"/>
        <v>122</v>
      </c>
      <c r="J40" s="17">
        <f t="shared" si="19"/>
        <v>468</v>
      </c>
      <c r="K40" s="17">
        <f t="shared" si="19"/>
        <v>123620</v>
      </c>
      <c r="L40" s="17">
        <f t="shared" si="19"/>
        <v>5666</v>
      </c>
      <c r="M40" s="17">
        <f t="shared" si="19"/>
        <v>5932</v>
      </c>
      <c r="N40" s="17">
        <f t="shared" si="19"/>
        <v>1276008</v>
      </c>
      <c r="O40" s="17">
        <f t="shared" si="19"/>
        <v>8</v>
      </c>
      <c r="P40" s="17">
        <f t="shared" si="19"/>
        <v>71</v>
      </c>
      <c r="Q40" s="17">
        <f t="shared" si="19"/>
        <v>1519</v>
      </c>
      <c r="R40" s="17">
        <f t="shared" si="19"/>
        <v>0</v>
      </c>
      <c r="S40" s="17">
        <f t="shared" si="19"/>
        <v>0</v>
      </c>
      <c r="T40" s="17">
        <f t="shared" si="19"/>
        <v>-25532</v>
      </c>
      <c r="U40" s="17">
        <f t="shared" si="19"/>
        <v>5674</v>
      </c>
      <c r="V40" s="17">
        <f t="shared" si="19"/>
        <v>6003</v>
      </c>
      <c r="W40" s="17">
        <f t="shared" si="19"/>
        <v>1251995</v>
      </c>
      <c r="X40" s="3"/>
      <c r="Z40" s="3"/>
    </row>
    <row r="41" spans="1:26">
      <c r="A41" s="16" t="s">
        <v>43</v>
      </c>
      <c r="B41" s="1"/>
      <c r="C41" s="1"/>
      <c r="D41" s="52"/>
      <c r="E41" s="63">
        <v>5544</v>
      </c>
      <c r="F41" s="63">
        <v>5464</v>
      </c>
      <c r="G41" s="24">
        <f>1180534-54771</f>
        <v>1125763</v>
      </c>
      <c r="H41" s="24">
        <v>0</v>
      </c>
      <c r="I41" s="63">
        <v>122</v>
      </c>
      <c r="J41" s="63">
        <f>481-13</f>
        <v>468</v>
      </c>
      <c r="K41" s="63">
        <f>120814+2806</f>
        <v>123620</v>
      </c>
      <c r="L41" s="24">
        <f t="shared" ref="L41:M45" si="20">+E41+I41</f>
        <v>5666</v>
      </c>
      <c r="M41" s="24">
        <f t="shared" si="20"/>
        <v>5932</v>
      </c>
      <c r="N41" s="63">
        <f t="shared" ref="N41:N46" si="21">+G41+K41+H41</f>
        <v>1249383</v>
      </c>
      <c r="O41" s="63">
        <v>8</v>
      </c>
      <c r="P41" s="63">
        <f>4+46+21</f>
        <v>71</v>
      </c>
      <c r="Q41" s="63">
        <f>5469-2950-1000</f>
        <v>1519</v>
      </c>
      <c r="R41" s="63">
        <v>0</v>
      </c>
      <c r="S41" s="63">
        <v>0</v>
      </c>
      <c r="T41" s="63">
        <v>-7332</v>
      </c>
      <c r="U41" s="63">
        <f t="shared" ref="U41:W45" si="22">SUM(R41,O41,L41)</f>
        <v>5674</v>
      </c>
      <c r="V41" s="63">
        <f t="shared" si="22"/>
        <v>6003</v>
      </c>
      <c r="W41" s="63">
        <f t="shared" si="22"/>
        <v>1243570</v>
      </c>
      <c r="X41" s="3"/>
      <c r="Z41" s="3"/>
    </row>
    <row r="42" spans="1:26">
      <c r="A42" s="12" t="s">
        <v>66</v>
      </c>
      <c r="B42" s="1"/>
      <c r="C42" s="1"/>
      <c r="D42" s="52"/>
      <c r="E42" s="63">
        <v>0</v>
      </c>
      <c r="F42" s="63">
        <v>0</v>
      </c>
      <c r="G42" s="63">
        <v>0</v>
      </c>
      <c r="H42" s="24">
        <v>0</v>
      </c>
      <c r="I42" s="63">
        <v>0</v>
      </c>
      <c r="J42" s="63">
        <v>0</v>
      </c>
      <c r="K42" s="63">
        <v>0</v>
      </c>
      <c r="L42" s="24">
        <f t="shared" ref="L42" si="23">+E42+I42</f>
        <v>0</v>
      </c>
      <c r="M42" s="24">
        <f t="shared" ref="M42" si="24">+F42+J42</f>
        <v>0</v>
      </c>
      <c r="N42" s="63">
        <f t="shared" si="21"/>
        <v>0</v>
      </c>
      <c r="O42" s="63">
        <v>0</v>
      </c>
      <c r="P42" s="63">
        <v>0</v>
      </c>
      <c r="Q42" s="63">
        <v>0</v>
      </c>
      <c r="R42" s="63">
        <v>0</v>
      </c>
      <c r="S42" s="63">
        <v>0</v>
      </c>
      <c r="T42" s="63">
        <v>-7200</v>
      </c>
      <c r="U42" s="63">
        <f t="shared" si="22"/>
        <v>0</v>
      </c>
      <c r="V42" s="63">
        <f t="shared" si="22"/>
        <v>0</v>
      </c>
      <c r="W42" s="63">
        <f t="shared" si="22"/>
        <v>-7200</v>
      </c>
      <c r="X42" s="3"/>
      <c r="Z42" s="3"/>
    </row>
    <row r="43" spans="1:26">
      <c r="A43" s="16" t="s">
        <v>44</v>
      </c>
      <c r="B43" s="1"/>
      <c r="C43" s="1"/>
      <c r="D43" s="52"/>
      <c r="E43" s="63">
        <v>0</v>
      </c>
      <c r="F43" s="63">
        <v>0</v>
      </c>
      <c r="G43" s="63">
        <v>26625</v>
      </c>
      <c r="H43" s="24">
        <v>0</v>
      </c>
      <c r="I43" s="63">
        <v>0</v>
      </c>
      <c r="J43" s="63">
        <v>0</v>
      </c>
      <c r="K43" s="63">
        <v>0</v>
      </c>
      <c r="L43" s="24">
        <f t="shared" si="20"/>
        <v>0</v>
      </c>
      <c r="M43" s="24">
        <f t="shared" si="20"/>
        <v>0</v>
      </c>
      <c r="N43" s="63">
        <f t="shared" si="21"/>
        <v>26625</v>
      </c>
      <c r="O43" s="63">
        <v>0</v>
      </c>
      <c r="P43" s="63">
        <v>0</v>
      </c>
      <c r="Q43" s="63">
        <v>0</v>
      </c>
      <c r="R43" s="63">
        <v>0</v>
      </c>
      <c r="S43" s="63">
        <v>0</v>
      </c>
      <c r="T43" s="63">
        <v>-11000</v>
      </c>
      <c r="U43" s="63">
        <f t="shared" si="22"/>
        <v>0</v>
      </c>
      <c r="V43" s="63">
        <f t="shared" si="22"/>
        <v>0</v>
      </c>
      <c r="W43" s="63">
        <f t="shared" si="22"/>
        <v>15625</v>
      </c>
      <c r="X43" s="3"/>
      <c r="Z43" s="3"/>
    </row>
    <row r="44" spans="1:26">
      <c r="A44" s="12" t="s">
        <v>45</v>
      </c>
      <c r="B44" s="1"/>
      <c r="C44" s="1"/>
      <c r="D44" s="52"/>
      <c r="E44" s="63">
        <v>56</v>
      </c>
      <c r="F44" s="63">
        <v>56</v>
      </c>
      <c r="G44" s="63">
        <f>12606-1127</f>
        <v>11479</v>
      </c>
      <c r="H44" s="24">
        <v>0</v>
      </c>
      <c r="I44" s="63">
        <v>0</v>
      </c>
      <c r="J44" s="63">
        <v>0</v>
      </c>
      <c r="K44" s="63">
        <v>46</v>
      </c>
      <c r="L44" s="24">
        <f t="shared" si="20"/>
        <v>56</v>
      </c>
      <c r="M44" s="24">
        <f t="shared" si="20"/>
        <v>56</v>
      </c>
      <c r="N44" s="63">
        <f t="shared" si="21"/>
        <v>11525</v>
      </c>
      <c r="O44" s="63">
        <f>13-5</f>
        <v>8</v>
      </c>
      <c r="P44" s="63">
        <f>2+2</f>
        <v>4</v>
      </c>
      <c r="Q44" s="63">
        <v>1454</v>
      </c>
      <c r="R44" s="63">
        <v>0</v>
      </c>
      <c r="S44" s="63">
        <v>0</v>
      </c>
      <c r="T44" s="63">
        <v>-12</v>
      </c>
      <c r="U44" s="63">
        <f t="shared" si="22"/>
        <v>64</v>
      </c>
      <c r="V44" s="63">
        <f t="shared" si="22"/>
        <v>60</v>
      </c>
      <c r="W44" s="63">
        <f t="shared" si="22"/>
        <v>12967</v>
      </c>
      <c r="X44" s="3"/>
      <c r="Z44" s="3"/>
    </row>
    <row r="45" spans="1:26">
      <c r="A45" s="12" t="s">
        <v>46</v>
      </c>
      <c r="B45" s="1"/>
      <c r="C45" s="1"/>
      <c r="D45" s="52"/>
      <c r="E45" s="63">
        <v>0</v>
      </c>
      <c r="F45" s="63">
        <v>0</v>
      </c>
      <c r="G45" s="63">
        <v>20990</v>
      </c>
      <c r="H45" s="164">
        <v>0</v>
      </c>
      <c r="I45" s="63">
        <v>0</v>
      </c>
      <c r="J45" s="63">
        <v>0</v>
      </c>
      <c r="K45" s="63">
        <v>0</v>
      </c>
      <c r="L45" s="24">
        <f t="shared" si="20"/>
        <v>0</v>
      </c>
      <c r="M45" s="24">
        <f t="shared" si="20"/>
        <v>0</v>
      </c>
      <c r="N45" s="63">
        <f t="shared" si="21"/>
        <v>20990</v>
      </c>
      <c r="O45" s="63">
        <v>0</v>
      </c>
      <c r="P45" s="63">
        <v>0</v>
      </c>
      <c r="Q45" s="63">
        <v>0</v>
      </c>
      <c r="R45" s="63">
        <v>0</v>
      </c>
      <c r="S45" s="63">
        <v>0</v>
      </c>
      <c r="T45" s="63">
        <v>0</v>
      </c>
      <c r="U45" s="63">
        <f t="shared" si="22"/>
        <v>0</v>
      </c>
      <c r="V45" s="63">
        <f t="shared" si="22"/>
        <v>0</v>
      </c>
      <c r="W45" s="63">
        <f t="shared" si="22"/>
        <v>20990</v>
      </c>
      <c r="X45" s="3"/>
      <c r="Z45" s="3"/>
    </row>
    <row r="46" spans="1:26">
      <c r="A46" s="12" t="s">
        <v>47</v>
      </c>
      <c r="B46" s="1"/>
      <c r="C46" s="1"/>
      <c r="D46" s="52"/>
      <c r="E46" s="24" t="s">
        <v>281</v>
      </c>
      <c r="F46" s="24" t="s">
        <v>282</v>
      </c>
      <c r="G46" s="63">
        <f>579319-50750</f>
        <v>528569</v>
      </c>
      <c r="H46" s="164"/>
      <c r="I46" s="24" t="s">
        <v>192</v>
      </c>
      <c r="J46" s="24" t="s">
        <v>192</v>
      </c>
      <c r="K46" s="63">
        <v>3633</v>
      </c>
      <c r="L46" s="24" t="s">
        <v>283</v>
      </c>
      <c r="M46" s="24" t="s">
        <v>284</v>
      </c>
      <c r="N46" s="123">
        <f t="shared" si="21"/>
        <v>532202</v>
      </c>
      <c r="O46" s="24" t="s">
        <v>298</v>
      </c>
      <c r="P46" s="24" t="s">
        <v>298</v>
      </c>
      <c r="Q46" s="63">
        <f>37339-28039</f>
        <v>9300</v>
      </c>
      <c r="R46" s="24">
        <v>0</v>
      </c>
      <c r="S46" s="24">
        <v>0</v>
      </c>
      <c r="T46" s="63">
        <v>-536</v>
      </c>
      <c r="U46" s="24" t="s">
        <v>299</v>
      </c>
      <c r="V46" s="24" t="s">
        <v>300</v>
      </c>
      <c r="W46" s="63">
        <f>+T46+Q46+N46</f>
        <v>540966</v>
      </c>
      <c r="X46" s="3"/>
      <c r="Z46" s="3"/>
    </row>
    <row r="47" spans="1:26">
      <c r="A47" s="14" t="s">
        <v>48</v>
      </c>
      <c r="B47" s="15"/>
      <c r="C47" s="15"/>
      <c r="D47" s="51"/>
      <c r="E47" s="23">
        <f>SUM(E48:E50)</f>
        <v>32998</v>
      </c>
      <c r="F47" s="23">
        <f>SUM(F48:F50)</f>
        <v>34817</v>
      </c>
      <c r="G47" s="23">
        <f>SUM(G48:G50)</f>
        <v>7848537</v>
      </c>
      <c r="H47" s="191">
        <f>SUM(H48:H50)</f>
        <v>50000</v>
      </c>
      <c r="I47" s="23">
        <f>SUM(I48:I50)</f>
        <v>296</v>
      </c>
      <c r="J47" s="23">
        <f>SUM(J48:J50)</f>
        <v>1185</v>
      </c>
      <c r="K47" s="23">
        <f>SUM(K48:K50)</f>
        <v>115825</v>
      </c>
      <c r="L47" s="23">
        <f>SUM(L48:L50)</f>
        <v>33294</v>
      </c>
      <c r="M47" s="23">
        <f>SUM(M48:M50)</f>
        <v>36002</v>
      </c>
      <c r="N47" s="23">
        <f>SUM(N48:N50)</f>
        <v>8014362</v>
      </c>
      <c r="O47" s="23">
        <f>SUM(O48:O50)</f>
        <v>181</v>
      </c>
      <c r="P47" s="23">
        <f>SUM(P48:P50)</f>
        <v>89</v>
      </c>
      <c r="Q47" s="23">
        <f>SUM(Q48:Q50)</f>
        <v>131450</v>
      </c>
      <c r="R47" s="23">
        <f>SUM(R48:R50)</f>
        <v>-6</v>
      </c>
      <c r="S47" s="23">
        <f>SUM(S48:S50)</f>
        <v>-6</v>
      </c>
      <c r="T47" s="23">
        <f>SUM(T48:T50)</f>
        <v>-69839</v>
      </c>
      <c r="U47" s="23">
        <f>SUM(U48:U50)</f>
        <v>33469</v>
      </c>
      <c r="V47" s="23">
        <f>SUM(V48:V50)</f>
        <v>36085</v>
      </c>
      <c r="W47" s="23">
        <f>SUM(W48:W50)</f>
        <v>8075973</v>
      </c>
      <c r="X47" s="3"/>
      <c r="Z47" s="3"/>
    </row>
    <row r="48" spans="1:26">
      <c r="A48" s="16" t="s">
        <v>49</v>
      </c>
      <c r="B48" s="1"/>
      <c r="C48" s="1"/>
      <c r="D48" s="52"/>
      <c r="E48" s="63">
        <v>32998</v>
      </c>
      <c r="F48" s="63">
        <v>34817</v>
      </c>
      <c r="G48" s="123">
        <v>7658622</v>
      </c>
      <c r="H48" s="164">
        <f>44765-44765</f>
        <v>0</v>
      </c>
      <c r="I48" s="63">
        <f>296-211+211</f>
        <v>296</v>
      </c>
      <c r="J48" s="63">
        <f>1341-241+85-280+69+211</f>
        <v>1185</v>
      </c>
      <c r="K48" s="63">
        <f>219589-25357+9433-13651+835+57581</f>
        <v>248430</v>
      </c>
      <c r="L48" s="24">
        <f>+E48+I48</f>
        <v>33294</v>
      </c>
      <c r="M48" s="24">
        <f>+F48+J48</f>
        <v>36002</v>
      </c>
      <c r="N48" s="63">
        <f>+G48+K48+H48</f>
        <v>7907052</v>
      </c>
      <c r="O48" s="63">
        <f>234-53+211-211</f>
        <v>181</v>
      </c>
      <c r="P48" s="63">
        <f>116-27+211-211</f>
        <v>89</v>
      </c>
      <c r="Q48" s="63">
        <f>209133-79891+2208+57581-57581</f>
        <v>131450</v>
      </c>
      <c r="R48" s="63">
        <v>-6</v>
      </c>
      <c r="S48" s="63">
        <v>-6</v>
      </c>
      <c r="T48" s="63">
        <f>-43511</f>
        <v>-43511</v>
      </c>
      <c r="U48" s="63">
        <f t="shared" ref="U48:W50" si="25">SUM(R48,O48,L48)</f>
        <v>33469</v>
      </c>
      <c r="V48" s="63">
        <f t="shared" si="25"/>
        <v>36085</v>
      </c>
      <c r="W48" s="63">
        <f t="shared" si="25"/>
        <v>7994991</v>
      </c>
      <c r="X48" s="3"/>
      <c r="Z48" s="3"/>
    </row>
    <row r="49" spans="1:26">
      <c r="A49" s="12" t="s">
        <v>66</v>
      </c>
      <c r="B49" s="1"/>
      <c r="C49" s="1"/>
      <c r="D49" s="52"/>
      <c r="E49" s="63">
        <v>0</v>
      </c>
      <c r="F49" s="63">
        <v>0</v>
      </c>
      <c r="G49" s="63">
        <v>-50000</v>
      </c>
      <c r="H49" s="164">
        <v>50000</v>
      </c>
      <c r="I49" s="63">
        <v>0</v>
      </c>
      <c r="J49" s="63">
        <v>0</v>
      </c>
      <c r="K49" s="63">
        <v>0</v>
      </c>
      <c r="L49" s="24">
        <f>+E49+I49</f>
        <v>0</v>
      </c>
      <c r="M49" s="24">
        <f>+F49+J49</f>
        <v>0</v>
      </c>
      <c r="N49" s="63">
        <f>+G49+K49+H49</f>
        <v>0</v>
      </c>
      <c r="O49" s="63">
        <v>0</v>
      </c>
      <c r="P49" s="63">
        <v>0</v>
      </c>
      <c r="Q49" s="63">
        <v>0</v>
      </c>
      <c r="R49" s="63">
        <v>0</v>
      </c>
      <c r="S49" s="63">
        <v>0</v>
      </c>
      <c r="T49" s="63">
        <v>0</v>
      </c>
      <c r="U49" s="63">
        <f t="shared" si="25"/>
        <v>0</v>
      </c>
      <c r="V49" s="63">
        <f t="shared" si="25"/>
        <v>0</v>
      </c>
      <c r="W49" s="63">
        <f t="shared" si="25"/>
        <v>0</v>
      </c>
      <c r="X49" s="3"/>
      <c r="Z49" s="3"/>
    </row>
    <row r="50" spans="1:26">
      <c r="A50" s="16" t="s">
        <v>50</v>
      </c>
      <c r="B50" s="1"/>
      <c r="C50" s="1"/>
      <c r="D50" s="52"/>
      <c r="E50" s="63">
        <v>0</v>
      </c>
      <c r="F50" s="63">
        <v>0</v>
      </c>
      <c r="G50" s="63">
        <f>181202+58713</f>
        <v>239915</v>
      </c>
      <c r="H50" s="24">
        <f>-107310-25295+132605</f>
        <v>0</v>
      </c>
      <c r="I50" s="63">
        <v>0</v>
      </c>
      <c r="J50" s="63">
        <v>0</v>
      </c>
      <c r="K50" s="63">
        <v>-132605</v>
      </c>
      <c r="L50" s="24">
        <f t="shared" ref="L50:M50" si="26">+E50+I50</f>
        <v>0</v>
      </c>
      <c r="M50" s="24">
        <f t="shared" si="26"/>
        <v>0</v>
      </c>
      <c r="N50" s="63">
        <f>+G50+K50+H50</f>
        <v>107310</v>
      </c>
      <c r="O50" s="63">
        <v>0</v>
      </c>
      <c r="P50" s="63">
        <v>0</v>
      </c>
      <c r="Q50" s="63">
        <v>0</v>
      </c>
      <c r="R50" s="63">
        <v>0</v>
      </c>
      <c r="S50" s="63">
        <v>0</v>
      </c>
      <c r="T50" s="63">
        <v>-26328</v>
      </c>
      <c r="U50" s="63">
        <f t="shared" si="25"/>
        <v>0</v>
      </c>
      <c r="V50" s="63">
        <f t="shared" si="25"/>
        <v>0</v>
      </c>
      <c r="W50" s="63">
        <f t="shared" si="25"/>
        <v>80982</v>
      </c>
      <c r="X50" s="3"/>
      <c r="Z50" s="3"/>
    </row>
    <row r="51" spans="1:26">
      <c r="A51" s="14" t="s">
        <v>51</v>
      </c>
      <c r="B51" s="15"/>
      <c r="C51" s="15"/>
      <c r="D51" s="51"/>
      <c r="E51" s="25">
        <f>SUM(E52:E54)</f>
        <v>8399</v>
      </c>
      <c r="F51" s="25">
        <f t="shared" ref="F51:W51" si="27">SUM(F52:F54)</f>
        <v>9552</v>
      </c>
      <c r="G51" s="69">
        <f t="shared" si="27"/>
        <v>2019682</v>
      </c>
      <c r="H51" s="232">
        <f t="shared" si="27"/>
        <v>0</v>
      </c>
      <c r="I51" s="25">
        <f t="shared" si="27"/>
        <v>50</v>
      </c>
      <c r="J51" s="25">
        <f t="shared" si="27"/>
        <v>123</v>
      </c>
      <c r="K51" s="25">
        <f t="shared" si="27"/>
        <v>57070</v>
      </c>
      <c r="L51" s="69">
        <f t="shared" si="27"/>
        <v>8449</v>
      </c>
      <c r="M51" s="69">
        <f t="shared" si="27"/>
        <v>9675</v>
      </c>
      <c r="N51" s="25">
        <f t="shared" si="27"/>
        <v>2076752</v>
      </c>
      <c r="O51" s="25">
        <f>SUM(O52:O54)</f>
        <v>8</v>
      </c>
      <c r="P51" s="25">
        <f>SUM(P52:P54)</f>
        <v>4</v>
      </c>
      <c r="Q51" s="25">
        <f>SUM(Q52:Q54)</f>
        <v>12419</v>
      </c>
      <c r="R51" s="25">
        <f t="shared" si="27"/>
        <v>-145</v>
      </c>
      <c r="S51" s="25">
        <f t="shared" si="27"/>
        <v>-145</v>
      </c>
      <c r="T51" s="25">
        <f t="shared" si="27"/>
        <v>-77057</v>
      </c>
      <c r="U51" s="25">
        <f t="shared" si="27"/>
        <v>8312</v>
      </c>
      <c r="V51" s="25">
        <f t="shared" si="27"/>
        <v>9534</v>
      </c>
      <c r="W51" s="25">
        <f t="shared" si="27"/>
        <v>2012114</v>
      </c>
      <c r="X51" s="3"/>
      <c r="Z51" s="3"/>
    </row>
    <row r="52" spans="1:26">
      <c r="A52" s="16" t="s">
        <v>49</v>
      </c>
      <c r="B52" s="1"/>
      <c r="C52" s="1"/>
      <c r="D52" s="52"/>
      <c r="E52" s="63">
        <v>8399</v>
      </c>
      <c r="F52" s="63">
        <v>9552</v>
      </c>
      <c r="G52" s="164">
        <f>2088176-57688-10806</f>
        <v>2019682</v>
      </c>
      <c r="H52" s="164">
        <f>10806-10806</f>
        <v>0</v>
      </c>
      <c r="I52" s="24">
        <v>50</v>
      </c>
      <c r="J52" s="24">
        <f>125-2</f>
        <v>123</v>
      </c>
      <c r="K52" s="24">
        <f>42246+3463+555+2161+8645</f>
        <v>57070</v>
      </c>
      <c r="L52" s="24">
        <f t="shared" ref="L52:M55" si="28">+E52+I52</f>
        <v>8449</v>
      </c>
      <c r="M52" s="24">
        <f t="shared" si="28"/>
        <v>9675</v>
      </c>
      <c r="N52" s="63">
        <f>+G52+K52+H52</f>
        <v>2076752</v>
      </c>
      <c r="O52" s="24">
        <v>8</v>
      </c>
      <c r="P52" s="24">
        <v>4</v>
      </c>
      <c r="Q52" s="24">
        <f>21973-21373-555+1474+900+8645-8645</f>
        <v>2419</v>
      </c>
      <c r="R52" s="24">
        <v>-145</v>
      </c>
      <c r="S52" s="24">
        <v>-145</v>
      </c>
      <c r="T52" s="24">
        <f>-44057-1526-1474</f>
        <v>-47057</v>
      </c>
      <c r="U52" s="63">
        <f t="shared" ref="U52:W56" si="29">SUM(R52,O52,L52)</f>
        <v>8312</v>
      </c>
      <c r="V52" s="63">
        <f t="shared" si="29"/>
        <v>9534</v>
      </c>
      <c r="W52" s="63">
        <f>SUM(T52,Q52,N52)</f>
        <v>2032114</v>
      </c>
      <c r="X52" s="3"/>
      <c r="Z52" s="3"/>
    </row>
    <row r="53" spans="1:26">
      <c r="A53" s="12" t="s">
        <v>66</v>
      </c>
      <c r="B53" s="1"/>
      <c r="C53" s="1"/>
      <c r="D53" s="52"/>
      <c r="E53" s="63">
        <v>0</v>
      </c>
      <c r="F53" s="63">
        <v>0</v>
      </c>
      <c r="G53" s="63">
        <v>0</v>
      </c>
      <c r="H53" s="24">
        <v>0</v>
      </c>
      <c r="I53" s="63">
        <v>0</v>
      </c>
      <c r="J53" s="63">
        <v>0</v>
      </c>
      <c r="K53" s="63">
        <v>0</v>
      </c>
      <c r="L53" s="24">
        <f t="shared" ref="L53" si="30">+E53+I53</f>
        <v>0</v>
      </c>
      <c r="M53" s="24">
        <f t="shared" ref="M53" si="31">+F53+J53</f>
        <v>0</v>
      </c>
      <c r="N53" s="63">
        <f>+G53+K53+H53</f>
        <v>0</v>
      </c>
      <c r="O53" s="63">
        <v>0</v>
      </c>
      <c r="P53" s="63">
        <v>0</v>
      </c>
      <c r="Q53" s="63">
        <v>0</v>
      </c>
      <c r="R53" s="63"/>
      <c r="S53" s="63"/>
      <c r="T53" s="63">
        <v>-30000</v>
      </c>
      <c r="U53" s="63">
        <f t="shared" si="29"/>
        <v>0</v>
      </c>
      <c r="V53" s="63">
        <f t="shared" si="29"/>
        <v>0</v>
      </c>
      <c r="W53" s="63">
        <f t="shared" si="29"/>
        <v>-30000</v>
      </c>
      <c r="X53" s="3"/>
      <c r="Z53" s="3"/>
    </row>
    <row r="54" spans="1:26">
      <c r="A54" s="16" t="s">
        <v>50</v>
      </c>
      <c r="B54" s="1"/>
      <c r="C54" s="1"/>
      <c r="D54" s="52"/>
      <c r="E54" s="63">
        <v>0</v>
      </c>
      <c r="F54" s="63">
        <v>0</v>
      </c>
      <c r="G54" s="24">
        <f>41941-41941</f>
        <v>0</v>
      </c>
      <c r="H54" s="24">
        <v>0</v>
      </c>
      <c r="I54" s="63">
        <v>0</v>
      </c>
      <c r="J54" s="63">
        <v>0</v>
      </c>
      <c r="K54" s="63">
        <v>0</v>
      </c>
      <c r="L54" s="24">
        <f t="shared" si="28"/>
        <v>0</v>
      </c>
      <c r="M54" s="24">
        <f t="shared" si="28"/>
        <v>0</v>
      </c>
      <c r="N54" s="63">
        <f>+G54+K54+H54</f>
        <v>0</v>
      </c>
      <c r="O54" s="63">
        <v>0</v>
      </c>
      <c r="P54" s="63">
        <v>0</v>
      </c>
      <c r="Q54" s="63">
        <f>41941-31941</f>
        <v>10000</v>
      </c>
      <c r="R54" s="63">
        <v>0</v>
      </c>
      <c r="S54" s="63">
        <v>0</v>
      </c>
      <c r="T54" s="63">
        <v>0</v>
      </c>
      <c r="U54" s="63">
        <f t="shared" si="29"/>
        <v>0</v>
      </c>
      <c r="V54" s="63">
        <f t="shared" si="29"/>
        <v>0</v>
      </c>
      <c r="W54" s="63">
        <f t="shared" si="29"/>
        <v>10000</v>
      </c>
      <c r="X54" s="3"/>
      <c r="Z54" s="3"/>
    </row>
    <row r="55" spans="1:26">
      <c r="A55" s="59" t="s">
        <v>52</v>
      </c>
      <c r="B55" s="60"/>
      <c r="C55" s="60"/>
      <c r="D55" s="61"/>
      <c r="E55" s="63">
        <v>5101</v>
      </c>
      <c r="F55" s="63">
        <v>5080</v>
      </c>
      <c r="G55" s="63">
        <f>1162986-36399-11815</f>
        <v>1114772</v>
      </c>
      <c r="H55" s="164">
        <f>11815-11815</f>
        <v>0</v>
      </c>
      <c r="I55" s="63">
        <f>70+2-37+37</f>
        <v>72</v>
      </c>
      <c r="J55" s="63">
        <f>116+2-92+55+37</f>
        <v>118</v>
      </c>
      <c r="K55" s="63">
        <f>45350+1173+11815</f>
        <v>58338</v>
      </c>
      <c r="L55" s="24">
        <f t="shared" si="28"/>
        <v>5173</v>
      </c>
      <c r="M55" s="24">
        <f t="shared" si="28"/>
        <v>5198</v>
      </c>
      <c r="N55" s="63">
        <f>+G55+K55+H55</f>
        <v>1173110</v>
      </c>
      <c r="O55" s="63">
        <f>8+37-37</f>
        <v>8</v>
      </c>
      <c r="P55" s="63">
        <f>4+37-37</f>
        <v>4</v>
      </c>
      <c r="Q55" s="63">
        <f>2747-1228+11815-11815</f>
        <v>1519</v>
      </c>
      <c r="R55" s="63">
        <v>0</v>
      </c>
      <c r="S55" s="63">
        <v>0</v>
      </c>
      <c r="T55" s="63">
        <f>-6281-21053</f>
        <v>-27334</v>
      </c>
      <c r="U55" s="63">
        <f t="shared" si="29"/>
        <v>5181</v>
      </c>
      <c r="V55" s="63">
        <f t="shared" si="29"/>
        <v>5202</v>
      </c>
      <c r="W55" s="63">
        <f t="shared" si="29"/>
        <v>1147295</v>
      </c>
      <c r="X55" s="3"/>
      <c r="Z55" s="3"/>
    </row>
    <row r="56" spans="1:26">
      <c r="A56" s="59" t="s">
        <v>291</v>
      </c>
      <c r="B56" s="60"/>
      <c r="C56" s="60"/>
      <c r="D56" s="61"/>
      <c r="E56" s="63"/>
      <c r="F56" s="63"/>
      <c r="G56" s="63">
        <v>6000</v>
      </c>
      <c r="H56" s="164">
        <f>-6000+6000</f>
        <v>0</v>
      </c>
      <c r="I56" s="63">
        <v>0</v>
      </c>
      <c r="J56" s="63">
        <v>0</v>
      </c>
      <c r="K56" s="63">
        <v>-6000</v>
      </c>
      <c r="L56" s="24"/>
      <c r="M56" s="24"/>
      <c r="N56" s="63"/>
      <c r="O56" s="63"/>
      <c r="P56" s="63"/>
      <c r="Q56" s="63"/>
      <c r="R56" s="63"/>
      <c r="S56" s="63"/>
      <c r="T56" s="63"/>
      <c r="U56" s="63">
        <f t="shared" si="29"/>
        <v>0</v>
      </c>
      <c r="V56" s="63">
        <f t="shared" si="29"/>
        <v>0</v>
      </c>
      <c r="W56" s="63">
        <f t="shared" si="29"/>
        <v>0</v>
      </c>
      <c r="X56" s="3"/>
      <c r="Z56" s="3"/>
    </row>
    <row r="57" spans="1:26">
      <c r="A57" s="14" t="s">
        <v>53</v>
      </c>
      <c r="B57" s="15"/>
      <c r="C57" s="15"/>
      <c r="D57" s="51"/>
      <c r="E57" s="23">
        <f>SUM(E58:E60)</f>
        <v>40563</v>
      </c>
      <c r="F57" s="23">
        <f t="shared" ref="F57:W57" si="32">SUM(F58:F60)</f>
        <v>36086</v>
      </c>
      <c r="G57" s="17">
        <f t="shared" si="32"/>
        <v>6185386</v>
      </c>
      <c r="H57" s="192">
        <f t="shared" si="32"/>
        <v>0</v>
      </c>
      <c r="I57" s="17">
        <f t="shared" si="32"/>
        <v>-9</v>
      </c>
      <c r="J57" s="17">
        <f t="shared" si="32"/>
        <v>780</v>
      </c>
      <c r="K57" s="17">
        <f t="shared" si="32"/>
        <v>382255</v>
      </c>
      <c r="L57" s="17">
        <f t="shared" si="32"/>
        <v>40554</v>
      </c>
      <c r="M57" s="17">
        <f t="shared" si="32"/>
        <v>36866</v>
      </c>
      <c r="N57" s="17">
        <f t="shared" si="32"/>
        <v>6567641</v>
      </c>
      <c r="O57" s="17">
        <f t="shared" si="32"/>
        <v>1777</v>
      </c>
      <c r="P57" s="17">
        <f t="shared" si="32"/>
        <v>2788</v>
      </c>
      <c r="Q57" s="17">
        <f t="shared" si="32"/>
        <v>304800</v>
      </c>
      <c r="R57" s="17">
        <f t="shared" si="32"/>
        <v>0</v>
      </c>
      <c r="S57" s="17">
        <f t="shared" si="32"/>
        <v>0</v>
      </c>
      <c r="T57" s="17">
        <f t="shared" si="32"/>
        <v>-83781</v>
      </c>
      <c r="U57" s="17">
        <f t="shared" si="32"/>
        <v>42331</v>
      </c>
      <c r="V57" s="17">
        <f t="shared" si="32"/>
        <v>39654</v>
      </c>
      <c r="W57" s="17">
        <f t="shared" si="32"/>
        <v>6788660</v>
      </c>
      <c r="X57" s="3"/>
      <c r="Z57" s="3"/>
    </row>
    <row r="58" spans="1:26">
      <c r="A58" s="16" t="s">
        <v>54</v>
      </c>
      <c r="B58" s="1"/>
      <c r="C58" s="1"/>
      <c r="D58" s="52"/>
      <c r="E58" s="63">
        <v>40279</v>
      </c>
      <c r="F58" s="63">
        <v>35818</v>
      </c>
      <c r="G58" s="24">
        <f>6533779-61053-386495</f>
        <v>6086231</v>
      </c>
      <c r="H58" s="24">
        <f>386495-386495</f>
        <v>0</v>
      </c>
      <c r="I58" s="63">
        <f>1274-1274</f>
        <v>0</v>
      </c>
      <c r="J58" s="63">
        <f>3266-2610+136</f>
        <v>792</v>
      </c>
      <c r="K58" s="63">
        <f>254926+697+110511+15882</f>
        <v>382016</v>
      </c>
      <c r="L58" s="24">
        <f t="shared" ref="L58:M60" si="33">+E58+I58</f>
        <v>40279</v>
      </c>
      <c r="M58" s="24">
        <f t="shared" si="33"/>
        <v>36610</v>
      </c>
      <c r="N58" s="63">
        <f>+G58+K58+H58</f>
        <v>6468247</v>
      </c>
      <c r="O58" s="63">
        <f>503+1274</f>
        <v>1777</v>
      </c>
      <c r="P58" s="63">
        <f>314+2474</f>
        <v>2788</v>
      </c>
      <c r="Q58" s="63">
        <f>44698+275984-15882</f>
        <v>304800</v>
      </c>
      <c r="R58" s="63">
        <v>0</v>
      </c>
      <c r="S58" s="63">
        <v>0</v>
      </c>
      <c r="T58" s="63">
        <v>-48781</v>
      </c>
      <c r="U58" s="63">
        <f t="shared" ref="U58:W60" si="34">SUM(R58,O58,L58)</f>
        <v>42056</v>
      </c>
      <c r="V58" s="63">
        <f t="shared" si="34"/>
        <v>39398</v>
      </c>
      <c r="W58" s="63">
        <f t="shared" si="34"/>
        <v>6724266</v>
      </c>
      <c r="X58" s="3"/>
      <c r="Z58" s="3"/>
    </row>
    <row r="59" spans="1:26">
      <c r="A59" s="16" t="s">
        <v>55</v>
      </c>
      <c r="B59" s="1"/>
      <c r="C59" s="1"/>
      <c r="D59" s="1"/>
      <c r="E59" s="63">
        <v>284</v>
      </c>
      <c r="F59" s="63">
        <v>268</v>
      </c>
      <c r="G59" s="24">
        <f>269733-75578-95000</f>
        <v>99155</v>
      </c>
      <c r="H59" s="164">
        <f>95000-95000</f>
        <v>0</v>
      </c>
      <c r="I59" s="63">
        <v>-9</v>
      </c>
      <c r="J59" s="63">
        <v>-12</v>
      </c>
      <c r="K59" s="63">
        <f>-94761+95000</f>
        <v>239</v>
      </c>
      <c r="L59" s="24">
        <f t="shared" si="33"/>
        <v>275</v>
      </c>
      <c r="M59" s="24">
        <f t="shared" si="33"/>
        <v>256</v>
      </c>
      <c r="N59" s="63">
        <f>+G59+K59+H59</f>
        <v>99394</v>
      </c>
      <c r="O59" s="63">
        <v>0</v>
      </c>
      <c r="P59" s="63">
        <v>0</v>
      </c>
      <c r="Q59" s="63">
        <v>0</v>
      </c>
      <c r="R59" s="63">
        <v>0</v>
      </c>
      <c r="S59" s="63">
        <v>0</v>
      </c>
      <c r="T59" s="63">
        <v>0</v>
      </c>
      <c r="U59" s="63">
        <f t="shared" si="34"/>
        <v>275</v>
      </c>
      <c r="V59" s="63">
        <f t="shared" si="34"/>
        <v>256</v>
      </c>
      <c r="W59" s="63">
        <f t="shared" si="34"/>
        <v>99394</v>
      </c>
      <c r="X59" s="3"/>
      <c r="Z59" s="3"/>
    </row>
    <row r="60" spans="1:26">
      <c r="A60" s="12" t="s">
        <v>66</v>
      </c>
      <c r="B60" s="1"/>
      <c r="C60" s="1"/>
      <c r="D60" s="52"/>
      <c r="E60" s="63">
        <v>0</v>
      </c>
      <c r="F60" s="63">
        <v>0</v>
      </c>
      <c r="G60" s="63">
        <v>0</v>
      </c>
      <c r="H60" s="24">
        <v>0</v>
      </c>
      <c r="I60" s="63">
        <v>0</v>
      </c>
      <c r="J60" s="63">
        <v>0</v>
      </c>
      <c r="K60" s="63">
        <v>0</v>
      </c>
      <c r="L60" s="24">
        <f t="shared" si="33"/>
        <v>0</v>
      </c>
      <c r="M60" s="24">
        <f t="shared" si="33"/>
        <v>0</v>
      </c>
      <c r="N60" s="63">
        <f>+G60+K60+H60</f>
        <v>0</v>
      </c>
      <c r="O60" s="63">
        <v>0</v>
      </c>
      <c r="P60" s="63">
        <v>0</v>
      </c>
      <c r="Q60" s="63">
        <v>0</v>
      </c>
      <c r="R60" s="63">
        <v>0</v>
      </c>
      <c r="S60" s="63">
        <v>0</v>
      </c>
      <c r="T60" s="63">
        <v>-35000</v>
      </c>
      <c r="U60" s="63">
        <f t="shared" si="34"/>
        <v>0</v>
      </c>
      <c r="V60" s="63">
        <f t="shared" si="34"/>
        <v>0</v>
      </c>
      <c r="W60" s="63">
        <f t="shared" si="34"/>
        <v>-35000</v>
      </c>
      <c r="X60" s="3"/>
      <c r="Z60" s="3"/>
    </row>
    <row r="61" spans="1:26">
      <c r="A61" s="12" t="s">
        <v>56</v>
      </c>
      <c r="B61" s="18"/>
      <c r="C61" s="18"/>
      <c r="D61" s="18"/>
      <c r="E61" s="24" t="s">
        <v>294</v>
      </c>
      <c r="F61" s="63">
        <v>1931</v>
      </c>
      <c r="G61" s="63">
        <v>2700</v>
      </c>
      <c r="H61" s="164">
        <v>0</v>
      </c>
      <c r="I61" s="24" t="s">
        <v>295</v>
      </c>
      <c r="J61" s="63">
        <v>-125</v>
      </c>
      <c r="K61" s="63">
        <v>0</v>
      </c>
      <c r="L61" s="24" t="s">
        <v>124</v>
      </c>
      <c r="M61" s="24">
        <f>+F61+J61</f>
        <v>1806</v>
      </c>
      <c r="N61" s="63">
        <f>+G61+K61+H61</f>
        <v>2700</v>
      </c>
      <c r="O61" s="24">
        <v>0</v>
      </c>
      <c r="P61" s="63">
        <v>0</v>
      </c>
      <c r="Q61" s="63">
        <v>0</v>
      </c>
      <c r="R61" s="24">
        <v>0</v>
      </c>
      <c r="S61" s="63">
        <v>0</v>
      </c>
      <c r="T61" s="63">
        <v>0</v>
      </c>
      <c r="U61" s="24" t="s">
        <v>124</v>
      </c>
      <c r="V61" s="63">
        <f>+S61+P61+M61</f>
        <v>1806</v>
      </c>
      <c r="W61" s="63">
        <f>+T61+Q61+N61</f>
        <v>2700</v>
      </c>
      <c r="X61" s="3"/>
      <c r="Z61" s="3"/>
    </row>
    <row r="62" spans="1:26" ht="15.75" thickBot="1">
      <c r="A62" s="12" t="s">
        <v>57</v>
      </c>
      <c r="B62" s="1"/>
      <c r="C62" s="1"/>
      <c r="D62" s="1"/>
      <c r="E62" s="24" t="s">
        <v>297</v>
      </c>
      <c r="F62" s="63">
        <v>712</v>
      </c>
      <c r="G62" s="63">
        <v>0</v>
      </c>
      <c r="H62" s="164">
        <v>0</v>
      </c>
      <c r="I62" s="24" t="s">
        <v>296</v>
      </c>
      <c r="J62" s="63">
        <v>15</v>
      </c>
      <c r="K62" s="63">
        <v>0</v>
      </c>
      <c r="L62" s="24" t="s">
        <v>107</v>
      </c>
      <c r="M62" s="24">
        <f>+F62+J62</f>
        <v>727</v>
      </c>
      <c r="N62" s="63">
        <f>+G62+K62+H62</f>
        <v>0</v>
      </c>
      <c r="O62" s="24" t="s">
        <v>194</v>
      </c>
      <c r="P62" s="63">
        <v>3</v>
      </c>
      <c r="Q62" s="63">
        <v>0</v>
      </c>
      <c r="R62" s="63">
        <v>0</v>
      </c>
      <c r="S62" s="63">
        <v>0</v>
      </c>
      <c r="T62" s="63">
        <v>0</v>
      </c>
      <c r="U62" s="24" t="s">
        <v>195</v>
      </c>
      <c r="V62" s="63">
        <f>+S62+P62+M62</f>
        <v>730</v>
      </c>
      <c r="W62" s="63">
        <f>+T62+Q62+N62</f>
        <v>0</v>
      </c>
      <c r="X62" s="3"/>
      <c r="Z62" s="3"/>
    </row>
    <row r="63" spans="1:26" ht="17.25" thickTop="1" thickBot="1">
      <c r="A63" s="19" t="s">
        <v>58</v>
      </c>
      <c r="B63" s="20"/>
      <c r="C63" s="20"/>
      <c r="D63" s="20"/>
      <c r="E63" s="21">
        <f t="shared" ref="E63:G63" si="35">SUM(E9:E13,E14,E17:E18,E19,E20,E21,E31,E32,E35,E36,E39,E40,E44:E45,E46:E46,E47,E51,E55,E56,E57,E61,E62)</f>
        <v>111038</v>
      </c>
      <c r="F63" s="21">
        <f t="shared" si="35"/>
        <v>116933</v>
      </c>
      <c r="G63" s="21">
        <f t="shared" si="35"/>
        <v>24148592</v>
      </c>
      <c r="H63" s="233">
        <f t="shared" ref="H63:K63" si="36">SUM(H9:H13,H14,H17:H18,H19,H20,H21,H31,H32,H35,H36,H39,H40,H44:H45,H46:H46,H47,H51,H55,H56,H57,H61,H62)</f>
        <v>-23591</v>
      </c>
      <c r="I63" s="21">
        <f t="shared" si="36"/>
        <v>856</v>
      </c>
      <c r="J63" s="21">
        <f t="shared" si="36"/>
        <v>3217</v>
      </c>
      <c r="K63" s="21">
        <f t="shared" si="36"/>
        <v>907721</v>
      </c>
      <c r="L63" s="21">
        <f>SUM(L9:L13,L14,L17:L18,L19,L20,L21,L31,L32,L35,L36,L39,L40,L44:L45,L46:L46,L47,L51,L55,L56,L57,L61,L62)</f>
        <v>111894</v>
      </c>
      <c r="M63" s="21">
        <f t="shared" ref="M63:W63" si="37">SUM(M9:M13,M14,M17:M18,M19,M20,M21,M31,M32,M35,M36,M39,M40,M44:M45,M46:M46,M47,M51,M55,M56,M57,M61,M62)</f>
        <v>120150</v>
      </c>
      <c r="N63" s="21">
        <f t="shared" si="37"/>
        <v>25032722</v>
      </c>
      <c r="O63" s="21">
        <f t="shared" si="37"/>
        <v>2138</v>
      </c>
      <c r="P63" s="21">
        <f t="shared" si="37"/>
        <v>3091</v>
      </c>
      <c r="Q63" s="21">
        <f t="shared" si="37"/>
        <v>647426</v>
      </c>
      <c r="R63" s="21">
        <f t="shared" si="37"/>
        <v>-171</v>
      </c>
      <c r="S63" s="21">
        <f t="shared" si="37"/>
        <v>-177</v>
      </c>
      <c r="T63" s="21">
        <f t="shared" si="37"/>
        <v>-474939</v>
      </c>
      <c r="U63" s="21">
        <f t="shared" si="37"/>
        <v>113861</v>
      </c>
      <c r="V63" s="21">
        <f t="shared" si="37"/>
        <v>123064</v>
      </c>
      <c r="W63" s="21">
        <f t="shared" si="37"/>
        <v>25205209</v>
      </c>
      <c r="X63" s="3"/>
      <c r="Z63" s="3"/>
    </row>
    <row r="64" spans="1:26" ht="16.5" thickTop="1" thickBot="1">
      <c r="A64" s="14" t="s">
        <v>59</v>
      </c>
      <c r="B64" s="15"/>
      <c r="C64" s="15"/>
      <c r="D64" s="15"/>
      <c r="E64" s="58">
        <f>SUM(E65,E79,E83)</f>
        <v>960</v>
      </c>
      <c r="F64" s="58">
        <f t="shared" ref="F64:W64" si="38">SUM(F65,F79,F83)</f>
        <v>914</v>
      </c>
      <c r="G64" s="58">
        <f t="shared" si="38"/>
        <v>3551959</v>
      </c>
      <c r="H64" s="234">
        <f t="shared" si="38"/>
        <v>94000</v>
      </c>
      <c r="I64" s="75">
        <f t="shared" si="38"/>
        <v>0</v>
      </c>
      <c r="J64" s="75">
        <f t="shared" si="38"/>
        <v>0</v>
      </c>
      <c r="K64" s="75">
        <f t="shared" si="38"/>
        <v>9025</v>
      </c>
      <c r="L64" s="75">
        <f t="shared" si="38"/>
        <v>960</v>
      </c>
      <c r="M64" s="75">
        <f t="shared" si="38"/>
        <v>914</v>
      </c>
      <c r="N64" s="75">
        <f t="shared" si="38"/>
        <v>3654984</v>
      </c>
      <c r="O64" s="75">
        <f t="shared" si="38"/>
        <v>82</v>
      </c>
      <c r="P64" s="75">
        <f t="shared" si="38"/>
        <v>63</v>
      </c>
      <c r="Q64" s="75">
        <f t="shared" si="38"/>
        <v>786359</v>
      </c>
      <c r="R64" s="75">
        <f t="shared" si="38"/>
        <v>0</v>
      </c>
      <c r="S64" s="75">
        <f t="shared" si="38"/>
        <v>0</v>
      </c>
      <c r="T64" s="75">
        <f t="shared" si="38"/>
        <v>-1477760</v>
      </c>
      <c r="U64" s="75">
        <f t="shared" si="38"/>
        <v>1042</v>
      </c>
      <c r="V64" s="75">
        <f t="shared" si="38"/>
        <v>977</v>
      </c>
      <c r="W64" s="75">
        <f t="shared" si="38"/>
        <v>2963583</v>
      </c>
      <c r="X64" s="3"/>
      <c r="Z64" s="3"/>
    </row>
    <row r="65" spans="1:26" ht="15.75" thickTop="1">
      <c r="A65" s="14" t="s">
        <v>60</v>
      </c>
      <c r="B65" s="15"/>
      <c r="C65" s="15"/>
      <c r="D65" s="15"/>
      <c r="E65" s="75">
        <f>SUM(E66,E69,E70,E73,E76,E77,E78)</f>
        <v>702</v>
      </c>
      <c r="F65" s="75">
        <f t="shared" ref="F65:W65" si="39">SUM(F66,F69,F70,F73,F76,F77,F78)</f>
        <v>680</v>
      </c>
      <c r="G65" s="75">
        <f t="shared" si="39"/>
        <v>2328681</v>
      </c>
      <c r="H65" s="235">
        <f t="shared" si="39"/>
        <v>54000</v>
      </c>
      <c r="I65" s="75">
        <f t="shared" si="39"/>
        <v>0</v>
      </c>
      <c r="J65" s="75">
        <f t="shared" si="39"/>
        <v>0</v>
      </c>
      <c r="K65" s="75">
        <f t="shared" si="39"/>
        <v>170535</v>
      </c>
      <c r="L65" s="75">
        <f t="shared" si="39"/>
        <v>702</v>
      </c>
      <c r="M65" s="75">
        <f t="shared" si="39"/>
        <v>680</v>
      </c>
      <c r="N65" s="75">
        <f t="shared" si="39"/>
        <v>2553216</v>
      </c>
      <c r="O65" s="75">
        <f t="shared" si="39"/>
        <v>28</v>
      </c>
      <c r="P65" s="75">
        <f t="shared" si="39"/>
        <v>36</v>
      </c>
      <c r="Q65" s="75">
        <f t="shared" si="39"/>
        <v>381482</v>
      </c>
      <c r="R65" s="75">
        <f t="shared" si="39"/>
        <v>0</v>
      </c>
      <c r="S65" s="75">
        <f t="shared" si="39"/>
        <v>0</v>
      </c>
      <c r="T65" s="75">
        <f t="shared" si="39"/>
        <v>-1120643</v>
      </c>
      <c r="U65" s="75">
        <f t="shared" si="39"/>
        <v>730</v>
      </c>
      <c r="V65" s="75">
        <f t="shared" si="39"/>
        <v>716</v>
      </c>
      <c r="W65" s="75">
        <f t="shared" si="39"/>
        <v>1814055</v>
      </c>
      <c r="X65" s="3"/>
      <c r="Z65" s="3"/>
    </row>
    <row r="66" spans="1:26">
      <c r="A66" s="14" t="s">
        <v>61</v>
      </c>
      <c r="B66" s="15"/>
      <c r="C66" s="15"/>
      <c r="D66" s="15"/>
      <c r="E66" s="25">
        <f t="shared" ref="E66:W66" si="40">+E67+E68</f>
        <v>0</v>
      </c>
      <c r="F66" s="25">
        <f t="shared" si="40"/>
        <v>0</v>
      </c>
      <c r="G66" s="25">
        <f t="shared" si="40"/>
        <v>235000</v>
      </c>
      <c r="H66" s="236">
        <f t="shared" si="40"/>
        <v>0</v>
      </c>
      <c r="I66" s="25">
        <f t="shared" si="40"/>
        <v>0</v>
      </c>
      <c r="J66" s="25">
        <f t="shared" si="40"/>
        <v>0</v>
      </c>
      <c r="K66" s="25">
        <f t="shared" si="40"/>
        <v>-45000</v>
      </c>
      <c r="L66" s="25">
        <f t="shared" si="40"/>
        <v>0</v>
      </c>
      <c r="M66" s="25">
        <f t="shared" si="40"/>
        <v>0</v>
      </c>
      <c r="N66" s="25">
        <f t="shared" si="40"/>
        <v>190000</v>
      </c>
      <c r="O66" s="25">
        <f>+O67+O68</f>
        <v>0</v>
      </c>
      <c r="P66" s="25">
        <f>+P67+P68</f>
        <v>0</v>
      </c>
      <c r="Q66" s="25">
        <f>+Q67+Q68</f>
        <v>13000</v>
      </c>
      <c r="R66" s="25">
        <f t="shared" si="40"/>
        <v>0</v>
      </c>
      <c r="S66" s="25">
        <f t="shared" si="40"/>
        <v>0</v>
      </c>
      <c r="T66" s="25">
        <f t="shared" si="40"/>
        <v>-24500</v>
      </c>
      <c r="U66" s="25">
        <f t="shared" si="40"/>
        <v>0</v>
      </c>
      <c r="V66" s="25">
        <f t="shared" si="40"/>
        <v>0</v>
      </c>
      <c r="W66" s="25">
        <f t="shared" si="40"/>
        <v>178500</v>
      </c>
      <c r="X66" s="3"/>
      <c r="Z66" s="3"/>
    </row>
    <row r="67" spans="1:26">
      <c r="A67" s="16" t="s">
        <v>62</v>
      </c>
      <c r="B67" s="1"/>
      <c r="C67" s="1"/>
      <c r="D67" s="1"/>
      <c r="E67" s="63">
        <v>0</v>
      </c>
      <c r="F67" s="63">
        <v>0</v>
      </c>
      <c r="G67" s="24">
        <v>235000</v>
      </c>
      <c r="H67" s="164">
        <v>0</v>
      </c>
      <c r="I67" s="63">
        <v>0</v>
      </c>
      <c r="J67" s="63">
        <v>0</v>
      </c>
      <c r="K67" s="63">
        <v>-45000</v>
      </c>
      <c r="L67" s="24">
        <f t="shared" ref="L67:M68" si="41">+E67+I67</f>
        <v>0</v>
      </c>
      <c r="M67" s="24">
        <f t="shared" si="41"/>
        <v>0</v>
      </c>
      <c r="N67" s="63">
        <f>+G67+K67+H67</f>
        <v>190000</v>
      </c>
      <c r="O67" s="63">
        <v>0</v>
      </c>
      <c r="P67" s="63">
        <v>0</v>
      </c>
      <c r="Q67" s="63">
        <v>13000</v>
      </c>
      <c r="R67" s="63">
        <v>0</v>
      </c>
      <c r="S67" s="63">
        <v>0</v>
      </c>
      <c r="T67" s="63">
        <f>-69500+45000</f>
        <v>-24500</v>
      </c>
      <c r="U67" s="63">
        <f t="shared" ref="U67:W69" si="42">SUM(R67,O67,L67)</f>
        <v>0</v>
      </c>
      <c r="V67" s="63">
        <f t="shared" si="42"/>
        <v>0</v>
      </c>
      <c r="W67" s="63">
        <f t="shared" si="42"/>
        <v>178500</v>
      </c>
      <c r="X67" s="3"/>
      <c r="Z67" s="3"/>
    </row>
    <row r="68" spans="1:26">
      <c r="A68" s="12" t="s">
        <v>63</v>
      </c>
      <c r="B68" s="1"/>
      <c r="C68" s="1"/>
      <c r="D68" s="1"/>
      <c r="E68" s="63">
        <v>0</v>
      </c>
      <c r="F68" s="63">
        <v>0</v>
      </c>
      <c r="G68" s="63">
        <v>0</v>
      </c>
      <c r="H68" s="164">
        <v>0</v>
      </c>
      <c r="I68" s="63">
        <v>0</v>
      </c>
      <c r="J68" s="63">
        <v>0</v>
      </c>
      <c r="K68" s="63">
        <v>0</v>
      </c>
      <c r="L68" s="24">
        <f t="shared" si="41"/>
        <v>0</v>
      </c>
      <c r="M68" s="24">
        <f t="shared" si="41"/>
        <v>0</v>
      </c>
      <c r="N68" s="63">
        <f>+G68+K68+H68</f>
        <v>0</v>
      </c>
      <c r="O68" s="63">
        <v>0</v>
      </c>
      <c r="P68" s="63">
        <v>0</v>
      </c>
      <c r="Q68" s="63">
        <v>0</v>
      </c>
      <c r="R68" s="63">
        <v>0</v>
      </c>
      <c r="S68" s="63">
        <v>0</v>
      </c>
      <c r="T68" s="63">
        <v>0</v>
      </c>
      <c r="U68" s="63">
        <f t="shared" si="42"/>
        <v>0</v>
      </c>
      <c r="V68" s="63">
        <f t="shared" si="42"/>
        <v>0</v>
      </c>
      <c r="W68" s="63">
        <f t="shared" si="42"/>
        <v>0</v>
      </c>
      <c r="X68" s="3"/>
      <c r="Z68" s="3"/>
    </row>
    <row r="69" spans="1:26">
      <c r="A69" s="12" t="s">
        <v>236</v>
      </c>
      <c r="B69" s="1"/>
      <c r="C69" s="1"/>
      <c r="D69" s="1"/>
      <c r="E69" s="63">
        <f>749-47</f>
        <v>702</v>
      </c>
      <c r="F69" s="63">
        <f>743-63</f>
        <v>680</v>
      </c>
      <c r="G69" s="63">
        <f>216396-56178</f>
        <v>160218</v>
      </c>
      <c r="H69" s="164">
        <f>56178-16396-39782</f>
        <v>0</v>
      </c>
      <c r="I69" s="63">
        <f>28-28</f>
        <v>0</v>
      </c>
      <c r="J69" s="63">
        <f>-63+63+36-36</f>
        <v>0</v>
      </c>
      <c r="K69" s="63">
        <f>8471+64</f>
        <v>8535</v>
      </c>
      <c r="L69" s="24">
        <f>SUM(E69,I69)</f>
        <v>702</v>
      </c>
      <c r="M69" s="24">
        <f>SUM(F69,J69)</f>
        <v>680</v>
      </c>
      <c r="N69" s="63">
        <f>SUM(G69,K69,H69)</f>
        <v>168753</v>
      </c>
      <c r="O69" s="63">
        <v>28</v>
      </c>
      <c r="P69" s="63">
        <v>36</v>
      </c>
      <c r="Q69" s="63">
        <v>39782</v>
      </c>
      <c r="R69" s="63">
        <v>0</v>
      </c>
      <c r="S69" s="63">
        <v>0</v>
      </c>
      <c r="T69" s="63">
        <f>-11576-5000+16396</f>
        <v>-180</v>
      </c>
      <c r="U69" s="63">
        <f t="shared" si="42"/>
        <v>730</v>
      </c>
      <c r="V69" s="63">
        <f t="shared" si="42"/>
        <v>716</v>
      </c>
      <c r="W69" s="63">
        <f t="shared" si="42"/>
        <v>208355</v>
      </c>
      <c r="X69" s="3"/>
      <c r="Z69" s="3"/>
    </row>
    <row r="70" spans="1:26">
      <c r="A70" s="22" t="s">
        <v>64</v>
      </c>
      <c r="B70" s="15"/>
      <c r="C70" s="15"/>
      <c r="D70" s="15"/>
      <c r="E70" s="23">
        <f t="shared" ref="E70:W70" si="43">+E71+E72</f>
        <v>0</v>
      </c>
      <c r="F70" s="23">
        <f t="shared" si="43"/>
        <v>0</v>
      </c>
      <c r="G70" s="23">
        <f t="shared" si="43"/>
        <v>423595</v>
      </c>
      <c r="H70" s="191">
        <f t="shared" si="43"/>
        <v>0</v>
      </c>
      <c r="I70" s="23">
        <f t="shared" si="43"/>
        <v>0</v>
      </c>
      <c r="J70" s="23">
        <f t="shared" si="43"/>
        <v>0</v>
      </c>
      <c r="K70" s="23">
        <f t="shared" si="43"/>
        <v>0</v>
      </c>
      <c r="L70" s="23">
        <f t="shared" si="43"/>
        <v>0</v>
      </c>
      <c r="M70" s="23">
        <f t="shared" si="43"/>
        <v>0</v>
      </c>
      <c r="N70" s="23">
        <f t="shared" si="43"/>
        <v>423595</v>
      </c>
      <c r="O70" s="23">
        <f>+O71+O72</f>
        <v>0</v>
      </c>
      <c r="P70" s="23">
        <f>+P71+P72</f>
        <v>0</v>
      </c>
      <c r="Q70" s="23">
        <f>+Q71+Q72</f>
        <v>143000</v>
      </c>
      <c r="R70" s="23">
        <f t="shared" si="43"/>
        <v>0</v>
      </c>
      <c r="S70" s="23">
        <f t="shared" si="43"/>
        <v>0</v>
      </c>
      <c r="T70" s="23">
        <f t="shared" si="43"/>
        <v>-286595</v>
      </c>
      <c r="U70" s="23">
        <f t="shared" si="43"/>
        <v>0</v>
      </c>
      <c r="V70" s="23">
        <f t="shared" si="43"/>
        <v>0</v>
      </c>
      <c r="W70" s="23">
        <f t="shared" si="43"/>
        <v>280000</v>
      </c>
      <c r="X70" s="3"/>
      <c r="Z70" s="3"/>
    </row>
    <row r="71" spans="1:26">
      <c r="A71" s="16" t="s">
        <v>65</v>
      </c>
      <c r="B71" s="1"/>
      <c r="C71" s="1"/>
      <c r="D71" s="1"/>
      <c r="E71" s="63">
        <v>0</v>
      </c>
      <c r="F71" s="63">
        <v>0</v>
      </c>
      <c r="G71" s="63">
        <f>289806-289806+423595</f>
        <v>423595</v>
      </c>
      <c r="H71" s="164">
        <f>-91095+91095</f>
        <v>0</v>
      </c>
      <c r="I71" s="63">
        <v>0</v>
      </c>
      <c r="J71" s="70">
        <v>0</v>
      </c>
      <c r="K71" s="70">
        <v>0</v>
      </c>
      <c r="L71" s="24">
        <f>+E71+I71</f>
        <v>0</v>
      </c>
      <c r="M71" s="24">
        <f>+F71+J71</f>
        <v>0</v>
      </c>
      <c r="N71" s="63">
        <f>+G71+K71+H71</f>
        <v>423595</v>
      </c>
      <c r="O71" s="63">
        <v>0</v>
      </c>
      <c r="P71" s="63">
        <v>0</v>
      </c>
      <c r="Q71" s="63">
        <v>143000</v>
      </c>
      <c r="R71" s="63">
        <v>0</v>
      </c>
      <c r="S71" s="63">
        <v>0</v>
      </c>
      <c r="T71" s="63">
        <v>-286595</v>
      </c>
      <c r="U71" s="63">
        <f t="shared" ref="U71:W72" si="44">SUM(R71,O71,L71)</f>
        <v>0</v>
      </c>
      <c r="V71" s="63">
        <f t="shared" si="44"/>
        <v>0</v>
      </c>
      <c r="W71" s="63">
        <f t="shared" si="44"/>
        <v>280000</v>
      </c>
      <c r="X71" s="3"/>
      <c r="Z71" s="3"/>
    </row>
    <row r="72" spans="1:26">
      <c r="A72" s="12" t="s">
        <v>66</v>
      </c>
      <c r="B72" s="1"/>
      <c r="C72" s="1"/>
      <c r="D72" s="1"/>
      <c r="E72" s="63">
        <v>0</v>
      </c>
      <c r="F72" s="63">
        <v>0</v>
      </c>
      <c r="G72" s="63">
        <v>0</v>
      </c>
      <c r="H72" s="164">
        <v>0</v>
      </c>
      <c r="I72" s="63">
        <v>0</v>
      </c>
      <c r="J72" s="63">
        <v>0</v>
      </c>
      <c r="K72" s="63">
        <v>0</v>
      </c>
      <c r="L72" s="24">
        <f>+E72+I72</f>
        <v>0</v>
      </c>
      <c r="M72" s="24">
        <f>+F72+J72</f>
        <v>0</v>
      </c>
      <c r="N72" s="63">
        <f>+G72+K72+H72</f>
        <v>0</v>
      </c>
      <c r="O72" s="63">
        <v>0</v>
      </c>
      <c r="P72" s="63">
        <v>0</v>
      </c>
      <c r="Q72" s="63">
        <v>0</v>
      </c>
      <c r="R72" s="63">
        <v>0</v>
      </c>
      <c r="S72" s="63">
        <v>0</v>
      </c>
      <c r="T72" s="63">
        <v>0</v>
      </c>
      <c r="U72" s="63">
        <f t="shared" si="44"/>
        <v>0</v>
      </c>
      <c r="V72" s="63">
        <f t="shared" si="44"/>
        <v>0</v>
      </c>
      <c r="W72" s="63">
        <f t="shared" si="44"/>
        <v>0</v>
      </c>
      <c r="X72" s="3"/>
      <c r="Z72" s="3"/>
    </row>
    <row r="73" spans="1:26">
      <c r="A73" s="22" t="s">
        <v>67</v>
      </c>
      <c r="B73" s="15"/>
      <c r="C73" s="15"/>
      <c r="D73" s="15"/>
      <c r="E73" s="25">
        <f t="shared" ref="E73:W73" si="45">+E74+E75</f>
        <v>0</v>
      </c>
      <c r="F73" s="25">
        <f t="shared" si="45"/>
        <v>0</v>
      </c>
      <c r="G73" s="25">
        <f t="shared" si="45"/>
        <v>1534768</v>
      </c>
      <c r="H73" s="236">
        <f t="shared" si="45"/>
        <v>0</v>
      </c>
      <c r="I73" s="25">
        <f t="shared" si="45"/>
        <v>0</v>
      </c>
      <c r="J73" s="25">
        <f t="shared" si="45"/>
        <v>0</v>
      </c>
      <c r="K73" s="25">
        <f t="shared" si="45"/>
        <v>207000</v>
      </c>
      <c r="L73" s="25">
        <f t="shared" si="45"/>
        <v>0</v>
      </c>
      <c r="M73" s="25">
        <f t="shared" si="45"/>
        <v>0</v>
      </c>
      <c r="N73" s="25">
        <f t="shared" si="45"/>
        <v>1741768</v>
      </c>
      <c r="O73" s="25">
        <f>+O74+O75</f>
        <v>0</v>
      </c>
      <c r="P73" s="25">
        <f>+P74+P75</f>
        <v>0</v>
      </c>
      <c r="Q73" s="25">
        <f>+Q74+Q75</f>
        <v>178500</v>
      </c>
      <c r="R73" s="25">
        <f t="shared" si="45"/>
        <v>0</v>
      </c>
      <c r="S73" s="25">
        <f t="shared" si="45"/>
        <v>0</v>
      </c>
      <c r="T73" s="25">
        <f t="shared" si="45"/>
        <v>-746768</v>
      </c>
      <c r="U73" s="25">
        <f t="shared" si="45"/>
        <v>0</v>
      </c>
      <c r="V73" s="25">
        <f t="shared" si="45"/>
        <v>0</v>
      </c>
      <c r="W73" s="25">
        <f t="shared" si="45"/>
        <v>1173500</v>
      </c>
      <c r="X73" s="3"/>
      <c r="Z73" s="3"/>
    </row>
    <row r="74" spans="1:26">
      <c r="A74" s="16" t="s">
        <v>68</v>
      </c>
      <c r="B74" s="1"/>
      <c r="C74" s="1"/>
      <c r="D74" s="1"/>
      <c r="E74" s="63">
        <v>0</v>
      </c>
      <c r="F74" s="63">
        <v>0</v>
      </c>
      <c r="G74" s="63">
        <f>1478500-1478500+1534768</f>
        <v>1534768</v>
      </c>
      <c r="H74" s="164"/>
      <c r="I74" s="63">
        <v>0</v>
      </c>
      <c r="J74" s="63">
        <v>0</v>
      </c>
      <c r="K74" s="63">
        <v>207000</v>
      </c>
      <c r="L74" s="24">
        <f t="shared" ref="L74:M78" si="46">+E74+I74</f>
        <v>0</v>
      </c>
      <c r="M74" s="24">
        <f t="shared" si="46"/>
        <v>0</v>
      </c>
      <c r="N74" s="63">
        <f>+G74+K74+H74</f>
        <v>1741768</v>
      </c>
      <c r="O74" s="63">
        <v>0</v>
      </c>
      <c r="P74" s="63">
        <v>0</v>
      </c>
      <c r="Q74" s="63">
        <v>178500</v>
      </c>
      <c r="R74" s="63">
        <v>0</v>
      </c>
      <c r="S74" s="63">
        <v>0</v>
      </c>
      <c r="T74" s="63">
        <v>-746768</v>
      </c>
      <c r="U74" s="63">
        <f t="shared" ref="U74:W78" si="47">SUM(R74,O74,L74)</f>
        <v>0</v>
      </c>
      <c r="V74" s="63">
        <f t="shared" si="47"/>
        <v>0</v>
      </c>
      <c r="W74" s="63">
        <f t="shared" si="47"/>
        <v>1173500</v>
      </c>
      <c r="X74" s="3"/>
      <c r="Z74" s="3"/>
    </row>
    <row r="75" spans="1:26">
      <c r="A75" s="12" t="s">
        <v>66</v>
      </c>
      <c r="B75" s="1"/>
      <c r="C75" s="1"/>
      <c r="D75" s="1"/>
      <c r="E75" s="63">
        <v>0</v>
      </c>
      <c r="F75" s="63">
        <v>0</v>
      </c>
      <c r="G75" s="63">
        <v>0</v>
      </c>
      <c r="H75" s="164">
        <v>0</v>
      </c>
      <c r="I75" s="63">
        <v>0</v>
      </c>
      <c r="J75" s="63">
        <v>0</v>
      </c>
      <c r="K75" s="63">
        <v>0</v>
      </c>
      <c r="L75" s="24">
        <f t="shared" si="46"/>
        <v>0</v>
      </c>
      <c r="M75" s="24">
        <f t="shared" si="46"/>
        <v>0</v>
      </c>
      <c r="N75" s="63">
        <f>+G75+K75+H75</f>
        <v>0</v>
      </c>
      <c r="O75" s="63">
        <v>0</v>
      </c>
      <c r="P75" s="63">
        <v>0</v>
      </c>
      <c r="Q75" s="63">
        <v>0</v>
      </c>
      <c r="R75" s="63">
        <v>0</v>
      </c>
      <c r="S75" s="63">
        <v>0</v>
      </c>
      <c r="T75" s="63">
        <v>0</v>
      </c>
      <c r="U75" s="63">
        <f t="shared" si="47"/>
        <v>0</v>
      </c>
      <c r="V75" s="63">
        <f t="shared" si="47"/>
        <v>0</v>
      </c>
      <c r="W75" s="63">
        <f t="shared" si="47"/>
        <v>0</v>
      </c>
      <c r="X75" s="3"/>
      <c r="Z75" s="3"/>
    </row>
    <row r="76" spans="1:26">
      <c r="A76" s="16" t="s">
        <v>69</v>
      </c>
      <c r="B76" s="1"/>
      <c r="C76" s="1"/>
      <c r="D76" s="1"/>
      <c r="E76" s="63">
        <v>0</v>
      </c>
      <c r="F76" s="63">
        <v>0</v>
      </c>
      <c r="G76" s="63">
        <v>20000</v>
      </c>
      <c r="H76" s="164">
        <v>0</v>
      </c>
      <c r="I76" s="63">
        <v>0</v>
      </c>
      <c r="J76" s="63">
        <v>0</v>
      </c>
      <c r="K76" s="63">
        <v>0</v>
      </c>
      <c r="L76" s="24">
        <f t="shared" si="46"/>
        <v>0</v>
      </c>
      <c r="M76" s="24">
        <f t="shared" si="46"/>
        <v>0</v>
      </c>
      <c r="N76" s="63">
        <f>+G76+K76+H76</f>
        <v>20000</v>
      </c>
      <c r="O76" s="63">
        <v>0</v>
      </c>
      <c r="P76" s="63">
        <v>0</v>
      </c>
      <c r="Q76" s="63">
        <v>0</v>
      </c>
      <c r="R76" s="63">
        <v>0</v>
      </c>
      <c r="S76" s="63">
        <v>0</v>
      </c>
      <c r="T76" s="63">
        <v>-20000</v>
      </c>
      <c r="U76" s="63">
        <f t="shared" si="47"/>
        <v>0</v>
      </c>
      <c r="V76" s="63">
        <f t="shared" si="47"/>
        <v>0</v>
      </c>
      <c r="W76" s="63">
        <f t="shared" si="47"/>
        <v>0</v>
      </c>
      <c r="X76" s="3"/>
      <c r="Z76" s="3"/>
    </row>
    <row r="77" spans="1:26">
      <c r="A77" s="12" t="s">
        <v>70</v>
      </c>
      <c r="B77" s="1"/>
      <c r="C77" s="1"/>
      <c r="D77" s="1"/>
      <c r="E77" s="63">
        <v>0</v>
      </c>
      <c r="F77" s="63">
        <v>0</v>
      </c>
      <c r="G77" s="63">
        <f>16300-7200</f>
        <v>9100</v>
      </c>
      <c r="H77" s="164">
        <v>0</v>
      </c>
      <c r="I77" s="63">
        <v>0</v>
      </c>
      <c r="J77" s="63">
        <v>0</v>
      </c>
      <c r="K77" s="63">
        <v>0</v>
      </c>
      <c r="L77" s="24">
        <f t="shared" si="46"/>
        <v>0</v>
      </c>
      <c r="M77" s="24">
        <f t="shared" si="46"/>
        <v>0</v>
      </c>
      <c r="N77" s="63">
        <f>+G77+K77+H77</f>
        <v>9100</v>
      </c>
      <c r="O77" s="63">
        <v>0</v>
      </c>
      <c r="P77" s="63">
        <v>0</v>
      </c>
      <c r="Q77" s="63">
        <v>7200</v>
      </c>
      <c r="R77" s="63">
        <v>0</v>
      </c>
      <c r="S77" s="63">
        <v>0</v>
      </c>
      <c r="T77" s="63">
        <v>0</v>
      </c>
      <c r="U77" s="63">
        <f t="shared" si="47"/>
        <v>0</v>
      </c>
      <c r="V77" s="63">
        <f t="shared" si="47"/>
        <v>0</v>
      </c>
      <c r="W77" s="63">
        <f t="shared" si="47"/>
        <v>16300</v>
      </c>
      <c r="X77" s="3"/>
      <c r="Z77" s="3"/>
    </row>
    <row r="78" spans="1:26">
      <c r="A78" s="12" t="s">
        <v>71</v>
      </c>
      <c r="B78" s="1"/>
      <c r="C78" s="1"/>
      <c r="D78" s="1"/>
      <c r="E78" s="63">
        <v>0</v>
      </c>
      <c r="F78" s="63">
        <v>0</v>
      </c>
      <c r="G78" s="63">
        <v>-54000</v>
      </c>
      <c r="H78" s="164">
        <v>54000</v>
      </c>
      <c r="I78" s="63">
        <v>0</v>
      </c>
      <c r="J78" s="63">
        <v>0</v>
      </c>
      <c r="K78" s="63">
        <v>0</v>
      </c>
      <c r="L78" s="24">
        <f t="shared" si="46"/>
        <v>0</v>
      </c>
      <c r="M78" s="24">
        <f t="shared" si="46"/>
        <v>0</v>
      </c>
      <c r="N78" s="63">
        <f>+G78+K78+H78</f>
        <v>0</v>
      </c>
      <c r="O78" s="63">
        <v>0</v>
      </c>
      <c r="P78" s="63">
        <v>0</v>
      </c>
      <c r="Q78" s="63">
        <v>0</v>
      </c>
      <c r="R78" s="63">
        <v>0</v>
      </c>
      <c r="S78" s="63">
        <v>0</v>
      </c>
      <c r="T78" s="63">
        <f>-42000-3002+3002-600</f>
        <v>-42600</v>
      </c>
      <c r="U78" s="63">
        <f t="shared" si="47"/>
        <v>0</v>
      </c>
      <c r="V78" s="63">
        <f t="shared" si="47"/>
        <v>0</v>
      </c>
      <c r="W78" s="63">
        <f t="shared" si="47"/>
        <v>-42600</v>
      </c>
      <c r="X78" s="3"/>
      <c r="Z78" s="3"/>
    </row>
    <row r="79" spans="1:26">
      <c r="A79" s="22" t="s">
        <v>72</v>
      </c>
      <c r="B79" s="15"/>
      <c r="C79" s="15"/>
      <c r="D79" s="15"/>
      <c r="E79" s="23">
        <f t="shared" ref="E79:W79" si="48">E80+E81+E82</f>
        <v>188</v>
      </c>
      <c r="F79" s="23">
        <f t="shared" si="48"/>
        <v>164</v>
      </c>
      <c r="G79" s="23">
        <f t="shared" si="48"/>
        <v>789070</v>
      </c>
      <c r="H79" s="191">
        <f t="shared" si="48"/>
        <v>40000</v>
      </c>
      <c r="I79" s="23">
        <f t="shared" si="48"/>
        <v>0</v>
      </c>
      <c r="J79" s="23">
        <f t="shared" si="48"/>
        <v>0</v>
      </c>
      <c r="K79" s="23">
        <f t="shared" si="48"/>
        <v>-161944</v>
      </c>
      <c r="L79" s="23">
        <f t="shared" si="48"/>
        <v>188</v>
      </c>
      <c r="M79" s="23">
        <f t="shared" si="48"/>
        <v>164</v>
      </c>
      <c r="N79" s="23">
        <f t="shared" si="48"/>
        <v>667126</v>
      </c>
      <c r="O79" s="23">
        <f>O80+O81+O82</f>
        <v>22</v>
      </c>
      <c r="P79" s="23">
        <f>P80+P81+P82</f>
        <v>11</v>
      </c>
      <c r="Q79" s="23">
        <f>Q80+Q81+Q82</f>
        <v>323350</v>
      </c>
      <c r="R79" s="23">
        <f t="shared" si="48"/>
        <v>0</v>
      </c>
      <c r="S79" s="23">
        <f t="shared" si="48"/>
        <v>0</v>
      </c>
      <c r="T79" s="23">
        <f t="shared" si="48"/>
        <v>-290846</v>
      </c>
      <c r="U79" s="23">
        <f t="shared" si="48"/>
        <v>210</v>
      </c>
      <c r="V79" s="23">
        <f t="shared" si="48"/>
        <v>175</v>
      </c>
      <c r="W79" s="23">
        <f t="shared" si="48"/>
        <v>699630</v>
      </c>
      <c r="X79" s="3"/>
      <c r="Z79" s="3"/>
    </row>
    <row r="80" spans="1:26">
      <c r="A80" s="16" t="s">
        <v>73</v>
      </c>
      <c r="B80" s="1"/>
      <c r="C80" s="1"/>
      <c r="D80" s="1"/>
      <c r="E80" s="63">
        <v>0</v>
      </c>
      <c r="F80" s="63">
        <v>0</v>
      </c>
      <c r="G80" s="63">
        <f>690000-690000+791608</f>
        <v>791608</v>
      </c>
      <c r="H80" s="164">
        <f>-194108+194108</f>
        <v>0</v>
      </c>
      <c r="I80" s="63">
        <v>0</v>
      </c>
      <c r="J80" s="63">
        <v>0</v>
      </c>
      <c r="K80" s="63">
        <v>-162000</v>
      </c>
      <c r="L80" s="24">
        <f>+E80+I80</f>
        <v>0</v>
      </c>
      <c r="M80" s="24">
        <f>+F80+J80</f>
        <v>0</v>
      </c>
      <c r="N80" s="63">
        <f>+G80+K80+H80</f>
        <v>629608</v>
      </c>
      <c r="O80" s="63">
        <v>0</v>
      </c>
      <c r="P80" s="63">
        <v>0</v>
      </c>
      <c r="Q80" s="63">
        <v>320500</v>
      </c>
      <c r="R80" s="63">
        <v>0</v>
      </c>
      <c r="S80" s="63">
        <v>0</v>
      </c>
      <c r="T80" s="63">
        <v>-280608</v>
      </c>
      <c r="U80" s="63">
        <f t="shared" ref="U80:W82" si="49">SUM(R80,O80,L80)</f>
        <v>0</v>
      </c>
      <c r="V80" s="63">
        <f t="shared" si="49"/>
        <v>0</v>
      </c>
      <c r="W80" s="63">
        <f t="shared" si="49"/>
        <v>669500</v>
      </c>
      <c r="X80" s="3"/>
      <c r="Z80" s="3"/>
    </row>
    <row r="81" spans="1:26">
      <c r="A81" s="12" t="s">
        <v>237</v>
      </c>
      <c r="B81" s="1"/>
      <c r="C81" s="1"/>
      <c r="D81" s="1"/>
      <c r="E81" s="63">
        <f>210-22</f>
        <v>188</v>
      </c>
      <c r="F81" s="63">
        <f>175-11</f>
        <v>164</v>
      </c>
      <c r="G81" s="63">
        <f>40312-2850</f>
        <v>37462</v>
      </c>
      <c r="H81" s="164">
        <f>2850-2850</f>
        <v>0</v>
      </c>
      <c r="I81" s="63">
        <f>22-22</f>
        <v>0</v>
      </c>
      <c r="J81" s="63">
        <f>-11+11+11-11</f>
        <v>0</v>
      </c>
      <c r="K81" s="63">
        <v>56</v>
      </c>
      <c r="L81" s="24">
        <f>SUM(E81,I81)</f>
        <v>188</v>
      </c>
      <c r="M81" s="24">
        <f>SUM(F81,J81)</f>
        <v>164</v>
      </c>
      <c r="N81" s="63">
        <f>SUM(G81,K81,H81)</f>
        <v>37518</v>
      </c>
      <c r="O81" s="63">
        <v>22</v>
      </c>
      <c r="P81" s="63">
        <v>11</v>
      </c>
      <c r="Q81" s="63">
        <v>2850</v>
      </c>
      <c r="R81" s="63">
        <v>0</v>
      </c>
      <c r="S81" s="63">
        <v>0</v>
      </c>
      <c r="T81" s="63">
        <v>-38</v>
      </c>
      <c r="U81" s="63">
        <f t="shared" si="49"/>
        <v>210</v>
      </c>
      <c r="V81" s="63">
        <f t="shared" si="49"/>
        <v>175</v>
      </c>
      <c r="W81" s="63">
        <f t="shared" si="49"/>
        <v>40330</v>
      </c>
      <c r="X81" s="3"/>
      <c r="Z81" s="3"/>
    </row>
    <row r="82" spans="1:26">
      <c r="A82" s="12" t="s">
        <v>74</v>
      </c>
      <c r="B82" s="1"/>
      <c r="C82" s="1"/>
      <c r="D82" s="1"/>
      <c r="E82" s="63">
        <v>0</v>
      </c>
      <c r="F82" s="63">
        <v>0</v>
      </c>
      <c r="G82" s="63">
        <v>-40000</v>
      </c>
      <c r="H82" s="164">
        <v>40000</v>
      </c>
      <c r="I82" s="63">
        <v>0</v>
      </c>
      <c r="J82" s="63">
        <v>0</v>
      </c>
      <c r="K82" s="63">
        <v>0</v>
      </c>
      <c r="L82" s="24">
        <f>+E82+I82</f>
        <v>0</v>
      </c>
      <c r="M82" s="24">
        <f>+F82+J82</f>
        <v>0</v>
      </c>
      <c r="N82" s="63">
        <f>+G82+K82+H82</f>
        <v>0</v>
      </c>
      <c r="O82" s="63">
        <v>0</v>
      </c>
      <c r="P82" s="63">
        <v>0</v>
      </c>
      <c r="Q82" s="63">
        <v>0</v>
      </c>
      <c r="R82" s="63">
        <v>0</v>
      </c>
      <c r="S82" s="63">
        <v>0</v>
      </c>
      <c r="T82" s="63">
        <v>-10200</v>
      </c>
      <c r="U82" s="63">
        <f t="shared" si="49"/>
        <v>0</v>
      </c>
      <c r="V82" s="63">
        <f t="shared" si="49"/>
        <v>0</v>
      </c>
      <c r="W82" s="63">
        <f t="shared" si="49"/>
        <v>-10200</v>
      </c>
      <c r="X82" s="3"/>
      <c r="Z82" s="3"/>
    </row>
    <row r="83" spans="1:26">
      <c r="A83" s="14" t="s">
        <v>75</v>
      </c>
      <c r="B83" s="15"/>
      <c r="C83" s="15"/>
      <c r="D83" s="15"/>
      <c r="E83" s="25">
        <f t="shared" ref="E83:W83" si="50">SUM(E84:E86)</f>
        <v>70</v>
      </c>
      <c r="F83" s="25">
        <f t="shared" si="50"/>
        <v>70</v>
      </c>
      <c r="G83" s="25">
        <f t="shared" si="50"/>
        <v>434208</v>
      </c>
      <c r="H83" s="232">
        <f t="shared" si="50"/>
        <v>0</v>
      </c>
      <c r="I83" s="25">
        <f t="shared" si="50"/>
        <v>0</v>
      </c>
      <c r="J83" s="25">
        <f t="shared" si="50"/>
        <v>0</v>
      </c>
      <c r="K83" s="25">
        <f t="shared" si="50"/>
        <v>434</v>
      </c>
      <c r="L83" s="69">
        <f t="shared" si="50"/>
        <v>70</v>
      </c>
      <c r="M83" s="69">
        <f t="shared" si="50"/>
        <v>70</v>
      </c>
      <c r="N83" s="25">
        <f t="shared" si="50"/>
        <v>434642</v>
      </c>
      <c r="O83" s="25">
        <f t="shared" si="50"/>
        <v>32</v>
      </c>
      <c r="P83" s="25">
        <f t="shared" si="50"/>
        <v>16</v>
      </c>
      <c r="Q83" s="25">
        <f t="shared" si="50"/>
        <v>81527</v>
      </c>
      <c r="R83" s="25">
        <f t="shared" si="50"/>
        <v>0</v>
      </c>
      <c r="S83" s="25">
        <f t="shared" si="50"/>
        <v>0</v>
      </c>
      <c r="T83" s="25">
        <f t="shared" si="50"/>
        <v>-66271</v>
      </c>
      <c r="U83" s="25">
        <f t="shared" si="50"/>
        <v>102</v>
      </c>
      <c r="V83" s="25">
        <f t="shared" si="50"/>
        <v>86</v>
      </c>
      <c r="W83" s="25">
        <f t="shared" si="50"/>
        <v>449898</v>
      </c>
      <c r="X83" s="3"/>
      <c r="Z83" s="3"/>
    </row>
    <row r="84" spans="1:26">
      <c r="A84" s="12" t="s">
        <v>76</v>
      </c>
      <c r="B84" s="1"/>
      <c r="C84" s="1"/>
      <c r="D84" s="1"/>
      <c r="E84" s="63">
        <v>0</v>
      </c>
      <c r="F84" s="63">
        <v>0</v>
      </c>
      <c r="G84" s="63">
        <f>438000-19500</f>
        <v>418500</v>
      </c>
      <c r="H84" s="24">
        <v>0</v>
      </c>
      <c r="I84" s="63">
        <v>0</v>
      </c>
      <c r="J84" s="63">
        <v>0</v>
      </c>
      <c r="K84" s="63">
        <v>0</v>
      </c>
      <c r="L84" s="24">
        <f t="shared" ref="L84:M85" si="51">+E84+I84</f>
        <v>0</v>
      </c>
      <c r="M84" s="24">
        <f t="shared" si="51"/>
        <v>0</v>
      </c>
      <c r="N84" s="63">
        <f>+G84+K84+H84</f>
        <v>418500</v>
      </c>
      <c r="O84" s="63">
        <v>0</v>
      </c>
      <c r="P84" s="63">
        <v>0</v>
      </c>
      <c r="Q84" s="63">
        <v>74500</v>
      </c>
      <c r="R84" s="63">
        <v>0</v>
      </c>
      <c r="S84" s="63">
        <v>0</v>
      </c>
      <c r="T84" s="63">
        <v>-61250</v>
      </c>
      <c r="U84" s="63">
        <f t="shared" ref="U84:W86" si="52">SUM(R84,O84,L84)</f>
        <v>0</v>
      </c>
      <c r="V84" s="63">
        <f t="shared" si="52"/>
        <v>0</v>
      </c>
      <c r="W84" s="63">
        <f t="shared" si="52"/>
        <v>431750</v>
      </c>
      <c r="X84" s="3"/>
      <c r="Z84" s="3"/>
    </row>
    <row r="85" spans="1:26">
      <c r="A85" s="12" t="s">
        <v>290</v>
      </c>
      <c r="B85" s="1"/>
      <c r="C85" s="1"/>
      <c r="D85" s="1"/>
      <c r="E85" s="63">
        <v>0</v>
      </c>
      <c r="F85" s="63">
        <v>0</v>
      </c>
      <c r="G85" s="63">
        <v>0</v>
      </c>
      <c r="H85" s="24"/>
      <c r="I85" s="63">
        <v>0</v>
      </c>
      <c r="J85" s="63">
        <v>0</v>
      </c>
      <c r="K85" s="63">
        <v>0</v>
      </c>
      <c r="L85" s="24">
        <f t="shared" si="51"/>
        <v>0</v>
      </c>
      <c r="M85" s="24">
        <f t="shared" si="51"/>
        <v>0</v>
      </c>
      <c r="N85" s="63">
        <f>+G85+K85+H85</f>
        <v>0</v>
      </c>
      <c r="O85" s="63"/>
      <c r="P85" s="63"/>
      <c r="Q85" s="63"/>
      <c r="R85" s="63"/>
      <c r="S85" s="63"/>
      <c r="T85" s="63">
        <v>-5000</v>
      </c>
      <c r="U85" s="63">
        <f t="shared" si="52"/>
        <v>0</v>
      </c>
      <c r="V85" s="63">
        <f t="shared" si="52"/>
        <v>0</v>
      </c>
      <c r="W85" s="63">
        <f t="shared" si="52"/>
        <v>-5000</v>
      </c>
      <c r="X85" s="3"/>
      <c r="Z85" s="3"/>
    </row>
    <row r="86" spans="1:26">
      <c r="A86" s="12" t="s">
        <v>238</v>
      </c>
      <c r="B86" s="1"/>
      <c r="C86" s="1"/>
      <c r="D86" s="1"/>
      <c r="E86" s="63">
        <f>105-105+70</f>
        <v>70</v>
      </c>
      <c r="F86" s="63">
        <f>90-90+70</f>
        <v>70</v>
      </c>
      <c r="G86" s="63">
        <f>22735-7027</f>
        <v>15708</v>
      </c>
      <c r="H86" s="24">
        <f>7027-7027</f>
        <v>0</v>
      </c>
      <c r="I86" s="63">
        <f>-26+26+32-32</f>
        <v>0</v>
      </c>
      <c r="J86" s="63">
        <f>11-22+11+16-16</f>
        <v>0</v>
      </c>
      <c r="K86" s="63">
        <v>434</v>
      </c>
      <c r="L86" s="24">
        <f>SUM(E86,I86)</f>
        <v>70</v>
      </c>
      <c r="M86" s="24">
        <f>SUM(F86,J86)</f>
        <v>70</v>
      </c>
      <c r="N86" s="63">
        <f>SUM(G86,K86,H86)</f>
        <v>16142</v>
      </c>
      <c r="O86" s="63">
        <v>32</v>
      </c>
      <c r="P86" s="63">
        <v>16</v>
      </c>
      <c r="Q86" s="63">
        <v>7027</v>
      </c>
      <c r="R86" s="63">
        <v>0</v>
      </c>
      <c r="S86" s="63">
        <v>0</v>
      </c>
      <c r="T86" s="63">
        <v>-21</v>
      </c>
      <c r="U86" s="63">
        <f t="shared" si="52"/>
        <v>102</v>
      </c>
      <c r="V86" s="63">
        <f t="shared" si="52"/>
        <v>86</v>
      </c>
      <c r="W86" s="63">
        <f t="shared" si="52"/>
        <v>23148</v>
      </c>
      <c r="X86" s="3"/>
      <c r="Z86" s="3"/>
    </row>
    <row r="87" spans="1:26" ht="15.75" thickBot="1">
      <c r="A87" s="14" t="s">
        <v>239</v>
      </c>
      <c r="B87" s="15"/>
      <c r="C87" s="15"/>
      <c r="D87" s="15"/>
      <c r="E87" s="23">
        <f>SUM(E69,E81,E86)</f>
        <v>960</v>
      </c>
      <c r="F87" s="23">
        <f t="shared" ref="F87:W87" si="53">SUM(F69,F81,F86)</f>
        <v>914</v>
      </c>
      <c r="G87" s="23">
        <f t="shared" si="53"/>
        <v>213388</v>
      </c>
      <c r="H87" s="192">
        <f t="shared" si="53"/>
        <v>0</v>
      </c>
      <c r="I87" s="23">
        <f t="shared" si="53"/>
        <v>0</v>
      </c>
      <c r="J87" s="23">
        <f t="shared" si="53"/>
        <v>0</v>
      </c>
      <c r="K87" s="23">
        <f t="shared" si="53"/>
        <v>9025</v>
      </c>
      <c r="L87" s="17">
        <f t="shared" si="53"/>
        <v>960</v>
      </c>
      <c r="M87" s="17">
        <f t="shared" si="53"/>
        <v>914</v>
      </c>
      <c r="N87" s="23">
        <f t="shared" si="53"/>
        <v>222413</v>
      </c>
      <c r="O87" s="23">
        <f t="shared" si="53"/>
        <v>82</v>
      </c>
      <c r="P87" s="23">
        <f t="shared" si="53"/>
        <v>63</v>
      </c>
      <c r="Q87" s="23">
        <f t="shared" si="53"/>
        <v>49659</v>
      </c>
      <c r="R87" s="23">
        <f t="shared" si="53"/>
        <v>0</v>
      </c>
      <c r="S87" s="23">
        <f t="shared" si="53"/>
        <v>0</v>
      </c>
      <c r="T87" s="23">
        <f t="shared" si="53"/>
        <v>-239</v>
      </c>
      <c r="U87" s="23">
        <f t="shared" si="53"/>
        <v>1042</v>
      </c>
      <c r="V87" s="23">
        <f t="shared" si="53"/>
        <v>977</v>
      </c>
      <c r="W87" s="23">
        <f t="shared" si="53"/>
        <v>271833</v>
      </c>
      <c r="X87" s="3"/>
      <c r="Z87" s="3"/>
    </row>
    <row r="88" spans="1:26" ht="15.75" hidden="1" thickBot="1">
      <c r="A88" s="16" t="s">
        <v>99</v>
      </c>
      <c r="B88" s="1"/>
      <c r="C88" s="1"/>
      <c r="D88" s="1"/>
      <c r="E88" s="63">
        <v>0</v>
      </c>
      <c r="F88" s="63">
        <v>0</v>
      </c>
      <c r="G88" s="63">
        <v>0</v>
      </c>
      <c r="H88" s="24">
        <v>0</v>
      </c>
      <c r="I88" s="63">
        <v>0</v>
      </c>
      <c r="J88" s="63">
        <v>0</v>
      </c>
      <c r="K88" s="63">
        <v>0</v>
      </c>
      <c r="L88" s="24">
        <f t="shared" ref="L88:M90" si="54">+E88+I88</f>
        <v>0</v>
      </c>
      <c r="M88" s="24">
        <f t="shared" si="54"/>
        <v>0</v>
      </c>
      <c r="N88" s="63">
        <f>+G88+K88+H88</f>
        <v>0</v>
      </c>
      <c r="O88" s="63">
        <v>0</v>
      </c>
      <c r="P88" s="63">
        <v>0</v>
      </c>
      <c r="Q88" s="63">
        <v>0</v>
      </c>
      <c r="R88" s="63">
        <v>0</v>
      </c>
      <c r="S88" s="63">
        <v>0</v>
      </c>
      <c r="T88" s="63">
        <v>0</v>
      </c>
      <c r="U88" s="63">
        <f t="shared" ref="U88:W90" si="55">+R88+O88+L88</f>
        <v>0</v>
      </c>
      <c r="V88" s="63">
        <f t="shared" si="55"/>
        <v>0</v>
      </c>
      <c r="W88" s="63">
        <f t="shared" si="55"/>
        <v>0</v>
      </c>
      <c r="X88" s="3"/>
      <c r="Z88" s="3"/>
    </row>
    <row r="89" spans="1:26" ht="15.75" hidden="1" thickBot="1">
      <c r="A89" s="16" t="s">
        <v>100</v>
      </c>
      <c r="B89" s="1"/>
      <c r="C89" s="1"/>
      <c r="D89" s="1"/>
      <c r="E89" s="63">
        <v>0</v>
      </c>
      <c r="F89" s="63">
        <v>0</v>
      </c>
      <c r="G89" s="63">
        <v>0</v>
      </c>
      <c r="H89" s="24">
        <v>0</v>
      </c>
      <c r="I89" s="63">
        <v>0</v>
      </c>
      <c r="J89" s="63">
        <v>0</v>
      </c>
      <c r="K89" s="63">
        <v>0</v>
      </c>
      <c r="L89" s="24">
        <f t="shared" si="54"/>
        <v>0</v>
      </c>
      <c r="M89" s="24">
        <f t="shared" si="54"/>
        <v>0</v>
      </c>
      <c r="N89" s="63">
        <f>+G89+K89+H89</f>
        <v>0</v>
      </c>
      <c r="O89" s="63">
        <v>0</v>
      </c>
      <c r="P89" s="63">
        <v>0</v>
      </c>
      <c r="Q89" s="63">
        <v>0</v>
      </c>
      <c r="R89" s="63">
        <v>0</v>
      </c>
      <c r="S89" s="63">
        <v>0</v>
      </c>
      <c r="T89" s="63">
        <v>0</v>
      </c>
      <c r="U89" s="63">
        <f t="shared" si="55"/>
        <v>0</v>
      </c>
      <c r="V89" s="63">
        <f t="shared" si="55"/>
        <v>0</v>
      </c>
      <c r="W89" s="63">
        <f t="shared" si="55"/>
        <v>0</v>
      </c>
      <c r="X89" s="3"/>
      <c r="Z89" s="3"/>
    </row>
    <row r="90" spans="1:26" ht="15.75" hidden="1" thickBot="1">
      <c r="A90" s="16" t="s">
        <v>101</v>
      </c>
      <c r="B90" s="1"/>
      <c r="C90" s="1"/>
      <c r="D90" s="1"/>
      <c r="E90" s="63">
        <v>0</v>
      </c>
      <c r="F90" s="63">
        <v>0</v>
      </c>
      <c r="G90" s="63">
        <v>0</v>
      </c>
      <c r="H90" s="24">
        <v>0</v>
      </c>
      <c r="I90" s="63">
        <v>0</v>
      </c>
      <c r="J90" s="63">
        <v>0</v>
      </c>
      <c r="K90" s="63">
        <v>0</v>
      </c>
      <c r="L90" s="24">
        <f t="shared" si="54"/>
        <v>0</v>
      </c>
      <c r="M90" s="24">
        <f t="shared" si="54"/>
        <v>0</v>
      </c>
      <c r="N90" s="63">
        <f>+G90+K90+H90</f>
        <v>0</v>
      </c>
      <c r="O90" s="63">
        <v>0</v>
      </c>
      <c r="P90" s="63">
        <v>0</v>
      </c>
      <c r="Q90" s="63">
        <v>0</v>
      </c>
      <c r="R90" s="63">
        <v>0</v>
      </c>
      <c r="S90" s="63">
        <v>0</v>
      </c>
      <c r="T90" s="63">
        <v>0</v>
      </c>
      <c r="U90" s="63">
        <f t="shared" si="55"/>
        <v>0</v>
      </c>
      <c r="V90" s="63">
        <f t="shared" si="55"/>
        <v>0</v>
      </c>
      <c r="W90" s="63">
        <f t="shared" si="55"/>
        <v>0</v>
      </c>
      <c r="X90" s="3"/>
      <c r="Z90" s="3"/>
    </row>
    <row r="91" spans="1:26" ht="17.25" thickTop="1" thickBot="1">
      <c r="A91" s="19" t="s">
        <v>118</v>
      </c>
      <c r="B91" s="20"/>
      <c r="C91" s="20"/>
      <c r="D91" s="20"/>
      <c r="E91" s="21">
        <f t="shared" ref="E91:W91" si="56">+E63+E64</f>
        <v>111998</v>
      </c>
      <c r="F91" s="21">
        <f t="shared" si="56"/>
        <v>117847</v>
      </c>
      <c r="G91" s="67">
        <f t="shared" si="56"/>
        <v>27700551</v>
      </c>
      <c r="H91" s="67">
        <f t="shared" si="56"/>
        <v>70409</v>
      </c>
      <c r="I91" s="67">
        <f t="shared" si="56"/>
        <v>856</v>
      </c>
      <c r="J91" s="67">
        <f t="shared" si="56"/>
        <v>3217</v>
      </c>
      <c r="K91" s="67">
        <f t="shared" si="56"/>
        <v>916746</v>
      </c>
      <c r="L91" s="67">
        <f t="shared" si="56"/>
        <v>112854</v>
      </c>
      <c r="M91" s="67">
        <f t="shared" si="56"/>
        <v>121064</v>
      </c>
      <c r="N91" s="67">
        <f t="shared" si="56"/>
        <v>28687706</v>
      </c>
      <c r="O91" s="26">
        <f t="shared" si="56"/>
        <v>2220</v>
      </c>
      <c r="P91" s="26">
        <f t="shared" si="56"/>
        <v>3154</v>
      </c>
      <c r="Q91" s="26">
        <f t="shared" si="56"/>
        <v>1433785</v>
      </c>
      <c r="R91" s="26">
        <f t="shared" si="56"/>
        <v>-171</v>
      </c>
      <c r="S91" s="26">
        <f t="shared" si="56"/>
        <v>-177</v>
      </c>
      <c r="T91" s="26">
        <f t="shared" si="56"/>
        <v>-1952699</v>
      </c>
      <c r="U91" s="26">
        <f t="shared" si="56"/>
        <v>114903</v>
      </c>
      <c r="V91" s="26">
        <f t="shared" si="56"/>
        <v>124041</v>
      </c>
      <c r="W91" s="26">
        <f t="shared" si="56"/>
        <v>28168792</v>
      </c>
      <c r="X91" s="3"/>
      <c r="Z91" s="3"/>
    </row>
    <row r="92" spans="1:26" ht="15.75" thickTop="1">
      <c r="A92" s="27" t="s">
        <v>304</v>
      </c>
      <c r="B92" s="9"/>
      <c r="C92" s="9"/>
      <c r="D92" s="56"/>
      <c r="E92" s="63" t="s">
        <v>1</v>
      </c>
      <c r="F92" s="63" t="s">
        <v>1</v>
      </c>
      <c r="G92" s="63" t="s">
        <v>1</v>
      </c>
      <c r="H92" s="76" t="s">
        <v>1</v>
      </c>
      <c r="I92" s="63" t="s">
        <v>1</v>
      </c>
      <c r="J92" s="63" t="s">
        <v>1</v>
      </c>
      <c r="K92" s="63" t="s">
        <v>196</v>
      </c>
      <c r="L92" s="24" t="s">
        <v>1</v>
      </c>
      <c r="M92" s="24" t="s">
        <v>1</v>
      </c>
      <c r="N92" s="77" t="s">
        <v>1</v>
      </c>
      <c r="O92" s="63" t="s">
        <v>1</v>
      </c>
      <c r="P92" s="63" t="s">
        <v>1</v>
      </c>
      <c r="Q92" s="63" t="s">
        <v>1</v>
      </c>
      <c r="R92" s="63" t="s">
        <v>1</v>
      </c>
      <c r="S92" s="63" t="s">
        <v>1</v>
      </c>
      <c r="T92" s="63" t="s">
        <v>1</v>
      </c>
      <c r="U92" s="63" t="s">
        <v>1</v>
      </c>
      <c r="V92" s="63" t="s">
        <v>1</v>
      </c>
      <c r="W92" s="63" t="s">
        <v>1</v>
      </c>
      <c r="X92" s="3"/>
      <c r="Z92" s="3"/>
    </row>
    <row r="93" spans="1:26">
      <c r="A93" s="12" t="s">
        <v>305</v>
      </c>
      <c r="B93" s="1"/>
      <c r="C93" s="1"/>
      <c r="D93" s="119"/>
      <c r="E93" s="119">
        <v>0</v>
      </c>
      <c r="F93" s="63">
        <v>0</v>
      </c>
      <c r="G93" s="63">
        <f>-4552000+4552000-5820000</f>
        <v>-5820000</v>
      </c>
      <c r="H93" s="24">
        <f>-495000+1268000</f>
        <v>773000</v>
      </c>
      <c r="I93" s="63">
        <v>0</v>
      </c>
      <c r="J93" s="63">
        <v>0</v>
      </c>
      <c r="K93" s="63">
        <v>0</v>
      </c>
      <c r="L93" s="24">
        <f t="shared" ref="L93:M95" si="57">+E93+I93</f>
        <v>0</v>
      </c>
      <c r="M93" s="24">
        <f t="shared" si="57"/>
        <v>0</v>
      </c>
      <c r="N93" s="63">
        <f>+G93+K93+H93</f>
        <v>-5047000</v>
      </c>
      <c r="O93" s="63">
        <v>0</v>
      </c>
      <c r="P93" s="63">
        <v>0</v>
      </c>
      <c r="Q93" s="63">
        <v>0</v>
      </c>
      <c r="R93" s="63">
        <v>0</v>
      </c>
      <c r="S93" s="63">
        <v>0</v>
      </c>
      <c r="T93" s="63">
        <f>-2093000-170000+669000</f>
        <v>-1594000</v>
      </c>
      <c r="U93" s="63">
        <f t="shared" ref="U93:W95" si="58">+R93+O93+L93</f>
        <v>0</v>
      </c>
      <c r="V93" s="63">
        <f t="shared" si="58"/>
        <v>0</v>
      </c>
      <c r="W93" s="63">
        <f t="shared" si="58"/>
        <v>-6641000</v>
      </c>
      <c r="X93" s="3"/>
      <c r="Z93" s="3"/>
    </row>
    <row r="94" spans="1:26" hidden="1">
      <c r="A94" s="12" t="s">
        <v>189</v>
      </c>
      <c r="B94" s="1"/>
      <c r="C94" s="1"/>
      <c r="D94" s="119"/>
      <c r="E94" s="119">
        <v>0</v>
      </c>
      <c r="F94" s="63">
        <v>0</v>
      </c>
      <c r="G94" s="63">
        <v>0</v>
      </c>
      <c r="H94" s="24"/>
      <c r="I94" s="63">
        <v>0</v>
      </c>
      <c r="J94" s="63">
        <v>0</v>
      </c>
      <c r="K94" s="63">
        <v>0</v>
      </c>
      <c r="L94" s="24">
        <f t="shared" si="57"/>
        <v>0</v>
      </c>
      <c r="M94" s="24">
        <f t="shared" si="57"/>
        <v>0</v>
      </c>
      <c r="N94" s="63">
        <f>+G94+K94+H94</f>
        <v>0</v>
      </c>
      <c r="O94" s="63">
        <v>0</v>
      </c>
      <c r="P94" s="63">
        <v>0</v>
      </c>
      <c r="Q94" s="63">
        <v>0</v>
      </c>
      <c r="R94" s="63">
        <v>0</v>
      </c>
      <c r="S94" s="63">
        <v>0</v>
      </c>
      <c r="T94" s="63">
        <v>0</v>
      </c>
      <c r="U94" s="63">
        <f>+R94+O94+L94</f>
        <v>0</v>
      </c>
      <c r="V94" s="63">
        <f>+S94+P94+M94</f>
        <v>0</v>
      </c>
      <c r="W94" s="63">
        <f>+T94+Q94+N94</f>
        <v>0</v>
      </c>
      <c r="X94" s="3"/>
      <c r="Z94" s="3"/>
    </row>
    <row r="95" spans="1:26" ht="15.75" thickBot="1">
      <c r="A95" s="12" t="s">
        <v>95</v>
      </c>
      <c r="B95" s="1"/>
      <c r="C95" s="1"/>
      <c r="D95" s="52"/>
      <c r="E95" s="63">
        <v>0</v>
      </c>
      <c r="F95" s="63">
        <v>0</v>
      </c>
      <c r="G95" s="63">
        <v>-387200</v>
      </c>
      <c r="H95" s="78">
        <v>387200</v>
      </c>
      <c r="I95" s="63">
        <v>0</v>
      </c>
      <c r="J95" s="63">
        <v>0</v>
      </c>
      <c r="K95" s="63">
        <v>0</v>
      </c>
      <c r="L95" s="24">
        <f t="shared" si="57"/>
        <v>0</v>
      </c>
      <c r="M95" s="24">
        <f t="shared" si="57"/>
        <v>0</v>
      </c>
      <c r="N95" s="79">
        <f>+G95+K95+H95</f>
        <v>0</v>
      </c>
      <c r="O95" s="63">
        <v>0</v>
      </c>
      <c r="P95" s="63">
        <v>0</v>
      </c>
      <c r="Q95" s="63">
        <v>0</v>
      </c>
      <c r="R95" s="63">
        <v>0</v>
      </c>
      <c r="S95" s="63">
        <v>0</v>
      </c>
      <c r="T95" s="63">
        <v>-620000</v>
      </c>
      <c r="U95" s="63">
        <f t="shared" si="58"/>
        <v>0</v>
      </c>
      <c r="V95" s="63">
        <f t="shared" si="58"/>
        <v>0</v>
      </c>
      <c r="W95" s="63">
        <f t="shared" si="58"/>
        <v>-620000</v>
      </c>
      <c r="X95" s="3"/>
      <c r="Z95" s="3"/>
    </row>
    <row r="96" spans="1:26" ht="17.25" thickTop="1" thickBot="1">
      <c r="A96" s="19" t="s">
        <v>306</v>
      </c>
      <c r="B96" s="28"/>
      <c r="C96" s="28"/>
      <c r="D96" s="57"/>
      <c r="E96" s="80">
        <f>SUM(E95:E95)</f>
        <v>0</v>
      </c>
      <c r="F96" s="80">
        <f t="shared" ref="F96:W96" si="59">SUM(F93:F95)</f>
        <v>0</v>
      </c>
      <c r="G96" s="80">
        <f t="shared" si="59"/>
        <v>-6207200</v>
      </c>
      <c r="H96" s="80">
        <f t="shared" si="59"/>
        <v>1160200</v>
      </c>
      <c r="I96" s="80">
        <f>SUM(I93:I95)</f>
        <v>0</v>
      </c>
      <c r="J96" s="80">
        <f>SUM(J93:J95)</f>
        <v>0</v>
      </c>
      <c r="K96" s="80">
        <f>SUM(K93:K95)</f>
        <v>0</v>
      </c>
      <c r="L96" s="80">
        <f t="shared" si="59"/>
        <v>0</v>
      </c>
      <c r="M96" s="80">
        <f t="shared" si="59"/>
        <v>0</v>
      </c>
      <c r="N96" s="80">
        <f t="shared" si="59"/>
        <v>-5047000</v>
      </c>
      <c r="O96" s="80">
        <f>SUM(O93:O95)</f>
        <v>0</v>
      </c>
      <c r="P96" s="80">
        <f>SUM(P93:P95)</f>
        <v>0</v>
      </c>
      <c r="Q96" s="80">
        <f>SUM(Q93:Q95)</f>
        <v>0</v>
      </c>
      <c r="R96" s="80">
        <f t="shared" si="59"/>
        <v>0</v>
      </c>
      <c r="S96" s="80">
        <f t="shared" si="59"/>
        <v>0</v>
      </c>
      <c r="T96" s="80">
        <f t="shared" si="59"/>
        <v>-2214000</v>
      </c>
      <c r="U96" s="80">
        <f t="shared" si="59"/>
        <v>0</v>
      </c>
      <c r="V96" s="80">
        <f t="shared" si="59"/>
        <v>0</v>
      </c>
      <c r="W96" s="80">
        <f t="shared" si="59"/>
        <v>-7261000</v>
      </c>
      <c r="X96" s="3"/>
      <c r="Z96" s="3"/>
    </row>
    <row r="97" spans="1:26" ht="17.25" thickTop="1" thickBot="1">
      <c r="A97" s="19" t="s">
        <v>307</v>
      </c>
      <c r="B97" s="28"/>
      <c r="C97" s="28"/>
      <c r="D97" s="57"/>
      <c r="E97" s="26">
        <f t="shared" ref="E97:W97" si="60">+E96+E91</f>
        <v>111998</v>
      </c>
      <c r="F97" s="26">
        <f t="shared" si="60"/>
        <v>117847</v>
      </c>
      <c r="G97" s="26">
        <f t="shared" si="60"/>
        <v>21493351</v>
      </c>
      <c r="H97" s="26">
        <f t="shared" si="60"/>
        <v>1230609</v>
      </c>
      <c r="I97" s="26">
        <f t="shared" si="60"/>
        <v>856</v>
      </c>
      <c r="J97" s="26">
        <f t="shared" si="60"/>
        <v>3217</v>
      </c>
      <c r="K97" s="26">
        <f t="shared" si="60"/>
        <v>916746</v>
      </c>
      <c r="L97" s="26">
        <f t="shared" si="60"/>
        <v>112854</v>
      </c>
      <c r="M97" s="26">
        <f t="shared" si="60"/>
        <v>121064</v>
      </c>
      <c r="N97" s="26">
        <f t="shared" si="60"/>
        <v>23640706</v>
      </c>
      <c r="O97" s="26">
        <f t="shared" si="60"/>
        <v>2220</v>
      </c>
      <c r="P97" s="26">
        <f t="shared" si="60"/>
        <v>3154</v>
      </c>
      <c r="Q97" s="26">
        <f t="shared" si="60"/>
        <v>1433785</v>
      </c>
      <c r="R97" s="26">
        <f t="shared" si="60"/>
        <v>-171</v>
      </c>
      <c r="S97" s="26">
        <f t="shared" si="60"/>
        <v>-177</v>
      </c>
      <c r="T97" s="26">
        <f t="shared" si="60"/>
        <v>-4166699</v>
      </c>
      <c r="U97" s="26">
        <f t="shared" si="60"/>
        <v>114903</v>
      </c>
      <c r="V97" s="26">
        <f t="shared" si="60"/>
        <v>124041</v>
      </c>
      <c r="W97" s="26">
        <f t="shared" si="60"/>
        <v>20907792</v>
      </c>
      <c r="X97" s="3"/>
      <c r="Z97" s="3"/>
    </row>
    <row r="98" spans="1:26" ht="15.75" thickTop="1">
      <c r="A98" s="12" t="s">
        <v>80</v>
      </c>
      <c r="B98" s="1"/>
      <c r="C98" s="1"/>
      <c r="D98" s="52"/>
      <c r="E98" s="63"/>
      <c r="F98" s="63"/>
      <c r="G98" s="63"/>
      <c r="H98" s="24"/>
      <c r="I98" s="63"/>
      <c r="J98" s="63"/>
      <c r="K98" s="63"/>
      <c r="L98" s="24"/>
      <c r="M98" s="24" t="s">
        <v>1</v>
      </c>
      <c r="N98" s="63" t="s">
        <v>1</v>
      </c>
      <c r="O98" s="63"/>
      <c r="P98" s="63"/>
      <c r="Q98" s="63"/>
      <c r="R98" s="63"/>
      <c r="S98" s="63"/>
      <c r="T98" s="63"/>
      <c r="U98" s="63"/>
      <c r="V98" s="63"/>
      <c r="W98" s="63"/>
      <c r="X98" s="3"/>
      <c r="Z98" s="3"/>
    </row>
    <row r="99" spans="1:26">
      <c r="A99" s="12" t="s">
        <v>81</v>
      </c>
      <c r="B99" s="1"/>
      <c r="C99" s="1"/>
      <c r="D99" s="52"/>
      <c r="E99" s="63">
        <v>0</v>
      </c>
      <c r="F99" s="63">
        <v>0</v>
      </c>
      <c r="G99" s="63">
        <f>270000-270000+168300</f>
        <v>168300</v>
      </c>
      <c r="H99" s="164">
        <f>101700-101700</f>
        <v>0</v>
      </c>
      <c r="I99" s="63">
        <v>0</v>
      </c>
      <c r="J99" s="63">
        <v>0</v>
      </c>
      <c r="K99" s="63">
        <v>0</v>
      </c>
      <c r="L99" s="24">
        <f t="shared" ref="L99:M106" si="61">+E99+I99</f>
        <v>0</v>
      </c>
      <c r="M99" s="24">
        <f t="shared" si="61"/>
        <v>0</v>
      </c>
      <c r="N99" s="63">
        <f t="shared" ref="N99:N109" si="62">+G99+K99+H99</f>
        <v>168300</v>
      </c>
      <c r="O99" s="63">
        <v>0</v>
      </c>
      <c r="P99" s="63">
        <v>0</v>
      </c>
      <c r="Q99" s="63">
        <v>101700</v>
      </c>
      <c r="R99" s="63">
        <v>0</v>
      </c>
      <c r="S99" s="63">
        <v>0</v>
      </c>
      <c r="T99" s="63">
        <v>0</v>
      </c>
      <c r="U99" s="63">
        <f t="shared" ref="U99:W109" si="63">+R99+O99+L99</f>
        <v>0</v>
      </c>
      <c r="V99" s="63">
        <f t="shared" si="63"/>
        <v>0</v>
      </c>
      <c r="W99" s="63">
        <f t="shared" si="63"/>
        <v>270000</v>
      </c>
      <c r="X99" s="3"/>
      <c r="Z99" s="3"/>
    </row>
    <row r="100" spans="1:26">
      <c r="A100" s="12" t="s">
        <v>82</v>
      </c>
      <c r="B100" s="1"/>
      <c r="C100" s="1"/>
      <c r="D100" s="52"/>
      <c r="E100" s="63">
        <v>0</v>
      </c>
      <c r="F100" s="63">
        <v>0</v>
      </c>
      <c r="G100" s="63">
        <v>500</v>
      </c>
      <c r="H100" s="164">
        <v>0</v>
      </c>
      <c r="I100" s="63">
        <v>0</v>
      </c>
      <c r="J100" s="63">
        <v>0</v>
      </c>
      <c r="K100" s="63">
        <v>0</v>
      </c>
      <c r="L100" s="24">
        <f t="shared" si="61"/>
        <v>0</v>
      </c>
      <c r="M100" s="24">
        <f t="shared" si="61"/>
        <v>0</v>
      </c>
      <c r="N100" s="63">
        <f t="shared" si="62"/>
        <v>500</v>
      </c>
      <c r="O100" s="63">
        <v>0</v>
      </c>
      <c r="P100" s="63">
        <v>0</v>
      </c>
      <c r="Q100" s="63">
        <v>0</v>
      </c>
      <c r="R100" s="63">
        <v>0</v>
      </c>
      <c r="S100" s="63">
        <v>0</v>
      </c>
      <c r="T100" s="63">
        <v>0</v>
      </c>
      <c r="U100" s="63">
        <f t="shared" si="63"/>
        <v>0</v>
      </c>
      <c r="V100" s="63">
        <f t="shared" si="63"/>
        <v>0</v>
      </c>
      <c r="W100" s="63">
        <f t="shared" si="63"/>
        <v>500</v>
      </c>
      <c r="X100" s="3"/>
      <c r="Z100" s="3"/>
    </row>
    <row r="101" spans="1:26">
      <c r="A101" s="12" t="s">
        <v>83</v>
      </c>
      <c r="B101" s="1"/>
      <c r="C101" s="1"/>
      <c r="D101" s="52"/>
      <c r="E101" s="63">
        <v>0</v>
      </c>
      <c r="F101" s="63">
        <v>0</v>
      </c>
      <c r="G101" s="63">
        <f>53200-53200+63000</f>
        <v>63000</v>
      </c>
      <c r="H101" s="164">
        <v>0</v>
      </c>
      <c r="I101" s="63">
        <v>0</v>
      </c>
      <c r="J101" s="63">
        <v>0</v>
      </c>
      <c r="K101" s="63">
        <v>-3000</v>
      </c>
      <c r="L101" s="24">
        <f t="shared" si="61"/>
        <v>0</v>
      </c>
      <c r="M101" s="24">
        <f t="shared" si="61"/>
        <v>0</v>
      </c>
      <c r="N101" s="63">
        <f t="shared" si="62"/>
        <v>60000</v>
      </c>
      <c r="O101" s="63">
        <v>0</v>
      </c>
      <c r="P101" s="63">
        <v>0</v>
      </c>
      <c r="Q101" s="63">
        <v>0</v>
      </c>
      <c r="R101" s="63">
        <v>0</v>
      </c>
      <c r="S101" s="63">
        <v>0</v>
      </c>
      <c r="T101" s="63">
        <v>0</v>
      </c>
      <c r="U101" s="63">
        <f t="shared" si="63"/>
        <v>0</v>
      </c>
      <c r="V101" s="63">
        <f t="shared" si="63"/>
        <v>0</v>
      </c>
      <c r="W101" s="63">
        <f t="shared" si="63"/>
        <v>60000</v>
      </c>
      <c r="X101" s="3"/>
      <c r="Z101" s="3"/>
    </row>
    <row r="102" spans="1:26">
      <c r="A102" s="12" t="s">
        <v>84</v>
      </c>
      <c r="B102" s="1"/>
      <c r="C102" s="1"/>
      <c r="D102" s="52"/>
      <c r="E102" s="63">
        <v>0</v>
      </c>
      <c r="F102" s="63">
        <v>0</v>
      </c>
      <c r="G102" s="63">
        <v>61000</v>
      </c>
      <c r="H102" s="164">
        <v>0</v>
      </c>
      <c r="I102" s="63">
        <v>0</v>
      </c>
      <c r="J102" s="63">
        <v>0</v>
      </c>
      <c r="K102" s="63">
        <v>0</v>
      </c>
      <c r="L102" s="24">
        <f t="shared" si="61"/>
        <v>0</v>
      </c>
      <c r="M102" s="24">
        <f t="shared" si="61"/>
        <v>0</v>
      </c>
      <c r="N102" s="63">
        <f t="shared" si="62"/>
        <v>61000</v>
      </c>
      <c r="O102" s="63">
        <v>0</v>
      </c>
      <c r="P102" s="63">
        <v>0</v>
      </c>
      <c r="Q102" s="63">
        <v>6000</v>
      </c>
      <c r="R102" s="63">
        <v>0</v>
      </c>
      <c r="S102" s="63">
        <v>0</v>
      </c>
      <c r="T102" s="63">
        <v>0</v>
      </c>
      <c r="U102" s="63">
        <f t="shared" si="63"/>
        <v>0</v>
      </c>
      <c r="V102" s="63">
        <f t="shared" si="63"/>
        <v>0</v>
      </c>
      <c r="W102" s="63">
        <f t="shared" si="63"/>
        <v>67000</v>
      </c>
      <c r="X102" s="3"/>
      <c r="Z102" s="3"/>
    </row>
    <row r="103" spans="1:26">
      <c r="A103" s="12" t="s">
        <v>85</v>
      </c>
      <c r="B103" s="1"/>
      <c r="C103" s="1"/>
      <c r="D103" s="52"/>
      <c r="E103" s="63">
        <v>0</v>
      </c>
      <c r="F103" s="63">
        <v>0</v>
      </c>
      <c r="G103" s="63">
        <v>1146210</v>
      </c>
      <c r="H103" s="123">
        <v>0</v>
      </c>
      <c r="I103" s="63">
        <v>0</v>
      </c>
      <c r="J103" s="63">
        <v>0</v>
      </c>
      <c r="K103" s="63">
        <v>184990</v>
      </c>
      <c r="L103" s="24">
        <f t="shared" si="61"/>
        <v>0</v>
      </c>
      <c r="M103" s="24">
        <f t="shared" si="61"/>
        <v>0</v>
      </c>
      <c r="N103" s="63">
        <f t="shared" si="62"/>
        <v>1331200</v>
      </c>
      <c r="O103" s="63">
        <v>0</v>
      </c>
      <c r="P103" s="63">
        <v>0</v>
      </c>
      <c r="Q103" s="63">
        <v>0</v>
      </c>
      <c r="R103" s="63">
        <v>0</v>
      </c>
      <c r="S103" s="63">
        <v>0</v>
      </c>
      <c r="T103" s="63">
        <v>0</v>
      </c>
      <c r="U103" s="63">
        <f t="shared" si="63"/>
        <v>0</v>
      </c>
      <c r="V103" s="63">
        <f t="shared" si="63"/>
        <v>0</v>
      </c>
      <c r="W103" s="63">
        <f t="shared" si="63"/>
        <v>1331200</v>
      </c>
      <c r="X103" s="3"/>
      <c r="Z103" s="3"/>
    </row>
    <row r="104" spans="1:26">
      <c r="A104" s="12" t="s">
        <v>86</v>
      </c>
      <c r="B104" s="1"/>
      <c r="C104" s="1"/>
      <c r="D104" s="52"/>
      <c r="E104" s="63">
        <v>0</v>
      </c>
      <c r="F104" s="63">
        <v>0</v>
      </c>
      <c r="G104" s="63">
        <f>-G34</f>
        <v>102000</v>
      </c>
      <c r="H104" s="164">
        <f>-H34</f>
        <v>8000</v>
      </c>
      <c r="I104" s="63">
        <v>0</v>
      </c>
      <c r="J104" s="63">
        <v>0</v>
      </c>
      <c r="K104" s="63">
        <v>0</v>
      </c>
      <c r="L104" s="24">
        <f t="shared" si="61"/>
        <v>0</v>
      </c>
      <c r="M104" s="24">
        <f t="shared" si="61"/>
        <v>0</v>
      </c>
      <c r="N104" s="63">
        <f t="shared" si="62"/>
        <v>110000</v>
      </c>
      <c r="O104" s="63">
        <v>0</v>
      </c>
      <c r="P104" s="63">
        <v>0</v>
      </c>
      <c r="Q104" s="63">
        <v>0</v>
      </c>
      <c r="R104" s="63">
        <v>0</v>
      </c>
      <c r="S104" s="63">
        <v>0</v>
      </c>
      <c r="T104" s="63">
        <v>0</v>
      </c>
      <c r="U104" s="63">
        <f t="shared" si="63"/>
        <v>0</v>
      </c>
      <c r="V104" s="63">
        <f t="shared" si="63"/>
        <v>0</v>
      </c>
      <c r="W104" s="63">
        <f t="shared" si="63"/>
        <v>110000</v>
      </c>
      <c r="X104" s="3"/>
      <c r="Z104" s="3"/>
    </row>
    <row r="105" spans="1:26">
      <c r="A105" s="12" t="s">
        <v>87</v>
      </c>
      <c r="B105" s="1"/>
      <c r="C105" s="1"/>
      <c r="D105" s="52"/>
      <c r="E105" s="63">
        <v>0</v>
      </c>
      <c r="F105" s="63">
        <v>0</v>
      </c>
      <c r="G105" s="63">
        <f>-G38</f>
        <v>215000</v>
      </c>
      <c r="H105" s="164">
        <f>-H38</f>
        <v>66829</v>
      </c>
      <c r="I105" s="63">
        <v>0</v>
      </c>
      <c r="J105" s="63">
        <v>0</v>
      </c>
      <c r="K105" s="63">
        <v>0</v>
      </c>
      <c r="L105" s="24">
        <f t="shared" si="61"/>
        <v>0</v>
      </c>
      <c r="M105" s="24">
        <f t="shared" si="61"/>
        <v>0</v>
      </c>
      <c r="N105" s="63">
        <f t="shared" si="62"/>
        <v>281829</v>
      </c>
      <c r="O105" s="63">
        <v>0</v>
      </c>
      <c r="P105" s="63">
        <v>0</v>
      </c>
      <c r="Q105" s="63">
        <v>0</v>
      </c>
      <c r="R105" s="63">
        <v>0</v>
      </c>
      <c r="S105" s="63">
        <v>0</v>
      </c>
      <c r="T105" s="63">
        <v>0</v>
      </c>
      <c r="U105" s="63">
        <f t="shared" si="63"/>
        <v>0</v>
      </c>
      <c r="V105" s="63">
        <f t="shared" si="63"/>
        <v>0</v>
      </c>
      <c r="W105" s="63">
        <f t="shared" si="63"/>
        <v>281829</v>
      </c>
      <c r="X105" s="3"/>
      <c r="Z105" s="3"/>
    </row>
    <row r="106" spans="1:26">
      <c r="A106" s="12" t="s">
        <v>88</v>
      </c>
      <c r="B106" s="1"/>
      <c r="C106" s="1"/>
      <c r="D106" s="52"/>
      <c r="E106" s="24" t="s">
        <v>122</v>
      </c>
      <c r="F106" s="63">
        <v>1282</v>
      </c>
      <c r="G106" s="63">
        <v>290304</v>
      </c>
      <c r="H106" s="24">
        <v>0</v>
      </c>
      <c r="I106" s="24">
        <v>0</v>
      </c>
      <c r="J106" s="63">
        <v>87</v>
      </c>
      <c r="K106" s="63">
        <f>2788-2788+801</f>
        <v>801</v>
      </c>
      <c r="L106" s="24" t="s">
        <v>122</v>
      </c>
      <c r="M106" s="24">
        <f t="shared" si="61"/>
        <v>1369</v>
      </c>
      <c r="N106" s="63">
        <f t="shared" si="62"/>
        <v>291105</v>
      </c>
      <c r="O106" s="24" t="s">
        <v>120</v>
      </c>
      <c r="P106" s="63">
        <v>62</v>
      </c>
      <c r="Q106" s="63">
        <f>31022-31022+30885</f>
        <v>30885</v>
      </c>
      <c r="R106" s="24">
        <v>0</v>
      </c>
      <c r="S106" s="63">
        <v>0</v>
      </c>
      <c r="T106" s="63">
        <v>0</v>
      </c>
      <c r="U106" s="24" t="s">
        <v>121</v>
      </c>
      <c r="V106" s="63">
        <f>+S106+P106+M106</f>
        <v>1431</v>
      </c>
      <c r="W106" s="63">
        <f t="shared" si="63"/>
        <v>321990</v>
      </c>
      <c r="X106" s="3"/>
      <c r="Z106" s="3"/>
    </row>
    <row r="107" spans="1:26">
      <c r="A107" s="12" t="s">
        <v>303</v>
      </c>
      <c r="B107" s="1"/>
      <c r="C107" s="1"/>
      <c r="D107" s="52"/>
      <c r="E107" s="24">
        <v>0</v>
      </c>
      <c r="F107" s="63">
        <v>0</v>
      </c>
      <c r="G107" s="63">
        <v>0</v>
      </c>
      <c r="H107" s="24">
        <v>0</v>
      </c>
      <c r="I107" s="24">
        <v>0</v>
      </c>
      <c r="J107" s="63">
        <v>0</v>
      </c>
      <c r="K107" s="63">
        <v>0</v>
      </c>
      <c r="L107" s="24">
        <f t="shared" ref="L107:L108" si="64">+E107+I107</f>
        <v>0</v>
      </c>
      <c r="M107" s="24">
        <f t="shared" ref="M107:M108" si="65">+F107+J107</f>
        <v>0</v>
      </c>
      <c r="N107" s="63">
        <f t="shared" ref="N107:N108" si="66">+G107+K107+H107</f>
        <v>0</v>
      </c>
      <c r="O107" s="24">
        <v>0</v>
      </c>
      <c r="P107" s="63">
        <v>0</v>
      </c>
      <c r="Q107" s="63">
        <v>325000</v>
      </c>
      <c r="R107" s="24">
        <v>0</v>
      </c>
      <c r="S107" s="63">
        <v>0</v>
      </c>
      <c r="T107" s="63">
        <v>0</v>
      </c>
      <c r="U107" s="63">
        <f t="shared" ref="U107:U108" si="67">+R107+O107+L107</f>
        <v>0</v>
      </c>
      <c r="V107" s="63">
        <f t="shared" ref="V107:V108" si="68">+S107+P107+M107</f>
        <v>0</v>
      </c>
      <c r="W107" s="63">
        <f t="shared" ref="W107:W108" si="69">+T107+Q107+N107</f>
        <v>325000</v>
      </c>
      <c r="X107" s="3"/>
      <c r="Z107" s="3"/>
    </row>
    <row r="108" spans="1:26">
      <c r="A108" s="12" t="s">
        <v>301</v>
      </c>
      <c r="B108" s="1"/>
      <c r="C108" s="1"/>
      <c r="D108" s="52"/>
      <c r="E108" s="24">
        <v>0</v>
      </c>
      <c r="F108" s="63">
        <v>0</v>
      </c>
      <c r="G108" s="63">
        <v>0</v>
      </c>
      <c r="H108" s="24">
        <v>0</v>
      </c>
      <c r="I108" s="24">
        <v>0</v>
      </c>
      <c r="J108" s="63">
        <v>0</v>
      </c>
      <c r="K108" s="63">
        <v>0</v>
      </c>
      <c r="L108" s="24">
        <f t="shared" si="64"/>
        <v>0</v>
      </c>
      <c r="M108" s="24">
        <f t="shared" si="65"/>
        <v>0</v>
      </c>
      <c r="N108" s="63">
        <f t="shared" si="66"/>
        <v>0</v>
      </c>
      <c r="O108" s="24">
        <v>0</v>
      </c>
      <c r="P108" s="63">
        <v>0</v>
      </c>
      <c r="Q108" s="63">
        <v>250000</v>
      </c>
      <c r="R108" s="24">
        <v>0</v>
      </c>
      <c r="S108" s="63">
        <v>0</v>
      </c>
      <c r="T108" s="63">
        <v>0</v>
      </c>
      <c r="U108" s="63">
        <f t="shared" si="67"/>
        <v>0</v>
      </c>
      <c r="V108" s="63">
        <f t="shared" si="68"/>
        <v>0</v>
      </c>
      <c r="W108" s="63">
        <f t="shared" si="69"/>
        <v>250000</v>
      </c>
      <c r="X108" s="3"/>
      <c r="Z108" s="3"/>
    </row>
    <row r="109" spans="1:26" ht="15.75" thickBot="1">
      <c r="A109" s="12" t="s">
        <v>89</v>
      </c>
      <c r="B109" s="1"/>
      <c r="C109" s="1"/>
      <c r="D109" s="50"/>
      <c r="E109" s="63">
        <v>0</v>
      </c>
      <c r="F109" s="63">
        <v>0</v>
      </c>
      <c r="G109" s="63">
        <f>800000-800000+705000</f>
        <v>705000</v>
      </c>
      <c r="H109" s="164">
        <v>0</v>
      </c>
      <c r="I109" s="63">
        <v>0</v>
      </c>
      <c r="J109" s="63">
        <v>0</v>
      </c>
      <c r="K109" s="63">
        <v>0</v>
      </c>
      <c r="L109" s="24">
        <f>+E109+I109</f>
        <v>0</v>
      </c>
      <c r="M109" s="24">
        <f>+F109+J109</f>
        <v>0</v>
      </c>
      <c r="N109" s="63">
        <f t="shared" si="62"/>
        <v>705000</v>
      </c>
      <c r="O109" s="63">
        <v>0</v>
      </c>
      <c r="P109" s="63">
        <v>0</v>
      </c>
      <c r="Q109" s="63">
        <v>145000</v>
      </c>
      <c r="R109" s="63">
        <v>0</v>
      </c>
      <c r="S109" s="63">
        <v>0</v>
      </c>
      <c r="T109" s="63">
        <v>0</v>
      </c>
      <c r="U109" s="63">
        <f>+R109+O109+L109</f>
        <v>0</v>
      </c>
      <c r="V109" s="63">
        <f>+S109+P109+M109</f>
        <v>0</v>
      </c>
      <c r="W109" s="63">
        <f t="shared" si="63"/>
        <v>850000</v>
      </c>
      <c r="X109" s="3"/>
      <c r="Z109" s="3"/>
    </row>
    <row r="110" spans="1:26" ht="17.25" thickTop="1" thickBot="1">
      <c r="A110" s="19" t="s">
        <v>90</v>
      </c>
      <c r="B110" s="28"/>
      <c r="C110" s="28"/>
      <c r="D110" s="28"/>
      <c r="E110" s="80" t="s">
        <v>96</v>
      </c>
      <c r="F110" s="80">
        <f t="shared" ref="F110:W110" si="70">SUM(F99:F109)</f>
        <v>1282</v>
      </c>
      <c r="G110" s="80">
        <f t="shared" si="70"/>
        <v>2751314</v>
      </c>
      <c r="H110" s="80">
        <f t="shared" si="70"/>
        <v>74829</v>
      </c>
      <c r="I110" s="80">
        <f>SUM(I99:I109)</f>
        <v>0</v>
      </c>
      <c r="J110" s="80">
        <f>SUM(J99:J109)</f>
        <v>87</v>
      </c>
      <c r="K110" s="80">
        <f>SUM(K99:K109)</f>
        <v>182791</v>
      </c>
      <c r="L110" s="80" t="str">
        <f>+L106</f>
        <v>[1,373]</v>
      </c>
      <c r="M110" s="80">
        <f t="shared" si="70"/>
        <v>1369</v>
      </c>
      <c r="N110" s="80">
        <f t="shared" si="70"/>
        <v>3008934</v>
      </c>
      <c r="O110" s="80">
        <f>SUM(O99:O109)</f>
        <v>0</v>
      </c>
      <c r="P110" s="80">
        <f>SUM(P99:P109)</f>
        <v>62</v>
      </c>
      <c r="Q110" s="80">
        <f>SUM(Q99:Q109)</f>
        <v>858585</v>
      </c>
      <c r="R110" s="80">
        <f t="shared" si="70"/>
        <v>0</v>
      </c>
      <c r="S110" s="80">
        <f t="shared" si="70"/>
        <v>0</v>
      </c>
      <c r="T110" s="80">
        <f t="shared" si="70"/>
        <v>0</v>
      </c>
      <c r="U110" s="80">
        <f t="shared" si="70"/>
        <v>0</v>
      </c>
      <c r="V110" s="80">
        <f t="shared" si="70"/>
        <v>1431</v>
      </c>
      <c r="W110" s="80">
        <f t="shared" si="70"/>
        <v>3867519</v>
      </c>
      <c r="X110" s="3"/>
      <c r="Z110" s="3"/>
    </row>
    <row r="111" spans="1:26" ht="17.25" thickTop="1" thickBot="1">
      <c r="A111" s="31" t="s">
        <v>91</v>
      </c>
      <c r="B111" s="29"/>
      <c r="C111" s="29"/>
      <c r="D111" s="29"/>
      <c r="E111" s="26">
        <f>SUM(E97,E110)</f>
        <v>111998</v>
      </c>
      <c r="F111" s="26">
        <f>F97+F110</f>
        <v>119129</v>
      </c>
      <c r="G111" s="26">
        <f>G97+G110</f>
        <v>24244665</v>
      </c>
      <c r="H111" s="26">
        <f t="shared" ref="H111:W111" si="71">+H110+H97</f>
        <v>1305438</v>
      </c>
      <c r="I111" s="26">
        <f>+I110+I97</f>
        <v>856</v>
      </c>
      <c r="J111" s="26">
        <f>+J110+J97</f>
        <v>3304</v>
      </c>
      <c r="K111" s="26">
        <f>+K110+K97</f>
        <v>1099537</v>
      </c>
      <c r="L111" s="26">
        <f>SUM(L97,L110)</f>
        <v>112854</v>
      </c>
      <c r="M111" s="26">
        <f t="shared" si="71"/>
        <v>122433</v>
      </c>
      <c r="N111" s="26">
        <f t="shared" si="71"/>
        <v>26649640</v>
      </c>
      <c r="O111" s="26">
        <f>+O110+O97</f>
        <v>2220</v>
      </c>
      <c r="P111" s="26">
        <f>+P110+P97</f>
        <v>3216</v>
      </c>
      <c r="Q111" s="26">
        <f>+Q110+Q97</f>
        <v>2292370</v>
      </c>
      <c r="R111" s="26">
        <f t="shared" si="71"/>
        <v>-171</v>
      </c>
      <c r="S111" s="26">
        <f t="shared" si="71"/>
        <v>-177</v>
      </c>
      <c r="T111" s="26">
        <f t="shared" si="71"/>
        <v>-4166699</v>
      </c>
      <c r="U111" s="26">
        <f>SUM(U97,U110)</f>
        <v>114903</v>
      </c>
      <c r="V111" s="26">
        <f t="shared" si="71"/>
        <v>125472</v>
      </c>
      <c r="W111" s="26">
        <f t="shared" si="71"/>
        <v>24775311</v>
      </c>
      <c r="X111" s="3"/>
      <c r="Z111" s="3"/>
    </row>
    <row r="112" spans="1:26" ht="15.75" thickTop="1">
      <c r="A112" s="12" t="s">
        <v>92</v>
      </c>
      <c r="B112" s="1"/>
      <c r="C112" s="1"/>
      <c r="D112" s="1"/>
      <c r="E112" s="63"/>
      <c r="F112" s="63"/>
      <c r="G112" s="63"/>
      <c r="H112" s="24"/>
      <c r="I112" s="63"/>
      <c r="J112" s="63"/>
      <c r="K112" s="63"/>
      <c r="L112" s="24"/>
      <c r="M112" s="24"/>
      <c r="N112" s="63"/>
      <c r="O112" s="63"/>
      <c r="P112" s="63"/>
      <c r="Q112" s="63"/>
      <c r="R112" s="63"/>
      <c r="S112" s="63"/>
      <c r="T112" s="63"/>
      <c r="U112" s="24"/>
      <c r="V112" s="63"/>
      <c r="W112" s="63"/>
      <c r="X112" s="3"/>
      <c r="Z112" s="3"/>
    </row>
    <row r="113" spans="1:26">
      <c r="A113" s="12" t="s">
        <v>103</v>
      </c>
      <c r="B113" s="1"/>
      <c r="C113" s="1"/>
      <c r="D113" s="1"/>
      <c r="E113" s="24" t="s">
        <v>110</v>
      </c>
      <c r="F113" s="24" t="s">
        <v>110</v>
      </c>
      <c r="G113" s="63">
        <v>61821</v>
      </c>
      <c r="H113" s="24">
        <v>0</v>
      </c>
      <c r="I113" s="63">
        <v>0</v>
      </c>
      <c r="J113" s="63">
        <v>0</v>
      </c>
      <c r="K113" s="63">
        <v>-1440</v>
      </c>
      <c r="L113" s="24">
        <v>0</v>
      </c>
      <c r="M113" s="24">
        <v>0</v>
      </c>
      <c r="N113" s="63">
        <f>+G113+K113+H113</f>
        <v>60381</v>
      </c>
      <c r="O113" s="63">
        <v>0</v>
      </c>
      <c r="P113" s="63">
        <v>0</v>
      </c>
      <c r="Q113" s="63">
        <v>0</v>
      </c>
      <c r="R113" s="63">
        <v>0</v>
      </c>
      <c r="S113" s="63">
        <v>0</v>
      </c>
      <c r="T113" s="63">
        <v>0</v>
      </c>
      <c r="U113" s="24" t="s">
        <v>110</v>
      </c>
      <c r="V113" s="24" t="s">
        <v>110</v>
      </c>
      <c r="W113" s="63">
        <f>+T113+Q113+N113</f>
        <v>60381</v>
      </c>
      <c r="X113" s="3"/>
      <c r="Z113" s="3"/>
    </row>
    <row r="114" spans="1:26">
      <c r="A114" s="12" t="s">
        <v>104</v>
      </c>
      <c r="B114" s="1"/>
      <c r="C114" s="1"/>
      <c r="D114" s="1"/>
      <c r="E114" s="24" t="s">
        <v>111</v>
      </c>
      <c r="F114" s="24" t="s">
        <v>111</v>
      </c>
      <c r="G114" s="63">
        <v>128404</v>
      </c>
      <c r="H114" s="24">
        <v>0</v>
      </c>
      <c r="I114" s="63">
        <v>0</v>
      </c>
      <c r="J114" s="63">
        <v>0</v>
      </c>
      <c r="K114" s="63">
        <v>1541</v>
      </c>
      <c r="L114" s="24">
        <v>0</v>
      </c>
      <c r="M114" s="24">
        <v>0</v>
      </c>
      <c r="N114" s="63">
        <f>+G114+K114+H114</f>
        <v>129945</v>
      </c>
      <c r="O114" s="63">
        <v>0</v>
      </c>
      <c r="P114" s="63">
        <v>0</v>
      </c>
      <c r="Q114" s="63">
        <v>0</v>
      </c>
      <c r="R114" s="63">
        <v>0</v>
      </c>
      <c r="S114" s="63">
        <v>0</v>
      </c>
      <c r="T114" s="63">
        <v>0</v>
      </c>
      <c r="U114" s="24" t="s">
        <v>111</v>
      </c>
      <c r="V114" s="24" t="s">
        <v>111</v>
      </c>
      <c r="W114" s="63">
        <f>+T114+Q114+N114</f>
        <v>129945</v>
      </c>
      <c r="X114" s="3"/>
      <c r="Z114" s="3"/>
    </row>
    <row r="115" spans="1:26" ht="15.75" thickBot="1">
      <c r="A115" s="12" t="s">
        <v>115</v>
      </c>
      <c r="B115" s="1"/>
      <c r="C115" s="1"/>
      <c r="D115" s="1"/>
      <c r="E115" s="24">
        <v>0</v>
      </c>
      <c r="F115" s="63">
        <v>0</v>
      </c>
      <c r="G115" s="63">
        <f>90003-90003+29790</f>
        <v>29790</v>
      </c>
      <c r="H115" s="24">
        <v>0</v>
      </c>
      <c r="I115" s="63">
        <v>0</v>
      </c>
      <c r="J115" s="63">
        <v>0</v>
      </c>
      <c r="K115" s="81">
        <f>4432-4432</f>
        <v>0</v>
      </c>
      <c r="L115" s="24">
        <f>+E115+I115</f>
        <v>0</v>
      </c>
      <c r="M115" s="24">
        <f>+F115+J115</f>
        <v>0</v>
      </c>
      <c r="N115" s="81">
        <f>+G115+K115+H115</f>
        <v>29790</v>
      </c>
      <c r="O115" s="63">
        <v>0</v>
      </c>
      <c r="P115" s="63">
        <v>0</v>
      </c>
      <c r="Q115" s="81">
        <f>3082-3082+63295</f>
        <v>63295</v>
      </c>
      <c r="R115" s="63">
        <v>0</v>
      </c>
      <c r="S115" s="63">
        <v>0</v>
      </c>
      <c r="T115" s="81">
        <v>0</v>
      </c>
      <c r="U115" s="24">
        <f>+R115+O115+L115</f>
        <v>0</v>
      </c>
      <c r="V115" s="63">
        <f>+S115+P115+M115</f>
        <v>0</v>
      </c>
      <c r="W115" s="82">
        <f>+T115+Q115+N115</f>
        <v>93085</v>
      </c>
      <c r="X115" s="3"/>
      <c r="Z115" s="3"/>
    </row>
    <row r="116" spans="1:26" ht="17.25" thickTop="1" thickBot="1">
      <c r="A116" s="19" t="s">
        <v>93</v>
      </c>
      <c r="B116" s="28"/>
      <c r="C116" s="28"/>
      <c r="D116" s="28"/>
      <c r="E116" s="32" t="s">
        <v>102</v>
      </c>
      <c r="F116" s="32" t="s">
        <v>113</v>
      </c>
      <c r="G116" s="32">
        <f t="shared" ref="G116:V116" si="72">SUM(G113:G115)</f>
        <v>220015</v>
      </c>
      <c r="H116" s="32">
        <f t="shared" si="72"/>
        <v>0</v>
      </c>
      <c r="I116" s="32">
        <f>SUM(I113:I115)</f>
        <v>0</v>
      </c>
      <c r="J116" s="32">
        <f>SUM(J113:J115)</f>
        <v>0</v>
      </c>
      <c r="K116" s="32">
        <f>SUM(K113:K115)</f>
        <v>101</v>
      </c>
      <c r="L116" s="32">
        <f t="shared" si="72"/>
        <v>0</v>
      </c>
      <c r="M116" s="32">
        <f t="shared" si="72"/>
        <v>0</v>
      </c>
      <c r="N116" s="32">
        <f t="shared" si="72"/>
        <v>220116</v>
      </c>
      <c r="O116" s="32">
        <f>SUM(O113:O115)</f>
        <v>0</v>
      </c>
      <c r="P116" s="32">
        <f>SUM(P113:P115)</f>
        <v>0</v>
      </c>
      <c r="Q116" s="32">
        <f>SUM(Q113:Q115)</f>
        <v>63295</v>
      </c>
      <c r="R116" s="32">
        <f t="shared" si="72"/>
        <v>0</v>
      </c>
      <c r="S116" s="32">
        <f t="shared" si="72"/>
        <v>0</v>
      </c>
      <c r="T116" s="32">
        <f t="shared" si="72"/>
        <v>0</v>
      </c>
      <c r="U116" s="32">
        <f t="shared" si="72"/>
        <v>0</v>
      </c>
      <c r="V116" s="32">
        <f t="shared" si="72"/>
        <v>0</v>
      </c>
      <c r="W116" s="32">
        <f>SUM(W113:W115)</f>
        <v>283411</v>
      </c>
      <c r="X116" s="3"/>
      <c r="Z116" s="3"/>
    </row>
    <row r="117" spans="1:26" ht="18" customHeight="1" thickTop="1" thickBot="1">
      <c r="A117" s="33" t="s">
        <v>94</v>
      </c>
      <c r="B117" s="34"/>
      <c r="C117" s="34"/>
      <c r="D117" s="53"/>
      <c r="E117" s="26">
        <f t="shared" ref="E117:W117" si="73">SUM(E111,E116)</f>
        <v>111998</v>
      </c>
      <c r="F117" s="26">
        <f t="shared" si="73"/>
        <v>119129</v>
      </c>
      <c r="G117" s="26">
        <f t="shared" si="73"/>
        <v>24464680</v>
      </c>
      <c r="H117" s="26">
        <f t="shared" si="73"/>
        <v>1305438</v>
      </c>
      <c r="I117" s="26">
        <f>SUM(I111,I116)</f>
        <v>856</v>
      </c>
      <c r="J117" s="26">
        <f>SUM(J111,J116)</f>
        <v>3304</v>
      </c>
      <c r="K117" s="26">
        <f>SUM(K111,K116)</f>
        <v>1099638</v>
      </c>
      <c r="L117" s="26">
        <f t="shared" si="73"/>
        <v>112854</v>
      </c>
      <c r="M117" s="26">
        <f t="shared" si="73"/>
        <v>122433</v>
      </c>
      <c r="N117" s="26">
        <f t="shared" si="73"/>
        <v>26869756</v>
      </c>
      <c r="O117" s="26">
        <f>SUM(O111,O116)</f>
        <v>2220</v>
      </c>
      <c r="P117" s="26">
        <f>SUM(P111,P116)</f>
        <v>3216</v>
      </c>
      <c r="Q117" s="26">
        <f>SUM(Q111,Q116)</f>
        <v>2355665</v>
      </c>
      <c r="R117" s="26">
        <f t="shared" si="73"/>
        <v>-171</v>
      </c>
      <c r="S117" s="26">
        <f t="shared" si="73"/>
        <v>-177</v>
      </c>
      <c r="T117" s="26">
        <f t="shared" si="73"/>
        <v>-4166699</v>
      </c>
      <c r="U117" s="26">
        <f t="shared" si="73"/>
        <v>114903</v>
      </c>
      <c r="V117" s="26">
        <f t="shared" si="73"/>
        <v>125472</v>
      </c>
      <c r="W117" s="26">
        <f t="shared" si="73"/>
        <v>25058722</v>
      </c>
      <c r="X117" s="3"/>
      <c r="Z117" s="3"/>
    </row>
    <row r="118" spans="1:26" ht="18" customHeight="1" thickTop="1">
      <c r="A118" s="35"/>
      <c r="B118" s="36"/>
      <c r="C118" s="36"/>
      <c r="D118" s="36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Y118" s="171"/>
    </row>
    <row r="119" spans="1:26" ht="15.75">
      <c r="A119" s="238"/>
      <c r="B119" s="238"/>
      <c r="C119" s="238"/>
      <c r="D119" s="238"/>
      <c r="E119" s="3"/>
      <c r="F119" s="3"/>
      <c r="G119" s="3"/>
      <c r="H119" s="3"/>
      <c r="K119" s="3"/>
      <c r="L119" s="3"/>
      <c r="M119" s="3"/>
      <c r="N119" s="3"/>
      <c r="Q119" s="3"/>
      <c r="T119" s="3"/>
      <c r="U119" s="3"/>
      <c r="V119" s="3"/>
      <c r="W119" s="3"/>
      <c r="Y119" s="172"/>
    </row>
    <row r="120" spans="1:26">
      <c r="A120" s="38"/>
      <c r="B120" s="39"/>
      <c r="C120" s="39"/>
      <c r="D120" s="39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 spans="1:26">
      <c r="A121" s="239"/>
      <c r="B121" s="239"/>
      <c r="C121" s="239"/>
      <c r="D121" s="239"/>
      <c r="E121" s="3"/>
      <c r="F121" s="3"/>
      <c r="G121" s="3"/>
      <c r="H121" s="3"/>
      <c r="K121" s="3"/>
      <c r="L121" s="3"/>
      <c r="M121" s="3"/>
      <c r="N121" s="3"/>
      <c r="Q121" s="3"/>
      <c r="T121" s="3"/>
      <c r="U121" s="3"/>
      <c r="V121" s="3"/>
      <c r="W121" s="3"/>
    </row>
    <row r="122" spans="1:26">
      <c r="A122" s="237"/>
      <c r="B122" s="40"/>
      <c r="C122" s="40"/>
      <c r="D122" s="40"/>
      <c r="E122" s="3"/>
      <c r="F122" s="3"/>
      <c r="G122" s="3"/>
      <c r="H122" s="3"/>
      <c r="L122" s="3"/>
      <c r="M122" s="3"/>
      <c r="N122" s="3"/>
      <c r="Q122" s="3"/>
      <c r="T122" s="3"/>
      <c r="U122" s="3"/>
      <c r="V122" s="3"/>
      <c r="W122" s="3"/>
    </row>
    <row r="123" spans="1:26">
      <c r="A123" s="41"/>
      <c r="B123" s="40"/>
      <c r="C123" s="40"/>
      <c r="D123" s="40"/>
      <c r="E123" s="3"/>
      <c r="F123" s="3"/>
      <c r="G123" s="3"/>
      <c r="H123" s="3"/>
      <c r="L123" s="3"/>
      <c r="M123" s="3"/>
      <c r="N123" s="3"/>
      <c r="Q123" s="3"/>
      <c r="T123" s="3"/>
      <c r="U123" s="3"/>
      <c r="V123" s="3"/>
      <c r="W123" s="3"/>
      <c r="Y123" s="173"/>
    </row>
    <row r="124" spans="1:26">
      <c r="A124" s="41"/>
      <c r="B124" s="40"/>
      <c r="C124" s="40"/>
      <c r="D124" s="40"/>
      <c r="E124" s="3"/>
      <c r="F124" s="3"/>
      <c r="G124" s="3"/>
      <c r="H124" s="3"/>
      <c r="L124" s="3"/>
      <c r="M124" s="3"/>
      <c r="N124" s="3"/>
      <c r="Q124" s="3"/>
      <c r="T124" s="3"/>
      <c r="U124" s="3"/>
      <c r="V124" s="3"/>
      <c r="W124" s="3"/>
      <c r="Y124" s="171"/>
    </row>
    <row r="125" spans="1:26" ht="15.75">
      <c r="A125" s="42"/>
      <c r="B125" s="43"/>
      <c r="E125" s="3"/>
      <c r="F125" s="3"/>
      <c r="G125" s="3"/>
      <c r="H125" s="3"/>
      <c r="Y125" s="172"/>
    </row>
    <row r="126" spans="1:26">
      <c r="A126" s="45"/>
      <c r="B126" s="43"/>
      <c r="E126" s="3"/>
      <c r="F126" s="3"/>
      <c r="G126" s="3"/>
      <c r="H126" s="3"/>
    </row>
    <row r="127" spans="1:26">
      <c r="A127" s="45"/>
      <c r="B127" s="43"/>
      <c r="E127" s="3"/>
      <c r="F127" s="3"/>
      <c r="G127" s="3"/>
      <c r="H127" s="3"/>
    </row>
    <row r="128" spans="1:26">
      <c r="A128" s="45"/>
      <c r="B128" s="43"/>
      <c r="E128" s="3"/>
      <c r="F128" s="3"/>
      <c r="G128" s="3"/>
      <c r="H128" s="3"/>
    </row>
    <row r="129" spans="1:8">
      <c r="A129" s="45"/>
      <c r="B129" s="43"/>
      <c r="E129" s="3"/>
      <c r="F129" s="3"/>
      <c r="G129" s="3"/>
      <c r="H129" s="3"/>
    </row>
    <row r="130" spans="1:8">
      <c r="A130" s="45"/>
      <c r="B130" s="43"/>
      <c r="E130" s="3"/>
      <c r="F130" s="3"/>
      <c r="G130" s="3"/>
      <c r="H130" s="3"/>
    </row>
    <row r="131" spans="1:8">
      <c r="A131" s="45"/>
      <c r="B131" s="43"/>
      <c r="E131" s="3"/>
      <c r="F131" s="3"/>
      <c r="G131" s="3"/>
      <c r="H131" s="3"/>
    </row>
    <row r="132" spans="1:8">
      <c r="A132" s="45"/>
      <c r="B132" s="43"/>
      <c r="E132" s="3"/>
      <c r="F132" s="3"/>
      <c r="G132" s="3"/>
      <c r="H132" s="3"/>
    </row>
    <row r="133" spans="1:8">
      <c r="A133" s="45"/>
      <c r="B133" s="43"/>
      <c r="E133" s="3"/>
      <c r="F133" s="3"/>
      <c r="G133" s="3"/>
      <c r="H133" s="3"/>
    </row>
    <row r="134" spans="1:8">
      <c r="A134" s="45"/>
      <c r="B134" s="43"/>
      <c r="E134" s="3"/>
      <c r="F134" s="3"/>
      <c r="G134" s="3"/>
      <c r="H134" s="3"/>
    </row>
    <row r="135" spans="1:8">
      <c r="A135" s="45"/>
      <c r="B135" s="43"/>
      <c r="E135" s="3"/>
      <c r="F135" s="3"/>
      <c r="G135" s="3"/>
      <c r="H135" s="3"/>
    </row>
    <row r="136" spans="1:8">
      <c r="A136" s="45"/>
      <c r="B136" s="43"/>
      <c r="E136" s="3"/>
      <c r="F136" s="3"/>
      <c r="G136" s="3"/>
      <c r="H136" s="3"/>
    </row>
    <row r="137" spans="1:8">
      <c r="A137" s="45"/>
      <c r="B137" s="43"/>
      <c r="E137" s="3"/>
      <c r="F137" s="3"/>
      <c r="G137" s="3"/>
      <c r="H137" s="3"/>
    </row>
    <row r="138" spans="1:8">
      <c r="A138" s="45"/>
      <c r="B138" s="43"/>
      <c r="E138" s="3"/>
      <c r="F138" s="3"/>
      <c r="G138" s="3"/>
      <c r="H138" s="3"/>
    </row>
    <row r="139" spans="1:8">
      <c r="A139" s="45"/>
      <c r="B139" s="43"/>
      <c r="E139" s="3"/>
      <c r="F139" s="3"/>
      <c r="G139" s="3"/>
      <c r="H139" s="3"/>
    </row>
    <row r="140" spans="1:8">
      <c r="A140" s="45"/>
      <c r="B140" s="43"/>
      <c r="E140" s="3"/>
      <c r="F140" s="3"/>
      <c r="G140" s="3"/>
      <c r="H140" s="3"/>
    </row>
    <row r="141" spans="1:8">
      <c r="A141" s="46"/>
      <c r="B141" s="43"/>
      <c r="E141" s="3"/>
      <c r="F141" s="3"/>
      <c r="G141" s="3"/>
      <c r="H141" s="3"/>
    </row>
    <row r="142" spans="1:8">
      <c r="A142" s="46"/>
      <c r="B142" s="43"/>
      <c r="E142" s="3"/>
      <c r="F142" s="3"/>
      <c r="G142" s="3"/>
      <c r="H142" s="3"/>
    </row>
    <row r="143" spans="1:8">
      <c r="A143" s="46"/>
      <c r="B143" s="43"/>
      <c r="E143" s="3"/>
      <c r="F143" s="3"/>
      <c r="G143" s="3"/>
      <c r="H143" s="3"/>
    </row>
    <row r="144" spans="1:8">
      <c r="A144" s="46"/>
      <c r="B144" s="43"/>
      <c r="E144" s="3"/>
      <c r="F144" s="3"/>
      <c r="G144" s="3"/>
      <c r="H144" s="3"/>
    </row>
    <row r="145" spans="1:8">
      <c r="A145" s="46"/>
      <c r="B145" s="43"/>
      <c r="E145" s="3"/>
      <c r="F145" s="3"/>
      <c r="G145" s="3"/>
      <c r="H145" s="3"/>
    </row>
    <row r="146" spans="1:8">
      <c r="A146" s="46"/>
      <c r="B146" s="43"/>
      <c r="E146" s="3"/>
      <c r="F146" s="3"/>
      <c r="G146" s="3"/>
      <c r="H146" s="3"/>
    </row>
    <row r="147" spans="1:8">
      <c r="A147" s="46"/>
      <c r="B147" s="43"/>
      <c r="E147" s="3"/>
      <c r="F147" s="3"/>
      <c r="G147" s="3"/>
      <c r="H147" s="3"/>
    </row>
    <row r="148" spans="1:8">
      <c r="A148" s="46"/>
      <c r="B148" s="43"/>
      <c r="E148" s="3"/>
      <c r="F148" s="3"/>
      <c r="G148" s="3"/>
      <c r="H148" s="3"/>
    </row>
    <row r="149" spans="1:8">
      <c r="A149" s="46"/>
      <c r="B149" s="43"/>
      <c r="E149" s="3"/>
      <c r="F149" s="3"/>
      <c r="G149" s="3"/>
      <c r="H149" s="3"/>
    </row>
    <row r="150" spans="1:8">
      <c r="A150" s="46"/>
      <c r="B150" s="43"/>
      <c r="E150" s="3"/>
      <c r="F150" s="3"/>
      <c r="G150" s="3"/>
      <c r="H150" s="3"/>
    </row>
    <row r="151" spans="1:8">
      <c r="A151" s="46"/>
      <c r="B151" s="43"/>
      <c r="E151" s="3"/>
      <c r="F151" s="3"/>
      <c r="G151" s="3"/>
      <c r="H151" s="3"/>
    </row>
    <row r="152" spans="1:8">
      <c r="A152" s="46"/>
      <c r="B152" s="43"/>
      <c r="E152" s="3"/>
      <c r="F152" s="3"/>
      <c r="G152" s="3"/>
      <c r="H152" s="3"/>
    </row>
    <row r="153" spans="1:8">
      <c r="A153" s="46"/>
      <c r="B153" s="43"/>
      <c r="E153" s="3"/>
      <c r="F153" s="3"/>
      <c r="G153" s="3"/>
      <c r="H153" s="3"/>
    </row>
    <row r="154" spans="1:8">
      <c r="A154" s="46"/>
      <c r="B154" s="43"/>
      <c r="E154" s="3"/>
      <c r="F154" s="3"/>
      <c r="G154" s="3"/>
      <c r="H154" s="3"/>
    </row>
    <row r="155" spans="1:8">
      <c r="A155" s="46"/>
      <c r="B155" s="43"/>
      <c r="E155" s="3"/>
      <c r="F155" s="3"/>
      <c r="G155" s="3"/>
      <c r="H155" s="3"/>
    </row>
    <row r="156" spans="1:8">
      <c r="A156" s="46"/>
      <c r="B156" s="43"/>
      <c r="E156" s="3"/>
      <c r="F156" s="3"/>
      <c r="G156" s="3"/>
      <c r="H156" s="3"/>
    </row>
    <row r="157" spans="1:8">
      <c r="A157" s="46"/>
      <c r="B157" s="43"/>
      <c r="E157" s="3"/>
      <c r="F157" s="3"/>
      <c r="G157" s="3"/>
      <c r="H157" s="3"/>
    </row>
    <row r="158" spans="1:8">
      <c r="A158" s="46"/>
      <c r="B158" s="43"/>
      <c r="E158" s="3"/>
      <c r="F158" s="3"/>
      <c r="G158" s="3"/>
      <c r="H158" s="3"/>
    </row>
    <row r="159" spans="1:8">
      <c r="A159" s="46"/>
      <c r="B159" s="43"/>
      <c r="E159" s="3"/>
      <c r="F159" s="3"/>
      <c r="G159" s="3"/>
      <c r="H159" s="3"/>
    </row>
    <row r="160" spans="1:8">
      <c r="A160" s="46"/>
      <c r="B160" s="43"/>
      <c r="E160" s="3"/>
      <c r="F160" s="3"/>
      <c r="G160" s="3"/>
      <c r="H160" s="3"/>
    </row>
    <row r="161" spans="1:8">
      <c r="A161" s="46"/>
      <c r="B161" s="43"/>
      <c r="E161" s="3"/>
      <c r="F161" s="3"/>
      <c r="G161" s="3"/>
      <c r="H161" s="3"/>
    </row>
    <row r="162" spans="1:8">
      <c r="A162" s="46"/>
      <c r="B162" s="43"/>
      <c r="E162" s="3"/>
      <c r="F162" s="3"/>
      <c r="G162" s="3"/>
      <c r="H162" s="3"/>
    </row>
    <row r="163" spans="1:8">
      <c r="A163" s="46"/>
      <c r="B163" s="43"/>
      <c r="E163" s="3"/>
      <c r="F163" s="3"/>
      <c r="G163" s="3"/>
      <c r="H163" s="3"/>
    </row>
    <row r="164" spans="1:8">
      <c r="A164" s="46"/>
      <c r="B164" s="43"/>
      <c r="E164" s="3"/>
      <c r="F164" s="3"/>
      <c r="G164" s="3"/>
      <c r="H164" s="3"/>
    </row>
    <row r="165" spans="1:8">
      <c r="A165" s="46"/>
      <c r="B165" s="43"/>
      <c r="E165" s="3"/>
      <c r="F165" s="3"/>
      <c r="G165" s="3"/>
      <c r="H165" s="3"/>
    </row>
    <row r="166" spans="1:8">
      <c r="A166" s="46"/>
      <c r="B166" s="43"/>
      <c r="E166" s="3"/>
      <c r="F166" s="3"/>
      <c r="G166" s="3"/>
      <c r="H166" s="3"/>
    </row>
    <row r="167" spans="1:8">
      <c r="A167" s="46"/>
      <c r="B167" s="43"/>
      <c r="E167" s="3"/>
      <c r="F167" s="3"/>
      <c r="G167" s="3"/>
      <c r="H167" s="3"/>
    </row>
    <row r="168" spans="1:8">
      <c r="A168" s="46"/>
      <c r="B168" s="43"/>
      <c r="E168" s="3"/>
      <c r="F168" s="3"/>
      <c r="G168" s="3"/>
      <c r="H168" s="3"/>
    </row>
    <row r="169" spans="1:8">
      <c r="A169" s="46"/>
      <c r="B169" s="43"/>
      <c r="E169" s="3"/>
      <c r="F169" s="3"/>
      <c r="G169" s="3"/>
      <c r="H169" s="3"/>
    </row>
    <row r="170" spans="1:8">
      <c r="A170" s="46"/>
      <c r="B170" s="43"/>
      <c r="E170" s="3"/>
      <c r="F170" s="3"/>
      <c r="G170" s="3"/>
      <c r="H170" s="3"/>
    </row>
    <row r="171" spans="1:8">
      <c r="A171" s="46"/>
      <c r="E171" s="3"/>
      <c r="F171" s="3"/>
      <c r="G171" s="3"/>
      <c r="H171" s="3"/>
    </row>
    <row r="172" spans="1:8">
      <c r="A172" s="46"/>
      <c r="E172" s="3"/>
      <c r="F172" s="3"/>
      <c r="G172" s="3"/>
      <c r="H172" s="3"/>
    </row>
    <row r="173" spans="1:8">
      <c r="A173" s="46"/>
      <c r="E173" s="3"/>
      <c r="F173" s="3"/>
      <c r="G173" s="3"/>
      <c r="H173" s="3"/>
    </row>
    <row r="174" spans="1:8">
      <c r="A174" s="46"/>
      <c r="E174" s="3"/>
      <c r="F174" s="3"/>
      <c r="G174" s="3"/>
      <c r="H174" s="3"/>
    </row>
    <row r="175" spans="1:8">
      <c r="A175" s="46"/>
      <c r="E175" s="3"/>
      <c r="F175" s="3"/>
      <c r="G175" s="3"/>
      <c r="H175" s="3"/>
    </row>
    <row r="176" spans="1:8">
      <c r="A176" s="46"/>
      <c r="E176" s="3"/>
      <c r="F176" s="3"/>
      <c r="G176" s="3"/>
      <c r="H176" s="3"/>
    </row>
    <row r="177" spans="1:8">
      <c r="A177" s="46"/>
      <c r="E177" s="3"/>
      <c r="F177" s="3"/>
      <c r="G177" s="3"/>
      <c r="H177" s="3"/>
    </row>
    <row r="178" spans="1:8">
      <c r="A178" s="46"/>
      <c r="E178" s="3"/>
      <c r="F178" s="3"/>
      <c r="G178" s="3"/>
      <c r="H178" s="3"/>
    </row>
    <row r="179" spans="1:8">
      <c r="A179" s="46"/>
      <c r="E179" s="3"/>
      <c r="F179" s="3"/>
      <c r="G179" s="3"/>
      <c r="H179" s="3"/>
    </row>
    <row r="180" spans="1:8">
      <c r="A180" s="46"/>
      <c r="E180" s="3"/>
      <c r="F180" s="3"/>
      <c r="G180" s="3"/>
      <c r="H180" s="3"/>
    </row>
    <row r="181" spans="1:8">
      <c r="A181" s="46"/>
      <c r="E181" s="3"/>
      <c r="F181" s="3"/>
      <c r="G181" s="3"/>
      <c r="H181" s="3"/>
    </row>
    <row r="182" spans="1:8">
      <c r="E182" s="3"/>
      <c r="F182" s="3"/>
      <c r="G182" s="3"/>
      <c r="H182" s="3"/>
    </row>
    <row r="183" spans="1:8">
      <c r="E183" s="3"/>
      <c r="F183" s="3"/>
      <c r="G183" s="3"/>
      <c r="H183" s="3"/>
    </row>
    <row r="184" spans="1:8">
      <c r="E184" s="3"/>
      <c r="F184" s="3"/>
      <c r="G184" s="3"/>
      <c r="H184" s="3"/>
    </row>
    <row r="185" spans="1:8">
      <c r="E185" s="3"/>
      <c r="F185" s="3"/>
      <c r="G185" s="3"/>
      <c r="H185" s="3"/>
    </row>
    <row r="186" spans="1:8">
      <c r="E186" s="3"/>
      <c r="F186" s="3"/>
      <c r="G186" s="3"/>
      <c r="H186" s="3"/>
    </row>
    <row r="187" spans="1:8">
      <c r="E187" s="3"/>
      <c r="F187" s="3"/>
      <c r="G187" s="3"/>
      <c r="H187" s="3"/>
    </row>
    <row r="188" spans="1:8">
      <c r="E188" s="3"/>
      <c r="F188" s="3"/>
      <c r="G188" s="3"/>
      <c r="H188" s="3"/>
    </row>
    <row r="189" spans="1:8">
      <c r="E189" s="3"/>
      <c r="F189" s="3"/>
      <c r="G189" s="3"/>
      <c r="H189" s="3"/>
    </row>
    <row r="190" spans="1:8">
      <c r="E190" s="3"/>
      <c r="F190" s="3"/>
      <c r="G190" s="3"/>
      <c r="H190" s="3"/>
    </row>
    <row r="191" spans="1:8">
      <c r="E191" s="3"/>
      <c r="F191" s="3"/>
      <c r="G191" s="3"/>
      <c r="H191" s="3"/>
    </row>
    <row r="192" spans="1:8">
      <c r="A192" s="47"/>
      <c r="E192" s="3"/>
      <c r="F192" s="3"/>
      <c r="G192" s="3"/>
      <c r="H192" s="3"/>
    </row>
    <row r="193" spans="1:8">
      <c r="E193" s="3"/>
      <c r="F193" s="3"/>
      <c r="G193" s="3"/>
      <c r="H193" s="3"/>
    </row>
    <row r="194" spans="1:8">
      <c r="E194" s="3"/>
      <c r="F194" s="3"/>
      <c r="G194" s="3"/>
      <c r="H194" s="3"/>
    </row>
    <row r="195" spans="1:8">
      <c r="A195" s="48"/>
      <c r="E195" s="3"/>
      <c r="F195" s="3"/>
      <c r="G195" s="3"/>
      <c r="H195" s="3"/>
    </row>
    <row r="196" spans="1:8">
      <c r="E196" s="3"/>
      <c r="F196" s="3"/>
      <c r="G196" s="3"/>
      <c r="H196" s="3"/>
    </row>
    <row r="197" spans="1:8">
      <c r="E197" s="3"/>
      <c r="F197" s="3"/>
      <c r="G197" s="3"/>
      <c r="H197" s="3"/>
    </row>
    <row r="198" spans="1:8">
      <c r="E198" s="3"/>
      <c r="F198" s="3"/>
      <c r="G198" s="3"/>
      <c r="H198" s="3"/>
    </row>
    <row r="199" spans="1:8">
      <c r="E199" s="3"/>
      <c r="F199" s="3"/>
      <c r="G199" s="3"/>
      <c r="H199" s="3"/>
    </row>
    <row r="200" spans="1:8">
      <c r="E200" s="3"/>
      <c r="F200" s="3"/>
      <c r="G200" s="3"/>
      <c r="H200" s="3"/>
    </row>
    <row r="201" spans="1:8">
      <c r="E201" s="3"/>
      <c r="F201" s="3"/>
      <c r="G201" s="3"/>
      <c r="H201" s="3"/>
    </row>
    <row r="202" spans="1:8">
      <c r="E202" s="3"/>
      <c r="F202" s="3"/>
      <c r="G202" s="3"/>
      <c r="H202" s="3"/>
    </row>
    <row r="203" spans="1:8">
      <c r="E203" s="3"/>
      <c r="F203" s="3"/>
      <c r="G203" s="3"/>
      <c r="H203" s="3"/>
    </row>
    <row r="204" spans="1:8">
      <c r="E204" s="3"/>
      <c r="F204" s="3"/>
      <c r="G204" s="3"/>
      <c r="H204" s="3"/>
    </row>
    <row r="205" spans="1:8">
      <c r="E205" s="3"/>
      <c r="F205" s="3"/>
      <c r="G205" s="3"/>
      <c r="H205" s="3"/>
    </row>
    <row r="206" spans="1:8">
      <c r="E206" s="3"/>
      <c r="F206" s="3"/>
      <c r="G206" s="3"/>
      <c r="H206" s="3"/>
    </row>
    <row r="207" spans="1:8">
      <c r="E207" s="3"/>
      <c r="F207" s="3"/>
      <c r="G207" s="3"/>
      <c r="H207" s="3"/>
    </row>
    <row r="208" spans="1:8">
      <c r="A208" s="49"/>
      <c r="E208" s="3"/>
      <c r="F208" s="3"/>
      <c r="G208" s="3"/>
      <c r="H208" s="3"/>
    </row>
    <row r="209" spans="1:8">
      <c r="A209" s="49"/>
      <c r="E209" s="3"/>
      <c r="F209" s="3"/>
      <c r="G209" s="3"/>
      <c r="H209" s="3"/>
    </row>
    <row r="210" spans="1:8">
      <c r="E210" s="3"/>
      <c r="F210" s="3"/>
      <c r="G210" s="3"/>
      <c r="H210" s="3"/>
    </row>
    <row r="211" spans="1:8">
      <c r="E211" s="3"/>
      <c r="F211" s="3"/>
      <c r="G211" s="3"/>
      <c r="H211" s="3"/>
    </row>
    <row r="212" spans="1:8">
      <c r="E212" s="3"/>
      <c r="F212" s="3"/>
      <c r="G212" s="3"/>
      <c r="H212" s="3"/>
    </row>
    <row r="213" spans="1:8">
      <c r="E213" s="3"/>
      <c r="F213" s="3"/>
      <c r="G213" s="3"/>
      <c r="H213" s="3"/>
    </row>
    <row r="214" spans="1:8">
      <c r="E214" s="3"/>
      <c r="F214" s="3"/>
      <c r="G214" s="3"/>
      <c r="H214" s="3"/>
    </row>
    <row r="215" spans="1:8">
      <c r="E215" s="3"/>
      <c r="F215" s="3"/>
      <c r="G215" s="3"/>
      <c r="H215" s="3"/>
    </row>
    <row r="216" spans="1:8">
      <c r="E216" s="3"/>
      <c r="F216" s="3"/>
      <c r="G216" s="3"/>
      <c r="H216" s="3"/>
    </row>
    <row r="217" spans="1:8">
      <c r="E217" s="3"/>
      <c r="F217" s="3"/>
      <c r="G217" s="3"/>
      <c r="H217" s="3"/>
    </row>
    <row r="218" spans="1:8">
      <c r="E218" s="3"/>
      <c r="F218" s="3"/>
      <c r="G218" s="3"/>
      <c r="H218" s="3"/>
    </row>
    <row r="219" spans="1:8">
      <c r="E219" s="3"/>
      <c r="F219" s="3"/>
      <c r="G219" s="3"/>
      <c r="H219" s="3"/>
    </row>
    <row r="220" spans="1:8">
      <c r="E220" s="3"/>
      <c r="F220" s="3"/>
      <c r="G220" s="3"/>
      <c r="H220" s="3"/>
    </row>
    <row r="221" spans="1:8">
      <c r="E221" s="3"/>
      <c r="F221" s="3"/>
      <c r="G221" s="3"/>
      <c r="H221" s="3"/>
    </row>
    <row r="222" spans="1:8">
      <c r="E222" s="3"/>
      <c r="F222" s="3"/>
      <c r="G222" s="3"/>
      <c r="H222" s="3"/>
    </row>
    <row r="223" spans="1:8">
      <c r="E223" s="3"/>
      <c r="F223" s="3"/>
      <c r="G223" s="3"/>
      <c r="H223" s="3"/>
    </row>
    <row r="224" spans="1:8">
      <c r="E224" s="3"/>
      <c r="F224" s="3"/>
      <c r="G224" s="3"/>
      <c r="H224" s="3"/>
    </row>
    <row r="225" spans="5:8">
      <c r="E225" s="3"/>
      <c r="F225" s="3"/>
      <c r="G225" s="3"/>
      <c r="H225" s="3"/>
    </row>
    <row r="226" spans="5:8">
      <c r="E226" s="3"/>
      <c r="F226" s="3"/>
      <c r="G226" s="3"/>
      <c r="H226" s="3"/>
    </row>
    <row r="227" spans="5:8">
      <c r="E227" s="3"/>
      <c r="F227" s="3"/>
      <c r="G227" s="3"/>
      <c r="H227" s="3"/>
    </row>
    <row r="228" spans="5:8">
      <c r="E228" s="3"/>
      <c r="F228" s="3"/>
      <c r="G228" s="3"/>
      <c r="H228" s="3"/>
    </row>
    <row r="229" spans="5:8">
      <c r="E229" s="3"/>
      <c r="F229" s="3"/>
      <c r="G229" s="3"/>
      <c r="H229" s="3"/>
    </row>
    <row r="230" spans="5:8">
      <c r="E230" s="3"/>
      <c r="F230" s="3"/>
      <c r="G230" s="3"/>
      <c r="H230" s="3"/>
    </row>
    <row r="231" spans="5:8">
      <c r="E231" s="3"/>
      <c r="F231" s="3"/>
      <c r="G231" s="3"/>
      <c r="H231" s="3"/>
    </row>
    <row r="232" spans="5:8">
      <c r="E232" s="3"/>
      <c r="F232" s="3"/>
      <c r="G232" s="3"/>
      <c r="H232" s="3"/>
    </row>
    <row r="233" spans="5:8">
      <c r="E233" s="3"/>
      <c r="F233" s="3"/>
      <c r="G233" s="3"/>
      <c r="H233" s="3"/>
    </row>
    <row r="234" spans="5:8">
      <c r="E234" s="3"/>
      <c r="F234" s="3"/>
      <c r="G234" s="3"/>
      <c r="H234" s="3"/>
    </row>
    <row r="235" spans="5:8">
      <c r="E235" s="3"/>
      <c r="F235" s="3"/>
      <c r="G235" s="3"/>
      <c r="H235" s="3"/>
    </row>
    <row r="236" spans="5:8">
      <c r="E236" s="3"/>
      <c r="F236" s="3"/>
      <c r="G236" s="3"/>
      <c r="H236" s="3"/>
    </row>
    <row r="237" spans="5:8">
      <c r="E237" s="3"/>
      <c r="F237" s="3"/>
      <c r="G237" s="3"/>
      <c r="H237" s="3"/>
    </row>
    <row r="238" spans="5:8">
      <c r="E238" s="3"/>
      <c r="F238" s="3"/>
      <c r="G238" s="3"/>
      <c r="H238" s="3"/>
    </row>
    <row r="239" spans="5:8">
      <c r="E239" s="3"/>
      <c r="F239" s="3"/>
      <c r="G239" s="3"/>
      <c r="H239" s="3"/>
    </row>
    <row r="240" spans="5:8">
      <c r="E240" s="3"/>
      <c r="F240" s="3"/>
      <c r="G240" s="3"/>
      <c r="H240" s="3"/>
    </row>
    <row r="241" spans="5:8">
      <c r="E241" s="3"/>
      <c r="F241" s="3"/>
      <c r="G241" s="3"/>
      <c r="H241" s="3"/>
    </row>
    <row r="242" spans="5:8">
      <c r="E242" s="3"/>
      <c r="F242" s="3"/>
      <c r="G242" s="3"/>
      <c r="H242" s="3"/>
    </row>
    <row r="243" spans="5:8">
      <c r="E243" s="3"/>
      <c r="F243" s="3"/>
      <c r="G243" s="3"/>
      <c r="H243" s="3"/>
    </row>
    <row r="244" spans="5:8">
      <c r="E244" s="3"/>
      <c r="F244" s="3"/>
      <c r="G244" s="3"/>
      <c r="H244" s="3"/>
    </row>
    <row r="245" spans="5:8">
      <c r="E245" s="3"/>
      <c r="F245" s="3"/>
      <c r="G245" s="3"/>
      <c r="H245" s="3"/>
    </row>
    <row r="246" spans="5:8">
      <c r="E246" s="3"/>
      <c r="F246" s="3"/>
      <c r="G246" s="3"/>
      <c r="H246" s="3"/>
    </row>
    <row r="247" spans="5:8">
      <c r="E247" s="3"/>
      <c r="F247" s="3"/>
      <c r="G247" s="3"/>
      <c r="H247" s="3"/>
    </row>
    <row r="248" spans="5:8">
      <c r="E248" s="3"/>
      <c r="F248" s="3"/>
      <c r="G248" s="3"/>
      <c r="H248" s="3"/>
    </row>
    <row r="249" spans="5:8">
      <c r="E249" s="3"/>
      <c r="F249" s="3"/>
      <c r="G249" s="3"/>
      <c r="H249" s="3"/>
    </row>
    <row r="250" spans="5:8">
      <c r="E250" s="3"/>
      <c r="F250" s="3"/>
      <c r="G250" s="3"/>
      <c r="H250" s="3"/>
    </row>
    <row r="251" spans="5:8">
      <c r="E251" s="3"/>
      <c r="F251" s="3"/>
      <c r="G251" s="3"/>
      <c r="H251" s="3"/>
    </row>
    <row r="252" spans="5:8">
      <c r="E252" s="3"/>
      <c r="F252" s="3"/>
      <c r="G252" s="3"/>
      <c r="H252" s="3"/>
    </row>
    <row r="253" spans="5:8">
      <c r="E253" s="3"/>
      <c r="F253" s="3"/>
      <c r="G253" s="3"/>
      <c r="H253" s="3"/>
    </row>
    <row r="254" spans="5:8">
      <c r="E254" s="3"/>
      <c r="F254" s="3"/>
      <c r="G254" s="3"/>
      <c r="H254" s="3"/>
    </row>
    <row r="255" spans="5:8">
      <c r="E255" s="3"/>
      <c r="F255" s="3"/>
      <c r="G255" s="3"/>
      <c r="H255" s="3"/>
    </row>
    <row r="256" spans="5:8">
      <c r="E256" s="3"/>
      <c r="F256" s="3"/>
      <c r="G256" s="3"/>
      <c r="H256" s="3"/>
    </row>
    <row r="257" spans="5:8">
      <c r="E257" s="3"/>
      <c r="F257" s="3"/>
      <c r="G257" s="3"/>
      <c r="H257" s="3"/>
    </row>
    <row r="258" spans="5:8">
      <c r="E258" s="3"/>
      <c r="F258" s="3"/>
      <c r="G258" s="3"/>
      <c r="H258" s="3"/>
    </row>
    <row r="259" spans="5:8">
      <c r="E259" s="3"/>
      <c r="F259" s="3"/>
      <c r="G259" s="3"/>
      <c r="H259" s="3"/>
    </row>
    <row r="260" spans="5:8">
      <c r="E260" s="3"/>
      <c r="F260" s="3"/>
      <c r="G260" s="3"/>
      <c r="H260" s="3"/>
    </row>
    <row r="261" spans="5:8">
      <c r="E261" s="3"/>
      <c r="F261" s="3"/>
      <c r="G261" s="3"/>
      <c r="H261" s="3"/>
    </row>
    <row r="262" spans="5:8">
      <c r="E262" s="3"/>
      <c r="F262" s="3"/>
      <c r="G262" s="3"/>
      <c r="H262" s="3"/>
    </row>
    <row r="263" spans="5:8">
      <c r="E263" s="3"/>
      <c r="F263" s="3"/>
      <c r="G263" s="3"/>
      <c r="H263" s="3"/>
    </row>
    <row r="264" spans="5:8">
      <c r="E264" s="3"/>
      <c r="F264" s="3"/>
      <c r="G264" s="3"/>
      <c r="H264" s="3"/>
    </row>
    <row r="265" spans="5:8">
      <c r="E265" s="3"/>
      <c r="F265" s="3"/>
      <c r="G265" s="3"/>
      <c r="H265" s="3"/>
    </row>
    <row r="266" spans="5:8">
      <c r="E266" s="3"/>
      <c r="F266" s="3"/>
      <c r="G266" s="3"/>
      <c r="H266" s="3"/>
    </row>
    <row r="267" spans="5:8">
      <c r="E267" s="3"/>
      <c r="F267" s="3"/>
      <c r="G267" s="3"/>
      <c r="H267" s="3"/>
    </row>
    <row r="268" spans="5:8">
      <c r="E268" s="3"/>
      <c r="F268" s="3"/>
      <c r="G268" s="3"/>
      <c r="H268" s="3"/>
    </row>
    <row r="269" spans="5:8">
      <c r="E269" s="3"/>
      <c r="F269" s="3"/>
      <c r="G269" s="3"/>
      <c r="H269" s="3"/>
    </row>
    <row r="270" spans="5:8">
      <c r="E270" s="3"/>
      <c r="F270" s="3"/>
      <c r="G270" s="3"/>
      <c r="H270" s="3"/>
    </row>
    <row r="271" spans="5:8">
      <c r="E271" s="3"/>
      <c r="F271" s="3"/>
      <c r="G271" s="3"/>
      <c r="H271" s="3"/>
    </row>
    <row r="272" spans="5:8">
      <c r="E272" s="3"/>
      <c r="F272" s="3"/>
      <c r="G272" s="3"/>
      <c r="H272" s="3"/>
    </row>
    <row r="273" spans="5:8">
      <c r="E273" s="3"/>
      <c r="F273" s="3"/>
      <c r="G273" s="3"/>
      <c r="H273" s="3"/>
    </row>
    <row r="274" spans="5:8">
      <c r="E274" s="3"/>
      <c r="F274" s="3"/>
      <c r="G274" s="3"/>
      <c r="H274" s="3"/>
    </row>
    <row r="275" spans="5:8">
      <c r="E275" s="3"/>
      <c r="F275" s="3"/>
      <c r="G275" s="3"/>
      <c r="H275" s="3"/>
    </row>
    <row r="276" spans="5:8">
      <c r="E276" s="3"/>
      <c r="F276" s="3"/>
      <c r="G276" s="3"/>
      <c r="H276" s="3"/>
    </row>
    <row r="277" spans="5:8">
      <c r="E277" s="3"/>
      <c r="F277" s="3"/>
      <c r="G277" s="3"/>
      <c r="H277" s="3"/>
    </row>
    <row r="278" spans="5:8">
      <c r="E278" s="3"/>
      <c r="F278" s="3"/>
      <c r="G278" s="3"/>
      <c r="H278" s="3"/>
    </row>
    <row r="279" spans="5:8">
      <c r="E279" s="3"/>
      <c r="F279" s="3"/>
      <c r="G279" s="3"/>
      <c r="H279" s="3"/>
    </row>
    <row r="280" spans="5:8">
      <c r="E280" s="3"/>
      <c r="F280" s="3"/>
      <c r="G280" s="3"/>
      <c r="H280" s="3"/>
    </row>
    <row r="281" spans="5:8">
      <c r="E281" s="3"/>
      <c r="F281" s="3"/>
      <c r="G281" s="3"/>
      <c r="H281" s="3"/>
    </row>
    <row r="282" spans="5:8">
      <c r="E282" s="3"/>
      <c r="F282" s="3"/>
      <c r="G282" s="3"/>
      <c r="H282" s="3"/>
    </row>
    <row r="283" spans="5:8">
      <c r="E283" s="3"/>
      <c r="F283" s="3"/>
      <c r="G283" s="3"/>
      <c r="H283" s="3"/>
    </row>
    <row r="284" spans="5:8">
      <c r="E284" s="3"/>
      <c r="F284" s="3"/>
      <c r="G284" s="3"/>
      <c r="H284" s="3"/>
    </row>
    <row r="285" spans="5:8">
      <c r="E285" s="3"/>
      <c r="F285" s="3"/>
      <c r="G285" s="3"/>
      <c r="H285" s="3"/>
    </row>
    <row r="286" spans="5:8">
      <c r="E286" s="3"/>
      <c r="F286" s="3"/>
      <c r="G286" s="3"/>
      <c r="H286" s="3"/>
    </row>
    <row r="287" spans="5:8">
      <c r="E287" s="3"/>
      <c r="F287" s="3"/>
      <c r="G287" s="3"/>
      <c r="H287" s="3"/>
    </row>
    <row r="288" spans="5:8">
      <c r="E288" s="3"/>
      <c r="F288" s="3"/>
      <c r="G288" s="3"/>
      <c r="H288" s="3"/>
    </row>
    <row r="289" spans="5:8">
      <c r="E289" s="3"/>
      <c r="F289" s="3"/>
      <c r="G289" s="3"/>
      <c r="H289" s="3"/>
    </row>
    <row r="290" spans="5:8">
      <c r="E290" s="3"/>
      <c r="F290" s="3"/>
      <c r="G290" s="3"/>
      <c r="H290" s="3"/>
    </row>
    <row r="291" spans="5:8">
      <c r="E291" s="3"/>
      <c r="F291" s="3"/>
      <c r="G291" s="3"/>
      <c r="H291" s="3"/>
    </row>
    <row r="292" spans="5:8">
      <c r="E292" s="3"/>
      <c r="F292" s="3"/>
      <c r="G292" s="3"/>
      <c r="H292" s="3"/>
    </row>
    <row r="293" spans="5:8">
      <c r="E293" s="3"/>
      <c r="F293" s="3"/>
      <c r="G293" s="3"/>
      <c r="H293" s="3"/>
    </row>
    <row r="294" spans="5:8">
      <c r="E294" s="3"/>
      <c r="F294" s="3"/>
      <c r="G294" s="3"/>
      <c r="H294" s="3"/>
    </row>
    <row r="295" spans="5:8">
      <c r="E295" s="3"/>
      <c r="F295" s="3"/>
      <c r="G295" s="3"/>
      <c r="H295" s="3"/>
    </row>
    <row r="296" spans="5:8">
      <c r="E296" s="3"/>
      <c r="F296" s="3"/>
      <c r="G296" s="3"/>
      <c r="H296" s="3"/>
    </row>
    <row r="297" spans="5:8">
      <c r="E297" s="3"/>
      <c r="F297" s="3"/>
      <c r="G297" s="3"/>
      <c r="H297" s="3"/>
    </row>
    <row r="298" spans="5:8">
      <c r="E298" s="3"/>
      <c r="F298" s="3"/>
      <c r="G298" s="3"/>
      <c r="H298" s="3"/>
    </row>
    <row r="299" spans="5:8">
      <c r="E299" s="3"/>
      <c r="F299" s="3"/>
      <c r="G299" s="3"/>
      <c r="H299" s="3"/>
    </row>
    <row r="300" spans="5:8">
      <c r="E300" s="3"/>
      <c r="F300" s="3"/>
      <c r="G300" s="3"/>
      <c r="H300" s="3"/>
    </row>
    <row r="301" spans="5:8">
      <c r="E301" s="3"/>
      <c r="F301" s="3"/>
      <c r="G301" s="3"/>
      <c r="H301" s="3"/>
    </row>
    <row r="302" spans="5:8">
      <c r="E302" s="3"/>
      <c r="F302" s="3"/>
      <c r="G302" s="3"/>
      <c r="H302" s="3"/>
    </row>
    <row r="303" spans="5:8">
      <c r="E303" s="3"/>
      <c r="F303" s="3"/>
      <c r="G303" s="3"/>
      <c r="H303" s="3"/>
    </row>
    <row r="304" spans="5:8">
      <c r="E304" s="3"/>
      <c r="F304" s="3"/>
      <c r="G304" s="3"/>
      <c r="H304" s="3"/>
    </row>
    <row r="305" spans="5:8">
      <c r="E305" s="3"/>
      <c r="F305" s="3"/>
      <c r="G305" s="3"/>
      <c r="H305" s="3"/>
    </row>
    <row r="306" spans="5:8">
      <c r="E306" s="3"/>
      <c r="F306" s="3"/>
      <c r="G306" s="3"/>
      <c r="H306" s="3"/>
    </row>
    <row r="307" spans="5:8">
      <c r="E307" s="3"/>
      <c r="F307" s="3"/>
      <c r="G307" s="3"/>
      <c r="H307" s="3"/>
    </row>
    <row r="308" spans="5:8">
      <c r="E308" s="3"/>
      <c r="F308" s="3"/>
      <c r="G308" s="3"/>
      <c r="H308" s="3"/>
    </row>
    <row r="309" spans="5:8">
      <c r="E309" s="3"/>
      <c r="F309" s="3"/>
      <c r="G309" s="3"/>
      <c r="H309" s="3"/>
    </row>
    <row r="310" spans="5:8">
      <c r="E310" s="3"/>
      <c r="F310" s="3"/>
      <c r="G310" s="3"/>
      <c r="H310" s="3"/>
    </row>
    <row r="311" spans="5:8">
      <c r="E311" s="3"/>
      <c r="F311" s="3"/>
      <c r="G311" s="3"/>
      <c r="H311" s="3"/>
    </row>
    <row r="312" spans="5:8">
      <c r="E312" s="3"/>
      <c r="F312" s="3"/>
      <c r="G312" s="3"/>
      <c r="H312" s="3"/>
    </row>
    <row r="313" spans="5:8">
      <c r="E313" s="3"/>
      <c r="F313" s="3"/>
      <c r="G313" s="3"/>
      <c r="H313" s="3"/>
    </row>
    <row r="314" spans="5:8">
      <c r="E314" s="3"/>
      <c r="F314" s="3"/>
      <c r="G314" s="3"/>
      <c r="H314" s="3"/>
    </row>
    <row r="315" spans="5:8">
      <c r="E315" s="3"/>
      <c r="F315" s="3"/>
      <c r="G315" s="3"/>
      <c r="H315" s="3"/>
    </row>
    <row r="316" spans="5:8">
      <c r="E316" s="3"/>
      <c r="F316" s="3"/>
      <c r="G316" s="3"/>
      <c r="H316" s="3"/>
    </row>
    <row r="317" spans="5:8">
      <c r="E317" s="3"/>
      <c r="F317" s="3"/>
      <c r="G317" s="3"/>
      <c r="H317" s="3"/>
    </row>
    <row r="318" spans="5:8">
      <c r="E318" s="3"/>
      <c r="F318" s="3"/>
      <c r="G318" s="3"/>
      <c r="H318" s="3"/>
    </row>
    <row r="319" spans="5:8">
      <c r="E319" s="3"/>
      <c r="F319" s="3"/>
      <c r="G319" s="3"/>
      <c r="H319" s="3"/>
    </row>
    <row r="320" spans="5:8">
      <c r="E320" s="3"/>
      <c r="F320" s="3"/>
      <c r="G320" s="3"/>
      <c r="H320" s="3"/>
    </row>
    <row r="321" spans="5:8">
      <c r="E321" s="3"/>
      <c r="F321" s="3"/>
      <c r="G321" s="3"/>
      <c r="H321" s="3"/>
    </row>
    <row r="322" spans="5:8">
      <c r="E322" s="3"/>
      <c r="F322" s="3"/>
      <c r="G322" s="3"/>
      <c r="H322" s="3"/>
    </row>
    <row r="323" spans="5:8">
      <c r="E323" s="3"/>
      <c r="F323" s="3"/>
      <c r="G323" s="3"/>
      <c r="H323" s="3"/>
    </row>
    <row r="324" spans="5:8">
      <c r="E324" s="3"/>
      <c r="F324" s="3"/>
      <c r="G324" s="3"/>
      <c r="H324" s="3"/>
    </row>
    <row r="325" spans="5:8">
      <c r="E325" s="3"/>
      <c r="F325" s="3"/>
      <c r="G325" s="3"/>
      <c r="H325" s="3"/>
    </row>
    <row r="326" spans="5:8">
      <c r="E326" s="3"/>
      <c r="F326" s="3"/>
      <c r="G326" s="3"/>
      <c r="H326" s="3"/>
    </row>
    <row r="327" spans="5:8">
      <c r="E327" s="3"/>
      <c r="F327" s="3"/>
      <c r="G327" s="3"/>
      <c r="H327" s="3"/>
    </row>
    <row r="328" spans="5:8">
      <c r="E328" s="3"/>
      <c r="F328" s="3"/>
      <c r="G328" s="3"/>
      <c r="H328" s="3"/>
    </row>
    <row r="329" spans="5:8">
      <c r="E329" s="3"/>
      <c r="F329" s="3"/>
      <c r="G329" s="3"/>
      <c r="H329" s="3"/>
    </row>
    <row r="330" spans="5:8">
      <c r="E330" s="3"/>
      <c r="F330" s="3"/>
      <c r="G330" s="3"/>
      <c r="H330" s="3"/>
    </row>
    <row r="331" spans="5:8">
      <c r="E331" s="3"/>
      <c r="F331" s="3"/>
      <c r="G331" s="3"/>
      <c r="H331" s="3"/>
    </row>
    <row r="332" spans="5:8">
      <c r="E332" s="3"/>
      <c r="F332" s="3"/>
      <c r="G332" s="3"/>
      <c r="H332" s="3"/>
    </row>
    <row r="333" spans="5:8">
      <c r="E333" s="3"/>
      <c r="F333" s="3"/>
      <c r="G333" s="3"/>
      <c r="H333" s="3"/>
    </row>
    <row r="334" spans="5:8">
      <c r="E334" s="3"/>
      <c r="F334" s="3"/>
      <c r="G334" s="3"/>
      <c r="H334" s="3"/>
    </row>
    <row r="335" spans="5:8">
      <c r="E335" s="3"/>
      <c r="F335" s="3"/>
      <c r="G335" s="3"/>
      <c r="H335" s="3"/>
    </row>
    <row r="336" spans="5:8">
      <c r="E336" s="3"/>
      <c r="F336" s="3"/>
      <c r="G336" s="3"/>
      <c r="H336" s="3"/>
    </row>
    <row r="337" spans="5:8">
      <c r="E337" s="3"/>
      <c r="F337" s="3"/>
      <c r="G337" s="3"/>
      <c r="H337" s="3"/>
    </row>
    <row r="338" spans="5:8">
      <c r="E338" s="3"/>
      <c r="F338" s="3"/>
      <c r="G338" s="3"/>
      <c r="H338" s="3"/>
    </row>
    <row r="339" spans="5:8">
      <c r="E339" s="3"/>
      <c r="F339" s="3"/>
      <c r="G339" s="3"/>
      <c r="H339" s="3"/>
    </row>
    <row r="340" spans="5:8">
      <c r="E340" s="3"/>
      <c r="F340" s="3"/>
      <c r="G340" s="3"/>
      <c r="H340" s="3"/>
    </row>
    <row r="341" spans="5:8">
      <c r="E341" s="3"/>
      <c r="F341" s="3"/>
      <c r="G341" s="3"/>
      <c r="H341" s="3"/>
    </row>
    <row r="342" spans="5:8">
      <c r="E342" s="3"/>
      <c r="F342" s="3"/>
      <c r="G342" s="3"/>
      <c r="H342" s="3"/>
    </row>
    <row r="343" spans="5:8">
      <c r="E343" s="3"/>
      <c r="F343" s="3"/>
      <c r="G343" s="3"/>
      <c r="H343" s="3"/>
    </row>
    <row r="344" spans="5:8">
      <c r="E344" s="3"/>
      <c r="F344" s="3"/>
      <c r="G344" s="3"/>
      <c r="H344" s="3"/>
    </row>
    <row r="345" spans="5:8">
      <c r="E345" s="3"/>
      <c r="F345" s="3"/>
      <c r="G345" s="3"/>
      <c r="H345" s="3"/>
    </row>
    <row r="346" spans="5:8">
      <c r="E346" s="3"/>
      <c r="F346" s="3"/>
      <c r="G346" s="3"/>
      <c r="H346" s="3"/>
    </row>
    <row r="347" spans="5:8">
      <c r="E347" s="3"/>
      <c r="F347" s="3"/>
      <c r="G347" s="3"/>
      <c r="H347" s="3"/>
    </row>
    <row r="348" spans="5:8">
      <c r="E348" s="3"/>
      <c r="F348" s="3"/>
      <c r="G348" s="3"/>
      <c r="H348" s="3"/>
    </row>
    <row r="349" spans="5:8">
      <c r="E349" s="3"/>
      <c r="F349" s="3"/>
      <c r="G349" s="3"/>
      <c r="H349" s="3"/>
    </row>
    <row r="350" spans="5:8">
      <c r="E350" s="3"/>
      <c r="F350" s="3"/>
      <c r="G350" s="3"/>
      <c r="H350" s="3"/>
    </row>
    <row r="351" spans="5:8">
      <c r="E351" s="3"/>
      <c r="F351" s="3"/>
      <c r="G351" s="3"/>
      <c r="H351" s="3"/>
    </row>
    <row r="352" spans="5:8">
      <c r="E352" s="3"/>
      <c r="F352" s="3"/>
      <c r="G352" s="3"/>
      <c r="H352" s="3"/>
    </row>
    <row r="353" spans="5:8">
      <c r="E353" s="3"/>
      <c r="F353" s="3"/>
      <c r="G353" s="3"/>
      <c r="H353" s="3"/>
    </row>
    <row r="354" spans="5:8">
      <c r="E354" s="3"/>
      <c r="F354" s="3"/>
      <c r="G354" s="3"/>
      <c r="H354" s="3"/>
    </row>
    <row r="355" spans="5:8">
      <c r="E355" s="3"/>
      <c r="F355" s="3"/>
      <c r="G355" s="3"/>
      <c r="H355" s="3"/>
    </row>
    <row r="356" spans="5:8">
      <c r="E356" s="3"/>
      <c r="F356" s="3"/>
      <c r="G356" s="3"/>
      <c r="H356" s="3"/>
    </row>
    <row r="357" spans="5:8">
      <c r="E357" s="3"/>
      <c r="F357" s="3"/>
      <c r="G357" s="3"/>
      <c r="H357" s="3"/>
    </row>
    <row r="358" spans="5:8">
      <c r="E358" s="3"/>
      <c r="F358" s="3"/>
      <c r="G358" s="3"/>
      <c r="H358" s="3"/>
    </row>
    <row r="359" spans="5:8">
      <c r="E359" s="3"/>
      <c r="F359" s="3"/>
      <c r="G359" s="3"/>
      <c r="H359" s="3"/>
    </row>
    <row r="360" spans="5:8">
      <c r="E360" s="3"/>
      <c r="F360" s="3"/>
      <c r="G360" s="3"/>
      <c r="H360" s="3"/>
    </row>
    <row r="361" spans="5:8">
      <c r="E361" s="3"/>
      <c r="F361" s="3"/>
      <c r="G361" s="3"/>
      <c r="H361" s="3"/>
    </row>
    <row r="362" spans="5:8">
      <c r="E362" s="3"/>
      <c r="F362" s="3"/>
      <c r="G362" s="3"/>
      <c r="H362" s="3"/>
    </row>
    <row r="363" spans="5:8">
      <c r="E363" s="3"/>
      <c r="F363" s="3"/>
      <c r="G363" s="3"/>
      <c r="H363" s="3"/>
    </row>
    <row r="364" spans="5:8">
      <c r="E364" s="3"/>
      <c r="F364" s="3"/>
      <c r="G364" s="3"/>
      <c r="H364" s="3"/>
    </row>
    <row r="365" spans="5:8">
      <c r="E365" s="3"/>
      <c r="F365" s="3"/>
      <c r="G365" s="3"/>
      <c r="H365" s="3"/>
    </row>
    <row r="366" spans="5:8">
      <c r="E366" s="3"/>
      <c r="F366" s="3"/>
      <c r="G366" s="3"/>
      <c r="H366" s="3"/>
    </row>
    <row r="367" spans="5:8">
      <c r="E367" s="3"/>
      <c r="F367" s="3"/>
      <c r="G367" s="3"/>
      <c r="H367" s="3"/>
    </row>
    <row r="368" spans="5:8">
      <c r="E368" s="3"/>
      <c r="F368" s="3"/>
      <c r="G368" s="3"/>
      <c r="H368" s="3"/>
    </row>
    <row r="369" spans="5:8">
      <c r="E369" s="3"/>
      <c r="F369" s="3"/>
      <c r="G369" s="3"/>
      <c r="H369" s="3"/>
    </row>
    <row r="370" spans="5:8">
      <c r="E370" s="3"/>
      <c r="F370" s="3"/>
      <c r="G370" s="3"/>
      <c r="H370" s="3"/>
    </row>
    <row r="371" spans="5:8">
      <c r="E371" s="3"/>
      <c r="F371" s="3"/>
      <c r="G371" s="3"/>
      <c r="H371" s="3"/>
    </row>
    <row r="372" spans="5:8">
      <c r="E372" s="3"/>
      <c r="F372" s="3"/>
      <c r="G372" s="3"/>
      <c r="H372" s="3"/>
    </row>
    <row r="373" spans="5:8">
      <c r="E373" s="3"/>
      <c r="F373" s="3"/>
      <c r="G373" s="3"/>
      <c r="H373" s="3"/>
    </row>
    <row r="374" spans="5:8">
      <c r="E374" s="3"/>
      <c r="F374" s="3"/>
      <c r="G374" s="3"/>
      <c r="H374" s="3"/>
    </row>
    <row r="375" spans="5:8">
      <c r="E375" s="3"/>
      <c r="F375" s="3"/>
      <c r="G375" s="3"/>
      <c r="H375" s="3"/>
    </row>
    <row r="376" spans="5:8">
      <c r="E376" s="3"/>
      <c r="F376" s="3"/>
      <c r="G376" s="3"/>
      <c r="H376" s="3"/>
    </row>
    <row r="377" spans="5:8">
      <c r="E377" s="3"/>
      <c r="F377" s="3"/>
      <c r="G377" s="3"/>
      <c r="H377" s="3"/>
    </row>
    <row r="378" spans="5:8">
      <c r="E378" s="3"/>
      <c r="F378" s="3"/>
      <c r="G378" s="3"/>
      <c r="H378" s="3"/>
    </row>
    <row r="379" spans="5:8">
      <c r="E379" s="3"/>
      <c r="F379" s="3"/>
      <c r="G379" s="3"/>
      <c r="H379" s="3"/>
    </row>
    <row r="380" spans="5:8">
      <c r="E380" s="3"/>
      <c r="F380" s="3"/>
      <c r="G380" s="3"/>
      <c r="H380" s="3"/>
    </row>
    <row r="381" spans="5:8">
      <c r="E381" s="3"/>
      <c r="F381" s="3"/>
      <c r="G381" s="3"/>
      <c r="H381" s="3"/>
    </row>
    <row r="382" spans="5:8">
      <c r="E382" s="3"/>
      <c r="F382" s="3"/>
      <c r="G382" s="3"/>
      <c r="H382" s="3"/>
    </row>
    <row r="383" spans="5:8">
      <c r="E383" s="3"/>
      <c r="F383" s="3"/>
      <c r="G383" s="3"/>
      <c r="H383" s="3"/>
    </row>
    <row r="384" spans="5:8">
      <c r="E384" s="3"/>
      <c r="F384" s="3"/>
      <c r="G384" s="3"/>
      <c r="H384" s="3"/>
    </row>
    <row r="385" spans="5:8">
      <c r="E385" s="3"/>
      <c r="F385" s="3"/>
      <c r="G385" s="3"/>
      <c r="H385" s="3"/>
    </row>
    <row r="386" spans="5:8">
      <c r="E386" s="3"/>
      <c r="F386" s="3"/>
      <c r="G386" s="3"/>
      <c r="H386" s="3"/>
    </row>
    <row r="387" spans="5:8">
      <c r="E387" s="3"/>
      <c r="F387" s="3"/>
      <c r="G387" s="3"/>
      <c r="H387" s="3"/>
    </row>
    <row r="388" spans="5:8">
      <c r="E388" s="3"/>
      <c r="F388" s="3"/>
      <c r="G388" s="3"/>
      <c r="H388" s="3"/>
    </row>
    <row r="389" spans="5:8">
      <c r="E389" s="3"/>
      <c r="F389" s="3"/>
      <c r="G389" s="3"/>
      <c r="H389" s="3"/>
    </row>
    <row r="390" spans="5:8">
      <c r="E390" s="3"/>
      <c r="F390" s="3"/>
      <c r="G390" s="3"/>
      <c r="H390" s="3"/>
    </row>
    <row r="391" spans="5:8">
      <c r="E391" s="3"/>
      <c r="F391" s="3"/>
      <c r="G391" s="3"/>
      <c r="H391" s="3"/>
    </row>
    <row r="392" spans="5:8">
      <c r="E392" s="3"/>
      <c r="F392" s="3"/>
      <c r="G392" s="3"/>
      <c r="H392" s="3"/>
    </row>
    <row r="393" spans="5:8">
      <c r="E393" s="3"/>
      <c r="F393" s="3"/>
      <c r="G393" s="3"/>
      <c r="H393" s="3"/>
    </row>
    <row r="394" spans="5:8">
      <c r="E394" s="3"/>
      <c r="F394" s="3"/>
      <c r="G394" s="3"/>
      <c r="H394" s="3"/>
    </row>
    <row r="395" spans="5:8">
      <c r="E395" s="3"/>
      <c r="F395" s="3"/>
      <c r="G395" s="3"/>
      <c r="H395" s="3"/>
    </row>
    <row r="396" spans="5:8">
      <c r="E396" s="3"/>
      <c r="F396" s="3"/>
      <c r="G396" s="3"/>
      <c r="H396" s="3"/>
    </row>
    <row r="397" spans="5:8">
      <c r="E397" s="3"/>
      <c r="F397" s="3"/>
      <c r="G397" s="3"/>
      <c r="H397" s="3"/>
    </row>
    <row r="398" spans="5:8">
      <c r="E398" s="3"/>
      <c r="F398" s="3"/>
      <c r="G398" s="3"/>
      <c r="H398" s="3"/>
    </row>
    <row r="399" spans="5:8">
      <c r="E399" s="3"/>
      <c r="F399" s="3"/>
      <c r="G399" s="3"/>
      <c r="H399" s="3"/>
    </row>
    <row r="400" spans="5:8">
      <c r="E400" s="3"/>
      <c r="F400" s="3"/>
      <c r="G400" s="3"/>
      <c r="H400" s="3"/>
    </row>
    <row r="401" spans="5:8">
      <c r="E401" s="3"/>
      <c r="F401" s="3"/>
      <c r="G401" s="3"/>
      <c r="H401" s="3"/>
    </row>
    <row r="402" spans="5:8">
      <c r="E402" s="3"/>
      <c r="F402" s="3"/>
      <c r="G402" s="3"/>
      <c r="H402" s="3"/>
    </row>
    <row r="403" spans="5:8">
      <c r="E403" s="3"/>
      <c r="F403" s="3"/>
      <c r="G403" s="3"/>
      <c r="H403" s="3"/>
    </row>
    <row r="404" spans="5:8">
      <c r="E404" s="3"/>
      <c r="F404" s="3"/>
      <c r="G404" s="3"/>
      <c r="H404" s="3"/>
    </row>
    <row r="405" spans="5:8">
      <c r="E405" s="3"/>
      <c r="F405" s="3"/>
      <c r="G405" s="3"/>
      <c r="H405" s="3"/>
    </row>
    <row r="406" spans="5:8">
      <c r="E406" s="3"/>
      <c r="F406" s="3"/>
      <c r="G406" s="3"/>
      <c r="H406" s="3"/>
    </row>
    <row r="407" spans="5:8">
      <c r="E407" s="3"/>
      <c r="F407" s="3"/>
      <c r="G407" s="3"/>
      <c r="H407" s="3"/>
    </row>
    <row r="408" spans="5:8">
      <c r="E408" s="3"/>
      <c r="F408" s="3"/>
      <c r="G408" s="3"/>
      <c r="H408" s="3"/>
    </row>
    <row r="409" spans="5:8">
      <c r="E409" s="3"/>
      <c r="F409" s="3"/>
      <c r="G409" s="3"/>
      <c r="H409" s="3"/>
    </row>
    <row r="410" spans="5:8">
      <c r="E410" s="3"/>
      <c r="F410" s="3"/>
      <c r="G410" s="3"/>
      <c r="H410" s="3"/>
    </row>
    <row r="411" spans="5:8">
      <c r="E411" s="3"/>
      <c r="F411" s="3"/>
      <c r="G411" s="3"/>
      <c r="H411" s="3"/>
    </row>
    <row r="412" spans="5:8">
      <c r="E412" s="3"/>
      <c r="F412" s="3"/>
      <c r="G412" s="3"/>
      <c r="H412" s="3"/>
    </row>
    <row r="413" spans="5:8">
      <c r="E413" s="3"/>
      <c r="F413" s="3"/>
      <c r="G413" s="3"/>
      <c r="H413" s="3"/>
    </row>
    <row r="414" spans="5:8">
      <c r="E414" s="3"/>
      <c r="F414" s="3"/>
      <c r="G414" s="3"/>
      <c r="H414" s="3"/>
    </row>
    <row r="415" spans="5:8">
      <c r="E415" s="3"/>
      <c r="F415" s="3"/>
      <c r="G415" s="3"/>
      <c r="H415" s="3"/>
    </row>
    <row r="416" spans="5:8">
      <c r="E416" s="3"/>
      <c r="F416" s="3"/>
      <c r="G416" s="3"/>
      <c r="H416" s="3"/>
    </row>
    <row r="417" spans="5:8">
      <c r="E417" s="3"/>
      <c r="F417" s="3"/>
      <c r="G417" s="3"/>
      <c r="H417" s="3"/>
    </row>
    <row r="418" spans="5:8">
      <c r="E418" s="3"/>
      <c r="F418" s="3"/>
      <c r="G418" s="3"/>
      <c r="H418" s="3"/>
    </row>
    <row r="419" spans="5:8">
      <c r="E419" s="3"/>
      <c r="F419" s="3"/>
      <c r="G419" s="3"/>
      <c r="H419" s="3"/>
    </row>
    <row r="420" spans="5:8">
      <c r="E420" s="3"/>
      <c r="F420" s="3"/>
      <c r="G420" s="3"/>
      <c r="H420" s="3"/>
    </row>
    <row r="421" spans="5:8">
      <c r="E421" s="3"/>
      <c r="F421" s="3"/>
      <c r="G421" s="3"/>
      <c r="H421" s="3"/>
    </row>
    <row r="422" spans="5:8">
      <c r="E422" s="3"/>
      <c r="F422" s="3"/>
      <c r="G422" s="3"/>
      <c r="H422" s="3"/>
    </row>
    <row r="423" spans="5:8">
      <c r="E423" s="3"/>
      <c r="F423" s="3"/>
      <c r="G423" s="3"/>
      <c r="H423" s="3"/>
    </row>
    <row r="424" spans="5:8">
      <c r="E424" s="3"/>
      <c r="F424" s="3"/>
      <c r="G424" s="3"/>
      <c r="H424" s="3"/>
    </row>
    <row r="425" spans="5:8">
      <c r="E425" s="3"/>
      <c r="F425" s="3"/>
      <c r="G425" s="3"/>
      <c r="H425" s="3"/>
    </row>
    <row r="426" spans="5:8">
      <c r="E426" s="3"/>
      <c r="F426" s="3"/>
      <c r="G426" s="3"/>
      <c r="H426" s="3"/>
    </row>
    <row r="427" spans="5:8">
      <c r="E427" s="3"/>
      <c r="F427" s="3"/>
      <c r="G427" s="3"/>
      <c r="H427" s="3"/>
    </row>
    <row r="428" spans="5:8">
      <c r="E428" s="3"/>
      <c r="F428" s="3"/>
      <c r="G428" s="3"/>
      <c r="H428" s="3"/>
    </row>
    <row r="429" spans="5:8">
      <c r="E429" s="3"/>
      <c r="F429" s="3"/>
      <c r="G429" s="3"/>
      <c r="H429" s="3"/>
    </row>
    <row r="430" spans="5:8">
      <c r="E430" s="3"/>
      <c r="F430" s="3"/>
      <c r="G430" s="3"/>
      <c r="H430" s="3"/>
    </row>
    <row r="431" spans="5:8">
      <c r="E431" s="3"/>
      <c r="F431" s="3"/>
      <c r="G431" s="3"/>
      <c r="H431" s="3"/>
    </row>
    <row r="432" spans="5:8">
      <c r="E432" s="3"/>
      <c r="F432" s="3"/>
      <c r="G432" s="3"/>
      <c r="H432" s="3"/>
    </row>
    <row r="433" spans="5:8">
      <c r="E433" s="3"/>
      <c r="F433" s="3"/>
      <c r="G433" s="3"/>
      <c r="H433" s="3"/>
    </row>
    <row r="434" spans="5:8">
      <c r="E434" s="3"/>
      <c r="F434" s="3"/>
      <c r="G434" s="3"/>
      <c r="H434" s="3"/>
    </row>
    <row r="435" spans="5:8">
      <c r="E435" s="3"/>
      <c r="F435" s="3"/>
      <c r="G435" s="3"/>
      <c r="H435" s="3"/>
    </row>
    <row r="436" spans="5:8">
      <c r="E436" s="3"/>
      <c r="F436" s="3"/>
      <c r="G436" s="3"/>
      <c r="H436" s="3"/>
    </row>
    <row r="437" spans="5:8">
      <c r="E437" s="3"/>
      <c r="F437" s="3"/>
      <c r="G437" s="3"/>
      <c r="H437" s="3"/>
    </row>
    <row r="438" spans="5:8">
      <c r="E438" s="3"/>
      <c r="F438" s="3"/>
      <c r="G438" s="3"/>
      <c r="H438" s="3"/>
    </row>
    <row r="439" spans="5:8">
      <c r="E439" s="3"/>
      <c r="F439" s="3"/>
      <c r="G439" s="3"/>
      <c r="H439" s="3"/>
    </row>
    <row r="440" spans="5:8">
      <c r="E440" s="3"/>
      <c r="F440" s="3"/>
      <c r="G440" s="3"/>
      <c r="H440" s="3"/>
    </row>
    <row r="441" spans="5:8">
      <c r="E441" s="3"/>
      <c r="F441" s="3"/>
      <c r="G441" s="3"/>
      <c r="H441" s="3"/>
    </row>
    <row r="442" spans="5:8">
      <c r="E442" s="3"/>
      <c r="F442" s="3"/>
      <c r="G442" s="3"/>
      <c r="H442" s="3"/>
    </row>
    <row r="443" spans="5:8">
      <c r="E443" s="3"/>
      <c r="F443" s="3"/>
      <c r="G443" s="3"/>
      <c r="H443" s="3"/>
    </row>
    <row r="444" spans="5:8">
      <c r="E444" s="3"/>
      <c r="F444" s="3"/>
      <c r="G444" s="3"/>
      <c r="H444" s="3"/>
    </row>
    <row r="445" spans="5:8">
      <c r="E445" s="3"/>
      <c r="F445" s="3"/>
      <c r="G445" s="3"/>
      <c r="H445" s="3"/>
    </row>
    <row r="446" spans="5:8">
      <c r="E446" s="3"/>
      <c r="F446" s="3"/>
      <c r="G446" s="3"/>
      <c r="H446" s="3"/>
    </row>
    <row r="447" spans="5:8">
      <c r="E447" s="3"/>
      <c r="F447" s="3"/>
      <c r="G447" s="3"/>
      <c r="H447" s="3"/>
    </row>
    <row r="448" spans="5:8">
      <c r="E448" s="3"/>
      <c r="F448" s="3"/>
      <c r="G448" s="3"/>
      <c r="H448" s="3"/>
    </row>
    <row r="449" spans="5:8">
      <c r="E449" s="3"/>
      <c r="F449" s="3"/>
      <c r="G449" s="3"/>
      <c r="H449" s="3"/>
    </row>
    <row r="450" spans="5:8">
      <c r="E450" s="3"/>
      <c r="F450" s="3"/>
      <c r="G450" s="3"/>
      <c r="H450" s="3"/>
    </row>
    <row r="451" spans="5:8">
      <c r="E451" s="3"/>
      <c r="F451" s="3"/>
      <c r="G451" s="3"/>
      <c r="H451" s="3"/>
    </row>
    <row r="452" spans="5:8">
      <c r="E452" s="3"/>
      <c r="F452" s="3"/>
      <c r="G452" s="3"/>
      <c r="H452" s="3"/>
    </row>
    <row r="453" spans="5:8">
      <c r="E453" s="3"/>
      <c r="F453" s="3"/>
      <c r="G453" s="3"/>
      <c r="H453" s="3"/>
    </row>
    <row r="454" spans="5:8">
      <c r="E454" s="3"/>
      <c r="F454" s="3"/>
      <c r="G454" s="3"/>
      <c r="H454" s="3"/>
    </row>
    <row r="455" spans="5:8">
      <c r="E455" s="3"/>
      <c r="F455" s="3"/>
      <c r="G455" s="3"/>
      <c r="H455" s="3"/>
    </row>
    <row r="456" spans="5:8">
      <c r="E456" s="3"/>
      <c r="F456" s="3"/>
      <c r="G456" s="3"/>
      <c r="H456" s="3"/>
    </row>
    <row r="457" spans="5:8">
      <c r="E457" s="3"/>
      <c r="F457" s="3"/>
      <c r="G457" s="3"/>
      <c r="H457" s="3"/>
    </row>
    <row r="458" spans="5:8">
      <c r="E458" s="3"/>
      <c r="F458" s="3"/>
      <c r="G458" s="3"/>
      <c r="H458" s="3"/>
    </row>
    <row r="459" spans="5:8">
      <c r="E459" s="3"/>
      <c r="F459" s="3"/>
      <c r="G459" s="3"/>
      <c r="H459" s="3"/>
    </row>
    <row r="460" spans="5:8">
      <c r="E460" s="3"/>
      <c r="F460" s="3"/>
      <c r="G460" s="3"/>
      <c r="H460" s="3"/>
    </row>
    <row r="461" spans="5:8">
      <c r="E461" s="3"/>
      <c r="F461" s="3"/>
      <c r="G461" s="3"/>
      <c r="H461" s="3"/>
    </row>
    <row r="462" spans="5:8">
      <c r="E462" s="3"/>
      <c r="F462" s="3"/>
      <c r="G462" s="3"/>
      <c r="H462" s="3"/>
    </row>
    <row r="463" spans="5:8">
      <c r="E463" s="3"/>
      <c r="F463" s="3"/>
      <c r="G463" s="3"/>
      <c r="H463" s="3"/>
    </row>
    <row r="464" spans="5:8">
      <c r="E464" s="3"/>
      <c r="F464" s="3"/>
      <c r="G464" s="3"/>
      <c r="H464" s="3"/>
    </row>
    <row r="465" spans="5:8">
      <c r="E465" s="3"/>
      <c r="F465" s="3"/>
      <c r="G465" s="3"/>
      <c r="H465" s="3"/>
    </row>
    <row r="466" spans="5:8">
      <c r="E466" s="3"/>
      <c r="F466" s="3"/>
      <c r="G466" s="3"/>
      <c r="H466" s="3"/>
    </row>
    <row r="467" spans="5:8">
      <c r="E467" s="3"/>
      <c r="F467" s="3"/>
      <c r="G467" s="3"/>
      <c r="H467" s="3"/>
    </row>
    <row r="468" spans="5:8">
      <c r="E468" s="3"/>
      <c r="F468" s="3"/>
      <c r="G468" s="3"/>
      <c r="H468" s="3"/>
    </row>
    <row r="469" spans="5:8">
      <c r="E469" s="3"/>
      <c r="F469" s="3"/>
      <c r="G469" s="3"/>
      <c r="H469" s="3"/>
    </row>
    <row r="470" spans="5:8">
      <c r="E470" s="3"/>
      <c r="F470" s="3"/>
      <c r="G470" s="3"/>
      <c r="H470" s="3"/>
    </row>
    <row r="471" spans="5:8">
      <c r="E471" s="3"/>
      <c r="F471" s="3"/>
      <c r="G471" s="3"/>
      <c r="H471" s="3"/>
    </row>
    <row r="472" spans="5:8">
      <c r="E472" s="3"/>
      <c r="F472" s="3"/>
      <c r="G472" s="3"/>
      <c r="H472" s="3"/>
    </row>
    <row r="473" spans="5:8">
      <c r="E473" s="3"/>
      <c r="F473" s="3"/>
      <c r="G473" s="3"/>
      <c r="H473" s="3"/>
    </row>
    <row r="474" spans="5:8">
      <c r="E474" s="3"/>
      <c r="F474" s="3"/>
      <c r="G474" s="3"/>
      <c r="H474" s="3"/>
    </row>
    <row r="475" spans="5:8">
      <c r="E475" s="3"/>
      <c r="F475" s="3"/>
      <c r="G475" s="3"/>
      <c r="H475" s="3"/>
    </row>
    <row r="476" spans="5:8">
      <c r="E476" s="3"/>
      <c r="F476" s="3"/>
      <c r="G476" s="3"/>
      <c r="H476" s="3"/>
    </row>
    <row r="477" spans="5:8">
      <c r="E477" s="3"/>
      <c r="F477" s="3"/>
      <c r="G477" s="3"/>
      <c r="H477" s="3"/>
    </row>
    <row r="478" spans="5:8">
      <c r="E478" s="3"/>
      <c r="F478" s="3"/>
      <c r="G478" s="3"/>
      <c r="H478" s="3"/>
    </row>
    <row r="479" spans="5:8">
      <c r="E479" s="3"/>
      <c r="F479" s="3"/>
      <c r="G479" s="3"/>
      <c r="H479" s="3"/>
    </row>
    <row r="480" spans="5:8">
      <c r="E480" s="3"/>
      <c r="F480" s="3"/>
      <c r="G480" s="3"/>
      <c r="H480" s="3"/>
    </row>
    <row r="481" spans="5:8">
      <c r="E481" s="3"/>
      <c r="F481" s="3"/>
      <c r="G481" s="3"/>
      <c r="H481" s="3"/>
    </row>
    <row r="482" spans="5:8">
      <c r="E482" s="3"/>
      <c r="F482" s="3"/>
      <c r="G482" s="3"/>
      <c r="H482" s="3"/>
    </row>
    <row r="483" spans="5:8">
      <c r="E483" s="3"/>
      <c r="F483" s="3"/>
      <c r="G483" s="3"/>
      <c r="H483" s="3"/>
    </row>
    <row r="484" spans="5:8">
      <c r="E484" s="3"/>
      <c r="F484" s="3"/>
      <c r="G484" s="3"/>
      <c r="H484" s="3"/>
    </row>
    <row r="485" spans="5:8">
      <c r="E485" s="3"/>
      <c r="F485" s="3"/>
      <c r="G485" s="3"/>
      <c r="H485" s="3"/>
    </row>
    <row r="486" spans="5:8">
      <c r="E486" s="3"/>
      <c r="F486" s="3"/>
      <c r="G486" s="3"/>
      <c r="H486" s="3"/>
    </row>
    <row r="487" spans="5:8">
      <c r="E487" s="3"/>
      <c r="F487" s="3"/>
      <c r="G487" s="3"/>
      <c r="H487" s="3"/>
    </row>
    <row r="488" spans="5:8">
      <c r="E488" s="3"/>
      <c r="F488" s="3"/>
      <c r="G488" s="3"/>
      <c r="H488" s="3"/>
    </row>
    <row r="489" spans="5:8">
      <c r="E489" s="3"/>
      <c r="F489" s="3"/>
      <c r="G489" s="3"/>
      <c r="H489" s="3"/>
    </row>
  </sheetData>
  <mergeCells count="13">
    <mergeCell ref="U7:W7"/>
    <mergeCell ref="A119:D119"/>
    <mergeCell ref="A121:D121"/>
    <mergeCell ref="A1:W1"/>
    <mergeCell ref="A2:W2"/>
    <mergeCell ref="A3:W3"/>
    <mergeCell ref="E5:G7"/>
    <mergeCell ref="H5:H7"/>
    <mergeCell ref="I5:W6"/>
    <mergeCell ref="I7:K7"/>
    <mergeCell ref="L7:N7"/>
    <mergeCell ref="O7:Q7"/>
    <mergeCell ref="R7:T7"/>
  </mergeCells>
  <printOptions horizontalCentered="1"/>
  <pageMargins left="0.27" right="0.27" top="0.4" bottom="0.4" header="0.2" footer="0.24"/>
  <pageSetup paperSize="5" scale="45" fitToHeight="2" orientation="landscape" r:id="rId1"/>
  <headerFooter alignWithMargins="0">
    <oddFooter>&amp;R&amp;D &amp;T</oddFooter>
  </headerFooter>
  <rowBreaks count="1" manualBreakCount="1">
    <brk id="63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DOJ Pre-pass Appeal</vt:lpstr>
      <vt:lpstr>GROUP</vt:lpstr>
      <vt:lpstr>side-by-side</vt:lpstr>
      <vt:lpstr>Offsets</vt:lpstr>
      <vt:lpstr>Sheet3</vt:lpstr>
      <vt:lpstr>President's Budget</vt:lpstr>
      <vt:lpstr>'DOJ Pre-pass Appeal'!Print_Area</vt:lpstr>
      <vt:lpstr>GROUP!Print_Area</vt:lpstr>
      <vt:lpstr>'President''s Budget'!Print_Area</vt:lpstr>
      <vt:lpstr>'side-by-side'!Print_Area</vt:lpstr>
      <vt:lpstr>'DOJ Pre-pass Appeal'!Print_Titles</vt:lpstr>
      <vt:lpstr>'President''s Budget'!Print_Titles</vt:lpstr>
      <vt:lpstr>'side-by-side'!Print_Titles</vt:lpstr>
    </vt:vector>
  </TitlesOfParts>
  <Company>JMD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okennedy</dc:creator>
  <cp:lastModifiedBy>debjones</cp:lastModifiedBy>
  <cp:lastPrinted>2011-02-09T19:28:22Z</cp:lastPrinted>
  <dcterms:created xsi:type="dcterms:W3CDTF">2008-12-19T20:04:53Z</dcterms:created>
  <dcterms:modified xsi:type="dcterms:W3CDTF">2011-02-10T17:57:45Z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