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0" yWindow="-120" windowWidth="15480" windowHeight="8310" tabRatio="889"/>
  </bookViews>
  <sheets>
    <sheet name="A. Organization Chart" sheetId="1" r:id="rId1"/>
    <sheet name="B. Summary of Requirements_S&amp;E " sheetId="2" r:id="rId2"/>
    <sheet name="B. Summary of Requirements_Cons" sheetId="3" r:id="rId3"/>
    <sheet name="C. Increases Offsets" sheetId="4" r:id="rId4"/>
    <sheet name="D. Strategic Goals &amp; Objectives" sheetId="5" r:id="rId5"/>
    <sheet name="E. ATB Justification" sheetId="6" r:id="rId6"/>
    <sheet name="F. 2010 Crosswalk_S&amp;E" sheetId="7" r:id="rId7"/>
    <sheet name="F. 2010 Crosswalk_Const" sheetId="8" r:id="rId8"/>
    <sheet name="G. 2011 Crosswalk_S&amp;E" sheetId="9" r:id="rId9"/>
    <sheet name="G. 2011 Crosswalk_Const" sheetId="10" r:id="rId10"/>
    <sheet name="H. Reimbursable Resources" sheetId="11" r:id="rId11"/>
    <sheet name="I. Permanent Positions" sheetId="12" r:id="rId12"/>
    <sheet name="J.  Financial Analysis" sheetId="13" r:id="rId13"/>
    <sheet name="K. Summary by Grade" sheetId="14" r:id="rId14"/>
    <sheet name="L. Summary by Object Class_S&amp;E" sheetId="15" r:id="rId15"/>
    <sheet name="L. Summary by Object Class_ Con" sheetId="16" r:id="rId16"/>
    <sheet name="(N-2) Domestic Agent" sheetId="19" state="hidden" r:id="rId17"/>
    <sheet name="(N-3) Domestic Attorney" sheetId="20" state="hidden" r:id="rId18"/>
    <sheet name="(N-4) Domestic Prof Sup" sheetId="21" state="hidden" r:id="rId19"/>
    <sheet name="(N-5) Domestic Clerical" sheetId="22" state="hidden" r:id="rId20"/>
    <sheet name="(P) IT" sheetId="23" state="hidden" r:id="rId21"/>
    <sheet name="Sheet3" sheetId="24" r:id="rId22"/>
  </sheets>
  <externalReferences>
    <externalReference r:id="rId23"/>
    <externalReference r:id="rId24"/>
    <externalReference r:id="rId25"/>
  </externalReferences>
  <definedNames>
    <definedName name="_10GA_ROLLUP" localSheetId="15">#REF!</definedName>
    <definedName name="_11GA_ROLLUP" localSheetId="7">#REF!</definedName>
    <definedName name="_11GA_ROLLUP" localSheetId="9">#REF!</definedName>
    <definedName name="_11GA_ROLLUP" localSheetId="10">#REF!</definedName>
    <definedName name="_11GA_ROLLUP">#REF!</definedName>
    <definedName name="_11POS_BY_CAT" localSheetId="2">#REF!</definedName>
    <definedName name="_11POS_BY_CAT" localSheetId="7">#REF!</definedName>
    <definedName name="_11POS_BY_CAT" localSheetId="9">#REF!</definedName>
    <definedName name="_11POS_BY_CAT" localSheetId="10">#REF!</definedName>
    <definedName name="_11POS_BY_CAT" localSheetId="15">#REF!</definedName>
    <definedName name="_11POS_BY_CAT">#REF!</definedName>
    <definedName name="_12POS_BY_CAT" localSheetId="3">#REF!</definedName>
    <definedName name="_13POS_BY_CAT" localSheetId="10">#REF!</definedName>
    <definedName name="_14POS_BY_CAT" localSheetId="12">'[1]Summ Atty Agt'!#REF!</definedName>
    <definedName name="_15POS_BY_CAT" localSheetId="0">#REF!</definedName>
    <definedName name="_16POS_BY_CAT" localSheetId="2">#REF!</definedName>
    <definedName name="_17POS_BY_CAT" localSheetId="15">#REF!</definedName>
    <definedName name="_18POS_BY_CAT" localSheetId="7">#REF!</definedName>
    <definedName name="_18POS_BY_CAT" localSheetId="9">#REF!</definedName>
    <definedName name="_18POS_BY_CAT" localSheetId="10">#REF!</definedName>
    <definedName name="_18POS_BY_CAT">#REF!</definedName>
    <definedName name="_1ATTORNEY_SUPP" localSheetId="2">#REF!</definedName>
    <definedName name="_1ATTORNEY_SUPP" localSheetId="1">#REF!</definedName>
    <definedName name="_1ATTORNEY_SUPP" localSheetId="3">#REF!</definedName>
    <definedName name="_1ATTORNEY_SUPP">#REF!</definedName>
    <definedName name="_2ATTORNEY_SUPP" localSheetId="2">#REF!</definedName>
    <definedName name="_2ATTORNEY_SUPP" localSheetId="7">#REF!</definedName>
    <definedName name="_2ATTORNEY_SUPP" localSheetId="9">#REF!</definedName>
    <definedName name="_2ATTORNEY_SUPP" localSheetId="10">#REF!</definedName>
    <definedName name="_2ATTORNEY_SUPP" localSheetId="15">#REF!</definedName>
    <definedName name="_2ATTORNEY_SUPP">#REF!</definedName>
    <definedName name="_2GA_ROLLUP" localSheetId="10">#REF!</definedName>
    <definedName name="_3ATTORNEY_SUPP" localSheetId="12">#REF!</definedName>
    <definedName name="_3GA_ROLLUP" localSheetId="2">'B. Summary of Requirements_Cons'!#REF!</definedName>
    <definedName name="_3GA_ROLLUP" localSheetId="1">'B. Summary of Requirements_S&amp;E '!#REF!</definedName>
    <definedName name="_3GA_ROLLUP">#REF!</definedName>
    <definedName name="_4ATTORNEY_SUPP" localSheetId="7">#REF!</definedName>
    <definedName name="_4ATTORNEY_SUPP" localSheetId="9">#REF!</definedName>
    <definedName name="_4ATTORNEY_SUPP" localSheetId="10">#REF!</definedName>
    <definedName name="_4ATTORNEY_SUPP">#REF!</definedName>
    <definedName name="_4GA_ROLLUP" localSheetId="4">#REF!</definedName>
    <definedName name="_4POS_BY_CAT" localSheetId="10">#REF!</definedName>
    <definedName name="_5GA_ROLLUP" localSheetId="3">#REF!</definedName>
    <definedName name="_5POS_BY_CAT">#REF!</definedName>
    <definedName name="_6GA_ROLLUP" localSheetId="10">[2]SumReq!#REF!</definedName>
    <definedName name="_7GA_ROLLUP" localSheetId="2">#REF!</definedName>
    <definedName name="_7GA_ROLLUP" localSheetId="7">#REF!</definedName>
    <definedName name="_7GA_ROLLUP" localSheetId="9">#REF!</definedName>
    <definedName name="_7GA_ROLLUP" localSheetId="10">#REF!</definedName>
    <definedName name="_7GA_ROLLUP" localSheetId="12">'[1]Sum of Req'!#REF!</definedName>
    <definedName name="_7GA_ROLLUP" localSheetId="15">#REF!</definedName>
    <definedName name="_7GA_ROLLUP">#REF!</definedName>
    <definedName name="_8GA_ROLLUP" localSheetId="0">#REF!</definedName>
    <definedName name="_8POS_BY_CAT" localSheetId="2">#REF!</definedName>
    <definedName name="_8POS_BY_CAT" localSheetId="1">#REF!</definedName>
    <definedName name="_9GA_ROLLUP" localSheetId="2">#REF!</definedName>
    <definedName name="_9POS_BY_CAT" localSheetId="4">#REF!</definedName>
    <definedName name="_xlnm._FilterDatabase" localSheetId="20" hidden="1">'(P) IT'!$F$14:$G$14</definedName>
    <definedName name="DL" localSheetId="0">#REF!</definedName>
    <definedName name="DL" localSheetId="2">'B. Summary of Requirements_Cons'!$A$5:$X$44</definedName>
    <definedName name="DL" localSheetId="1">'B. Summary of Requirements_S&amp;E '!$A$3:$X$65</definedName>
    <definedName name="DL" localSheetId="3">#REF!</definedName>
    <definedName name="DL" localSheetId="7">#REF!</definedName>
    <definedName name="DL" localSheetId="9">#REF!</definedName>
    <definedName name="DL" localSheetId="10">#REF!</definedName>
    <definedName name="DL" localSheetId="12">#REF!</definedName>
    <definedName name="DL" localSheetId="15">#REF!</definedName>
    <definedName name="DL">#REF!</definedName>
    <definedName name="EXECSUPP" localSheetId="0">#REF!</definedName>
    <definedName name="EXECSUPP" localSheetId="2">'B. Summary of Requirements_Cons'!#REF!</definedName>
    <definedName name="EXECSUPP" localSheetId="1">'B. Summary of Requirements_S&amp;E '!#REF!</definedName>
    <definedName name="EXECSUPP" localSheetId="3">#REF!</definedName>
    <definedName name="EXECSUPP" localSheetId="4">#REF!</definedName>
    <definedName name="EXECSUPP" localSheetId="7">#REF!</definedName>
    <definedName name="EXECSUPP" localSheetId="9">#REF!</definedName>
    <definedName name="EXECSUPP" localSheetId="10">#REF!</definedName>
    <definedName name="EXECSUPP" localSheetId="12">'[1]Sum of Req'!#REF!</definedName>
    <definedName name="EXECSUPP" localSheetId="15">#REF!</definedName>
    <definedName name="EXECSUPP">#REF!</definedName>
    <definedName name="FY0711.1" localSheetId="0">#REF!</definedName>
    <definedName name="FY0711.1" localSheetId="2">#REF!</definedName>
    <definedName name="FY0711.1" localSheetId="3">#REF!</definedName>
    <definedName name="FY0711.1" localSheetId="7">#REF!</definedName>
    <definedName name="FY0711.1" localSheetId="9">#REF!</definedName>
    <definedName name="FY0711.1" localSheetId="10">#REF!</definedName>
    <definedName name="FY0711.1" localSheetId="12">#REF!</definedName>
    <definedName name="FY0711.1" localSheetId="15">#REF!</definedName>
    <definedName name="FY0711.1">#REF!</definedName>
    <definedName name="FY0711.5" localSheetId="0">#REF!</definedName>
    <definedName name="FY0711.5" localSheetId="2">#REF!</definedName>
    <definedName name="FY0711.5" localSheetId="3">#REF!</definedName>
    <definedName name="FY0711.5" localSheetId="7">#REF!</definedName>
    <definedName name="FY0711.5" localSheetId="9">#REF!</definedName>
    <definedName name="FY0711.5" localSheetId="10">#REF!</definedName>
    <definedName name="FY0711.5" localSheetId="12">#REF!</definedName>
    <definedName name="FY0711.5" localSheetId="15">#REF!</definedName>
    <definedName name="FY0711.5">#REF!</definedName>
    <definedName name="FY0712.1" localSheetId="0">#REF!</definedName>
    <definedName name="FY0712.1" localSheetId="2">#REF!</definedName>
    <definedName name="FY0712.1" localSheetId="3">#REF!</definedName>
    <definedName name="FY0712.1" localSheetId="7">#REF!</definedName>
    <definedName name="FY0712.1" localSheetId="9">#REF!</definedName>
    <definedName name="FY0712.1" localSheetId="10">#REF!</definedName>
    <definedName name="FY0712.1" localSheetId="12">#REF!</definedName>
    <definedName name="FY0712.1" localSheetId="15">#REF!</definedName>
    <definedName name="FY0712.1">#REF!</definedName>
    <definedName name="FY0721.0" localSheetId="0">#REF!</definedName>
    <definedName name="FY0721.0" localSheetId="2">#REF!</definedName>
    <definedName name="FY0721.0" localSheetId="3">#REF!</definedName>
    <definedName name="FY0721.0" localSheetId="7">#REF!</definedName>
    <definedName name="FY0721.0" localSheetId="9">#REF!</definedName>
    <definedName name="FY0721.0" localSheetId="10">#REF!</definedName>
    <definedName name="FY0721.0" localSheetId="12">#REF!</definedName>
    <definedName name="FY0721.0" localSheetId="15">#REF!</definedName>
    <definedName name="FY0721.0">#REF!</definedName>
    <definedName name="FY0722.0" localSheetId="0">#REF!</definedName>
    <definedName name="FY0722.0" localSheetId="2">#REF!</definedName>
    <definedName name="FY0722.0" localSheetId="3">#REF!</definedName>
    <definedName name="FY0722.0" localSheetId="7">#REF!</definedName>
    <definedName name="FY0722.0" localSheetId="9">#REF!</definedName>
    <definedName name="FY0722.0" localSheetId="10">#REF!</definedName>
    <definedName name="FY0722.0" localSheetId="12">#REF!</definedName>
    <definedName name="FY0722.0" localSheetId="15">#REF!</definedName>
    <definedName name="FY0722.0">#REF!</definedName>
    <definedName name="FY0723.1" localSheetId="0">#REF!</definedName>
    <definedName name="FY0723.1" localSheetId="2">#REF!</definedName>
    <definedName name="FY0723.1" localSheetId="3">#REF!</definedName>
    <definedName name="FY0723.1" localSheetId="7">#REF!</definedName>
    <definedName name="FY0723.1" localSheetId="9">#REF!</definedName>
    <definedName name="FY0723.1" localSheetId="10">#REF!</definedName>
    <definedName name="FY0723.1" localSheetId="12">#REF!</definedName>
    <definedName name="FY0723.1" localSheetId="15">#REF!</definedName>
    <definedName name="FY0723.1">#REF!</definedName>
    <definedName name="FY0723.2" localSheetId="0">#REF!</definedName>
    <definedName name="FY0723.2" localSheetId="2">#REF!</definedName>
    <definedName name="FY0723.2" localSheetId="3">#REF!</definedName>
    <definedName name="FY0723.2" localSheetId="7">#REF!</definedName>
    <definedName name="FY0723.2" localSheetId="9">#REF!</definedName>
    <definedName name="FY0723.2" localSheetId="10">#REF!</definedName>
    <definedName name="FY0723.2" localSheetId="12">#REF!</definedName>
    <definedName name="FY0723.2" localSheetId="15">#REF!</definedName>
    <definedName name="FY0723.2">#REF!</definedName>
    <definedName name="FY0723.3" localSheetId="0">#REF!</definedName>
    <definedName name="FY0723.3" localSheetId="2">#REF!</definedName>
    <definedName name="FY0723.3" localSheetId="3">#REF!</definedName>
    <definedName name="FY0723.3" localSheetId="7">#REF!</definedName>
    <definedName name="FY0723.3" localSheetId="9">#REF!</definedName>
    <definedName name="FY0723.3" localSheetId="10">#REF!</definedName>
    <definedName name="FY0723.3" localSheetId="12">#REF!</definedName>
    <definedName name="FY0723.3" localSheetId="15">#REF!</definedName>
    <definedName name="FY0723.3">#REF!</definedName>
    <definedName name="FY0724.0" localSheetId="0">#REF!</definedName>
    <definedName name="FY0724.0" localSheetId="2">#REF!</definedName>
    <definedName name="FY0724.0" localSheetId="3">#REF!</definedName>
    <definedName name="FY0724.0" localSheetId="7">#REF!</definedName>
    <definedName name="FY0724.0" localSheetId="9">#REF!</definedName>
    <definedName name="FY0724.0" localSheetId="10">#REF!</definedName>
    <definedName name="FY0724.0" localSheetId="12">#REF!</definedName>
    <definedName name="FY0724.0" localSheetId="15">#REF!</definedName>
    <definedName name="FY0724.0">#REF!</definedName>
    <definedName name="FY0725.2" localSheetId="0">#REF!</definedName>
    <definedName name="FY0725.2" localSheetId="2">#REF!</definedName>
    <definedName name="FY0725.2" localSheetId="3">#REF!</definedName>
    <definedName name="FY0725.2" localSheetId="7">#REF!</definedName>
    <definedName name="FY0725.2" localSheetId="9">#REF!</definedName>
    <definedName name="FY0725.2" localSheetId="10">#REF!</definedName>
    <definedName name="FY0725.2" localSheetId="12">#REF!</definedName>
    <definedName name="FY0725.2" localSheetId="15">#REF!</definedName>
    <definedName name="FY0725.2">#REF!</definedName>
    <definedName name="FY0725.3" localSheetId="0">#REF!</definedName>
    <definedName name="FY0725.3" localSheetId="2">#REF!</definedName>
    <definedName name="FY0725.3" localSheetId="3">#REF!</definedName>
    <definedName name="FY0725.3" localSheetId="7">#REF!</definedName>
    <definedName name="FY0725.3" localSheetId="9">#REF!</definedName>
    <definedName name="FY0725.3" localSheetId="10">#REF!</definedName>
    <definedName name="FY0725.3" localSheetId="12">#REF!</definedName>
    <definedName name="FY0725.3" localSheetId="15">#REF!</definedName>
    <definedName name="FY0725.3">#REF!</definedName>
    <definedName name="FY0725.6" localSheetId="0">#REF!</definedName>
    <definedName name="FY0725.6" localSheetId="2">#REF!</definedName>
    <definedName name="FY0725.6" localSheetId="3">#REF!</definedName>
    <definedName name="FY0725.6" localSheetId="7">#REF!</definedName>
    <definedName name="FY0725.6" localSheetId="9">#REF!</definedName>
    <definedName name="FY0725.6" localSheetId="10">#REF!</definedName>
    <definedName name="FY0725.6" localSheetId="12">#REF!</definedName>
    <definedName name="FY0725.6" localSheetId="15">#REF!</definedName>
    <definedName name="FY0725.6">#REF!</definedName>
    <definedName name="FY0726.0" localSheetId="0">#REF!</definedName>
    <definedName name="FY0726.0" localSheetId="2">#REF!</definedName>
    <definedName name="FY0726.0" localSheetId="3">#REF!</definedName>
    <definedName name="FY0726.0" localSheetId="7">#REF!</definedName>
    <definedName name="FY0726.0" localSheetId="9">#REF!</definedName>
    <definedName name="FY0726.0" localSheetId="10">#REF!</definedName>
    <definedName name="FY0726.0" localSheetId="12">#REF!</definedName>
    <definedName name="FY0726.0" localSheetId="15">#REF!</definedName>
    <definedName name="FY0726.0">#REF!</definedName>
    <definedName name="FY0731.0" localSheetId="0">#REF!</definedName>
    <definedName name="FY0731.0" localSheetId="2">#REF!</definedName>
    <definedName name="FY0731.0" localSheetId="3">#REF!</definedName>
    <definedName name="FY0731.0" localSheetId="7">#REF!</definedName>
    <definedName name="FY0731.0" localSheetId="9">#REF!</definedName>
    <definedName name="FY0731.0" localSheetId="10">#REF!</definedName>
    <definedName name="FY0731.0" localSheetId="12">#REF!</definedName>
    <definedName name="FY0731.0" localSheetId="15">#REF!</definedName>
    <definedName name="FY0731.0">#REF!</definedName>
    <definedName name="FY0732.0" localSheetId="0">#REF!</definedName>
    <definedName name="FY0732.0" localSheetId="2">#REF!</definedName>
    <definedName name="FY0732.0" localSheetId="3">#REF!</definedName>
    <definedName name="FY0732.0" localSheetId="7">#REF!</definedName>
    <definedName name="FY0732.0" localSheetId="9">#REF!</definedName>
    <definedName name="FY0732.0" localSheetId="10">#REF!</definedName>
    <definedName name="FY0732.0" localSheetId="12">#REF!</definedName>
    <definedName name="FY0732.0" localSheetId="15">#REF!</definedName>
    <definedName name="FY0732.0">#REF!</definedName>
    <definedName name="FY07Ling" localSheetId="0">#REF!</definedName>
    <definedName name="FY07Ling" localSheetId="2">#REF!</definedName>
    <definedName name="FY07Ling" localSheetId="3">#REF!</definedName>
    <definedName name="FY07Ling" localSheetId="7">#REF!</definedName>
    <definedName name="FY07Ling" localSheetId="9">#REF!</definedName>
    <definedName name="FY07Ling" localSheetId="10">#REF!</definedName>
    <definedName name="FY07Ling" localSheetId="12">#REF!</definedName>
    <definedName name="FY07Ling" localSheetId="15">#REF!</definedName>
    <definedName name="FY07Ling">#REF!</definedName>
    <definedName name="FY07Mult" localSheetId="0">#REF!</definedName>
    <definedName name="FY07Mult" localSheetId="2">#REF!</definedName>
    <definedName name="FY07Mult" localSheetId="3">#REF!</definedName>
    <definedName name="FY07Mult" localSheetId="7">#REF!</definedName>
    <definedName name="FY07Mult" localSheetId="9">#REF!</definedName>
    <definedName name="FY07Mult" localSheetId="10">#REF!</definedName>
    <definedName name="FY07Mult" localSheetId="12">#REF!</definedName>
    <definedName name="FY07Mult" localSheetId="15">#REF!</definedName>
    <definedName name="FY07Mult">#REF!</definedName>
    <definedName name="FY07PEPI" localSheetId="0">#REF!</definedName>
    <definedName name="FY07PEPI" localSheetId="2">#REF!</definedName>
    <definedName name="FY07PEPI" localSheetId="3">#REF!</definedName>
    <definedName name="FY07PEPI" localSheetId="7">#REF!</definedName>
    <definedName name="FY07PEPI" localSheetId="9">#REF!</definedName>
    <definedName name="FY07PEPI" localSheetId="10">#REF!</definedName>
    <definedName name="FY07PEPI" localSheetId="12">#REF!</definedName>
    <definedName name="FY07PEPI" localSheetId="15">#REF!</definedName>
    <definedName name="FY07PEPI">#REF!</definedName>
    <definedName name="FY07Tot" localSheetId="0">#REF!</definedName>
    <definedName name="FY07Tot" localSheetId="2">#REF!</definedName>
    <definedName name="FY07Tot" localSheetId="3">#REF!</definedName>
    <definedName name="FY07Tot" localSheetId="7">#REF!</definedName>
    <definedName name="FY07Tot" localSheetId="9">#REF!</definedName>
    <definedName name="FY07Tot" localSheetId="10">#REF!</definedName>
    <definedName name="FY07Tot" localSheetId="12">#REF!</definedName>
    <definedName name="FY07Tot" localSheetId="15">#REF!</definedName>
    <definedName name="FY07Tot">#REF!</definedName>
    <definedName name="FY07Train" localSheetId="0">#REF!</definedName>
    <definedName name="FY07Train" localSheetId="2">#REF!</definedName>
    <definedName name="FY07Train" localSheetId="3">#REF!</definedName>
    <definedName name="FY07Train" localSheetId="7">#REF!</definedName>
    <definedName name="FY07Train" localSheetId="9">#REF!</definedName>
    <definedName name="FY07Train" localSheetId="10">#REF!</definedName>
    <definedName name="FY07Train" localSheetId="12">#REF!</definedName>
    <definedName name="FY07Train" localSheetId="15">#REF!</definedName>
    <definedName name="FY07Train">#REF!</definedName>
    <definedName name="FY0811.1" localSheetId="0">#REF!</definedName>
    <definedName name="FY0811.1" localSheetId="2">#REF!</definedName>
    <definedName name="FY0811.1" localSheetId="3">#REF!</definedName>
    <definedName name="FY0811.1" localSheetId="7">#REF!</definedName>
    <definedName name="FY0811.1" localSheetId="9">#REF!</definedName>
    <definedName name="FY0811.1" localSheetId="10">#REF!</definedName>
    <definedName name="FY0811.1" localSheetId="12">#REF!</definedName>
    <definedName name="FY0811.1" localSheetId="15">#REF!</definedName>
    <definedName name="FY0811.1">#REF!</definedName>
    <definedName name="FY0811.5" localSheetId="0">#REF!</definedName>
    <definedName name="FY0811.5" localSheetId="2">#REF!</definedName>
    <definedName name="FY0811.5" localSheetId="3">#REF!</definedName>
    <definedName name="FY0811.5" localSheetId="7">#REF!</definedName>
    <definedName name="FY0811.5" localSheetId="9">#REF!</definedName>
    <definedName name="FY0811.5" localSheetId="10">#REF!</definedName>
    <definedName name="FY0811.5" localSheetId="12">#REF!</definedName>
    <definedName name="FY0811.5" localSheetId="15">#REF!</definedName>
    <definedName name="FY0811.5">#REF!</definedName>
    <definedName name="FY0812.1" localSheetId="0">#REF!</definedName>
    <definedName name="FY0812.1" localSheetId="2">#REF!</definedName>
    <definedName name="FY0812.1" localSheetId="3">#REF!</definedName>
    <definedName name="FY0812.1" localSheetId="7">#REF!</definedName>
    <definedName name="FY0812.1" localSheetId="9">#REF!</definedName>
    <definedName name="FY0812.1" localSheetId="10">#REF!</definedName>
    <definedName name="FY0812.1" localSheetId="12">#REF!</definedName>
    <definedName name="FY0812.1" localSheetId="15">#REF!</definedName>
    <definedName name="FY0812.1">#REF!</definedName>
    <definedName name="FY0821.0" localSheetId="0">#REF!</definedName>
    <definedName name="FY0821.0" localSheetId="2">#REF!</definedName>
    <definedName name="FY0821.0" localSheetId="3">#REF!</definedName>
    <definedName name="FY0821.0" localSheetId="7">#REF!</definedName>
    <definedName name="FY0821.0" localSheetId="9">#REF!</definedName>
    <definedName name="FY0821.0" localSheetId="10">#REF!</definedName>
    <definedName name="FY0821.0" localSheetId="12">#REF!</definedName>
    <definedName name="FY0821.0" localSheetId="15">#REF!</definedName>
    <definedName name="FY0821.0">#REF!</definedName>
    <definedName name="FY0822.0" localSheetId="0">#REF!</definedName>
    <definedName name="FY0822.0" localSheetId="2">#REF!</definedName>
    <definedName name="FY0822.0" localSheetId="3">#REF!</definedName>
    <definedName name="FY0822.0" localSheetId="7">#REF!</definedName>
    <definedName name="FY0822.0" localSheetId="9">#REF!</definedName>
    <definedName name="FY0822.0" localSheetId="10">#REF!</definedName>
    <definedName name="FY0822.0" localSheetId="12">#REF!</definedName>
    <definedName name="FY0822.0" localSheetId="15">#REF!</definedName>
    <definedName name="FY0822.0">#REF!</definedName>
    <definedName name="FY0823.1" localSheetId="0">#REF!</definedName>
    <definedName name="FY0823.1" localSheetId="2">#REF!</definedName>
    <definedName name="FY0823.1" localSheetId="3">#REF!</definedName>
    <definedName name="FY0823.1" localSheetId="7">#REF!</definedName>
    <definedName name="FY0823.1" localSheetId="9">#REF!</definedName>
    <definedName name="FY0823.1" localSheetId="10">#REF!</definedName>
    <definedName name="FY0823.1" localSheetId="12">#REF!</definedName>
    <definedName name="FY0823.1" localSheetId="15">#REF!</definedName>
    <definedName name="FY0823.1">#REF!</definedName>
    <definedName name="FY0823.2" localSheetId="0">#REF!</definedName>
    <definedName name="FY0823.2" localSheetId="2">#REF!</definedName>
    <definedName name="FY0823.2" localSheetId="3">#REF!</definedName>
    <definedName name="FY0823.2" localSheetId="7">#REF!</definedName>
    <definedName name="FY0823.2" localSheetId="9">#REF!</definedName>
    <definedName name="FY0823.2" localSheetId="10">#REF!</definedName>
    <definedName name="FY0823.2" localSheetId="12">#REF!</definedName>
    <definedName name="FY0823.2" localSheetId="15">#REF!</definedName>
    <definedName name="FY0823.2">#REF!</definedName>
    <definedName name="FY0823.3" localSheetId="0">#REF!</definedName>
    <definedName name="FY0823.3" localSheetId="2">#REF!</definedName>
    <definedName name="FY0823.3" localSheetId="3">#REF!</definedName>
    <definedName name="FY0823.3" localSheetId="7">#REF!</definedName>
    <definedName name="FY0823.3" localSheetId="9">#REF!</definedName>
    <definedName name="FY0823.3" localSheetId="10">#REF!</definedName>
    <definedName name="FY0823.3" localSheetId="12">#REF!</definedName>
    <definedName name="FY0823.3" localSheetId="15">#REF!</definedName>
    <definedName name="FY0823.3">#REF!</definedName>
    <definedName name="FY0824.0" localSheetId="0">#REF!</definedName>
    <definedName name="FY0824.0" localSheetId="2">#REF!</definedName>
    <definedName name="FY0824.0" localSheetId="3">#REF!</definedName>
    <definedName name="FY0824.0" localSheetId="7">#REF!</definedName>
    <definedName name="FY0824.0" localSheetId="9">#REF!</definedName>
    <definedName name="FY0824.0" localSheetId="10">#REF!</definedName>
    <definedName name="FY0824.0" localSheetId="12">#REF!</definedName>
    <definedName name="FY0824.0" localSheetId="15">#REF!</definedName>
    <definedName name="FY0824.0">#REF!</definedName>
    <definedName name="FY0825.2" localSheetId="0">#REF!</definedName>
    <definedName name="FY0825.2" localSheetId="2">#REF!</definedName>
    <definedName name="FY0825.2" localSheetId="3">#REF!</definedName>
    <definedName name="FY0825.2" localSheetId="7">#REF!</definedName>
    <definedName name="FY0825.2" localSheetId="9">#REF!</definedName>
    <definedName name="FY0825.2" localSheetId="10">#REF!</definedName>
    <definedName name="FY0825.2" localSheetId="12">#REF!</definedName>
    <definedName name="FY0825.2" localSheetId="15">#REF!</definedName>
    <definedName name="FY0825.2">#REF!</definedName>
    <definedName name="FY0825.3" localSheetId="0">#REF!</definedName>
    <definedName name="FY0825.3" localSheetId="2">#REF!</definedName>
    <definedName name="FY0825.3" localSheetId="3">#REF!</definedName>
    <definedName name="FY0825.3" localSheetId="7">#REF!</definedName>
    <definedName name="FY0825.3" localSheetId="9">#REF!</definedName>
    <definedName name="FY0825.3" localSheetId="10">#REF!</definedName>
    <definedName name="FY0825.3" localSheetId="12">#REF!</definedName>
    <definedName name="FY0825.3" localSheetId="15">#REF!</definedName>
    <definedName name="FY0825.3">#REF!</definedName>
    <definedName name="FY0825.6" localSheetId="0">#REF!</definedName>
    <definedName name="FY0825.6" localSheetId="2">#REF!</definedName>
    <definedName name="FY0825.6" localSheetId="3">#REF!</definedName>
    <definedName name="FY0825.6" localSheetId="7">#REF!</definedName>
    <definedName name="FY0825.6" localSheetId="9">#REF!</definedName>
    <definedName name="FY0825.6" localSheetId="10">#REF!</definedName>
    <definedName name="FY0825.6" localSheetId="12">#REF!</definedName>
    <definedName name="FY0825.6" localSheetId="15">#REF!</definedName>
    <definedName name="FY0825.6">#REF!</definedName>
    <definedName name="FY0826.0" localSheetId="0">#REF!</definedName>
    <definedName name="FY0826.0" localSheetId="2">#REF!</definedName>
    <definedName name="FY0826.0" localSheetId="3">#REF!</definedName>
    <definedName name="FY0826.0" localSheetId="7">#REF!</definedName>
    <definedName name="FY0826.0" localSheetId="9">#REF!</definedName>
    <definedName name="FY0826.0" localSheetId="10">#REF!</definedName>
    <definedName name="FY0826.0" localSheetId="12">#REF!</definedName>
    <definedName name="FY0826.0" localSheetId="15">#REF!</definedName>
    <definedName name="FY0826.0">#REF!</definedName>
    <definedName name="FY0831.0" localSheetId="0">#REF!</definedName>
    <definedName name="FY0831.0" localSheetId="2">#REF!</definedName>
    <definedName name="FY0831.0" localSheetId="3">#REF!</definedName>
    <definedName name="FY0831.0" localSheetId="7">#REF!</definedName>
    <definedName name="FY0831.0" localSheetId="9">#REF!</definedName>
    <definedName name="FY0831.0" localSheetId="10">#REF!</definedName>
    <definedName name="FY0831.0" localSheetId="12">#REF!</definedName>
    <definedName name="FY0831.0" localSheetId="15">#REF!</definedName>
    <definedName name="FY0831.0">#REF!</definedName>
    <definedName name="FY0832.0" localSheetId="0">#REF!</definedName>
    <definedName name="FY0832.0" localSheetId="2">#REF!</definedName>
    <definedName name="FY0832.0" localSheetId="3">#REF!</definedName>
    <definedName name="FY0832.0" localSheetId="7">#REF!</definedName>
    <definedName name="FY0832.0" localSheetId="9">#REF!</definedName>
    <definedName name="FY0832.0" localSheetId="10">#REF!</definedName>
    <definedName name="FY0832.0" localSheetId="12">#REF!</definedName>
    <definedName name="FY0832.0" localSheetId="15">#REF!</definedName>
    <definedName name="FY0832.0">#REF!</definedName>
    <definedName name="FY08Ling" localSheetId="0">#REF!</definedName>
    <definedName name="FY08Ling" localSheetId="2">#REF!</definedName>
    <definedName name="FY08Ling" localSheetId="3">#REF!</definedName>
    <definedName name="FY08Ling" localSheetId="7">#REF!</definedName>
    <definedName name="FY08Ling" localSheetId="9">#REF!</definedName>
    <definedName name="FY08Ling" localSheetId="10">#REF!</definedName>
    <definedName name="FY08Ling" localSheetId="12">#REF!</definedName>
    <definedName name="FY08Ling" localSheetId="15">#REF!</definedName>
    <definedName name="FY08Ling">#REF!</definedName>
    <definedName name="FY08Mult" localSheetId="0">#REF!</definedName>
    <definedName name="FY08Mult" localSheetId="2">#REF!</definedName>
    <definedName name="FY08Mult" localSheetId="3">#REF!</definedName>
    <definedName name="FY08Mult" localSheetId="7">#REF!</definedName>
    <definedName name="FY08Mult" localSheetId="9">#REF!</definedName>
    <definedName name="FY08Mult" localSheetId="10">#REF!</definedName>
    <definedName name="FY08Mult" localSheetId="12">#REF!</definedName>
    <definedName name="FY08Mult" localSheetId="15">#REF!</definedName>
    <definedName name="FY08Mult">#REF!</definedName>
    <definedName name="FY08PEPI" localSheetId="0">#REF!</definedName>
    <definedName name="FY08PEPI" localSheetId="2">#REF!</definedName>
    <definedName name="FY08PEPI" localSheetId="3">#REF!</definedName>
    <definedName name="FY08PEPI" localSheetId="7">#REF!</definedName>
    <definedName name="FY08PEPI" localSheetId="9">#REF!</definedName>
    <definedName name="FY08PEPI" localSheetId="10">#REF!</definedName>
    <definedName name="FY08PEPI" localSheetId="12">#REF!</definedName>
    <definedName name="FY08PEPI" localSheetId="15">#REF!</definedName>
    <definedName name="FY08PEPI">#REF!</definedName>
    <definedName name="FY08Tot" localSheetId="0">#REF!</definedName>
    <definedName name="FY08Tot" localSheetId="2">#REF!</definedName>
    <definedName name="FY08Tot" localSheetId="3">#REF!</definedName>
    <definedName name="FY08Tot" localSheetId="7">#REF!</definedName>
    <definedName name="FY08Tot" localSheetId="9">#REF!</definedName>
    <definedName name="FY08Tot" localSheetId="10">#REF!</definedName>
    <definedName name="FY08Tot" localSheetId="12">#REF!</definedName>
    <definedName name="FY08Tot" localSheetId="15">#REF!</definedName>
    <definedName name="FY08Tot">#REF!</definedName>
    <definedName name="FY08Train" localSheetId="0">#REF!</definedName>
    <definedName name="FY08Train" localSheetId="2">#REF!</definedName>
    <definedName name="FY08Train" localSheetId="3">#REF!</definedName>
    <definedName name="FY08Train" localSheetId="7">#REF!</definedName>
    <definedName name="FY08Train" localSheetId="9">#REF!</definedName>
    <definedName name="FY08Train" localSheetId="10">#REF!</definedName>
    <definedName name="FY08Train" localSheetId="12">#REF!</definedName>
    <definedName name="FY08Train" localSheetId="15">#REF!</definedName>
    <definedName name="FY08Train">#REF!</definedName>
    <definedName name="FY0911.1" localSheetId="0">#REF!</definedName>
    <definedName name="FY0911.1" localSheetId="2">#REF!</definedName>
    <definedName name="FY0911.1" localSheetId="3">#REF!</definedName>
    <definedName name="FY0911.1" localSheetId="7">#REF!</definedName>
    <definedName name="FY0911.1" localSheetId="9">#REF!</definedName>
    <definedName name="FY0911.1" localSheetId="10">#REF!</definedName>
    <definedName name="FY0911.1" localSheetId="12">#REF!</definedName>
    <definedName name="FY0911.1" localSheetId="15">#REF!</definedName>
    <definedName name="FY0911.1">#REF!</definedName>
    <definedName name="FY0911.5" localSheetId="0">#REF!</definedName>
    <definedName name="FY0911.5" localSheetId="2">#REF!</definedName>
    <definedName name="FY0911.5" localSheetId="3">#REF!</definedName>
    <definedName name="FY0911.5" localSheetId="7">#REF!</definedName>
    <definedName name="FY0911.5" localSheetId="9">#REF!</definedName>
    <definedName name="FY0911.5" localSheetId="10">#REF!</definedName>
    <definedName name="FY0911.5" localSheetId="12">#REF!</definedName>
    <definedName name="FY0911.5" localSheetId="15">#REF!</definedName>
    <definedName name="FY0911.5">#REF!</definedName>
    <definedName name="FY0912.1" localSheetId="0">#REF!</definedName>
    <definedName name="FY0912.1" localSheetId="2">#REF!</definedName>
    <definedName name="FY0912.1" localSheetId="3">#REF!</definedName>
    <definedName name="FY0912.1" localSheetId="7">#REF!</definedName>
    <definedName name="FY0912.1" localSheetId="9">#REF!</definedName>
    <definedName name="FY0912.1" localSheetId="10">#REF!</definedName>
    <definedName name="FY0912.1" localSheetId="12">#REF!</definedName>
    <definedName name="FY0912.1" localSheetId="15">#REF!</definedName>
    <definedName name="FY0912.1">#REF!</definedName>
    <definedName name="FY0921.0" localSheetId="0">#REF!</definedName>
    <definedName name="FY0921.0" localSheetId="2">#REF!</definedName>
    <definedName name="FY0921.0" localSheetId="3">#REF!</definedName>
    <definedName name="FY0921.0" localSheetId="7">#REF!</definedName>
    <definedName name="FY0921.0" localSheetId="9">#REF!</definedName>
    <definedName name="FY0921.0" localSheetId="10">#REF!</definedName>
    <definedName name="FY0921.0" localSheetId="12">#REF!</definedName>
    <definedName name="FY0921.0" localSheetId="15">#REF!</definedName>
    <definedName name="FY0921.0">#REF!</definedName>
    <definedName name="FY0922.0" localSheetId="0">#REF!</definedName>
    <definedName name="FY0922.0" localSheetId="2">#REF!</definedName>
    <definedName name="FY0922.0" localSheetId="3">#REF!</definedName>
    <definedName name="FY0922.0" localSheetId="7">#REF!</definedName>
    <definedName name="FY0922.0" localSheetId="9">#REF!</definedName>
    <definedName name="FY0922.0" localSheetId="10">#REF!</definedName>
    <definedName name="FY0922.0" localSheetId="12">#REF!</definedName>
    <definedName name="FY0922.0" localSheetId="15">#REF!</definedName>
    <definedName name="FY0922.0">#REF!</definedName>
    <definedName name="FY0923.1" localSheetId="0">#REF!</definedName>
    <definedName name="FY0923.1" localSheetId="2">#REF!</definedName>
    <definedName name="FY0923.1" localSheetId="3">#REF!</definedName>
    <definedName name="FY0923.1" localSheetId="7">#REF!</definedName>
    <definedName name="FY0923.1" localSheetId="9">#REF!</definedName>
    <definedName name="FY0923.1" localSheetId="10">#REF!</definedName>
    <definedName name="FY0923.1" localSheetId="12">#REF!</definedName>
    <definedName name="FY0923.1" localSheetId="15">#REF!</definedName>
    <definedName name="FY0923.1">#REF!</definedName>
    <definedName name="FY0923.2" localSheetId="0">#REF!</definedName>
    <definedName name="FY0923.2" localSheetId="2">#REF!</definedName>
    <definedName name="FY0923.2" localSheetId="3">#REF!</definedName>
    <definedName name="FY0923.2" localSheetId="7">#REF!</definedName>
    <definedName name="FY0923.2" localSheetId="9">#REF!</definedName>
    <definedName name="FY0923.2" localSheetId="10">#REF!</definedName>
    <definedName name="FY0923.2" localSheetId="12">#REF!</definedName>
    <definedName name="FY0923.2" localSheetId="15">#REF!</definedName>
    <definedName name="FY0923.2">#REF!</definedName>
    <definedName name="FY0923.3" localSheetId="0">#REF!</definedName>
    <definedName name="FY0923.3" localSheetId="2">#REF!</definedName>
    <definedName name="FY0923.3" localSheetId="3">#REF!</definedName>
    <definedName name="FY0923.3" localSheetId="7">#REF!</definedName>
    <definedName name="FY0923.3" localSheetId="9">#REF!</definedName>
    <definedName name="FY0923.3" localSheetId="10">#REF!</definedName>
    <definedName name="FY0923.3" localSheetId="12">#REF!</definedName>
    <definedName name="FY0923.3" localSheetId="15">#REF!</definedName>
    <definedName name="FY0923.3">#REF!</definedName>
    <definedName name="FY0924.0" localSheetId="0">#REF!</definedName>
    <definedName name="FY0924.0" localSheetId="2">#REF!</definedName>
    <definedName name="FY0924.0" localSheetId="3">#REF!</definedName>
    <definedName name="FY0924.0" localSheetId="7">#REF!</definedName>
    <definedName name="FY0924.0" localSheetId="9">#REF!</definedName>
    <definedName name="FY0924.0" localSheetId="10">#REF!</definedName>
    <definedName name="FY0924.0" localSheetId="12">#REF!</definedName>
    <definedName name="FY0924.0" localSheetId="15">#REF!</definedName>
    <definedName name="FY0924.0">#REF!</definedName>
    <definedName name="FY0925.2" localSheetId="0">#REF!</definedName>
    <definedName name="FY0925.2" localSheetId="2">#REF!</definedName>
    <definedName name="FY0925.2" localSheetId="3">#REF!</definedName>
    <definedName name="FY0925.2" localSheetId="7">#REF!</definedName>
    <definedName name="FY0925.2" localSheetId="9">#REF!</definedName>
    <definedName name="FY0925.2" localSheetId="10">#REF!</definedName>
    <definedName name="FY0925.2" localSheetId="12">#REF!</definedName>
    <definedName name="FY0925.2" localSheetId="15">#REF!</definedName>
    <definedName name="FY0925.2">#REF!</definedName>
    <definedName name="FY0925.3" localSheetId="0">#REF!</definedName>
    <definedName name="FY0925.3" localSheetId="2">#REF!</definedName>
    <definedName name="FY0925.3" localSheetId="3">#REF!</definedName>
    <definedName name="FY0925.3" localSheetId="7">#REF!</definedName>
    <definedName name="FY0925.3" localSheetId="9">#REF!</definedName>
    <definedName name="FY0925.3" localSheetId="10">#REF!</definedName>
    <definedName name="FY0925.3" localSheetId="12">#REF!</definedName>
    <definedName name="FY0925.3" localSheetId="15">#REF!</definedName>
    <definedName name="FY0925.3">#REF!</definedName>
    <definedName name="FY0925.6" localSheetId="0">#REF!</definedName>
    <definedName name="FY0925.6" localSheetId="2">#REF!</definedName>
    <definedName name="FY0925.6" localSheetId="3">#REF!</definedName>
    <definedName name="FY0925.6" localSheetId="7">#REF!</definedName>
    <definedName name="FY0925.6" localSheetId="9">#REF!</definedName>
    <definedName name="FY0925.6" localSheetId="10">#REF!</definedName>
    <definedName name="FY0925.6" localSheetId="12">#REF!</definedName>
    <definedName name="FY0925.6" localSheetId="15">#REF!</definedName>
    <definedName name="FY0925.6">#REF!</definedName>
    <definedName name="FY0926.0" localSheetId="0">#REF!</definedName>
    <definedName name="FY0926.0" localSheetId="2">#REF!</definedName>
    <definedName name="FY0926.0" localSheetId="3">#REF!</definedName>
    <definedName name="FY0926.0" localSheetId="7">#REF!</definedName>
    <definedName name="FY0926.0" localSheetId="9">#REF!</definedName>
    <definedName name="FY0926.0" localSheetId="10">#REF!</definedName>
    <definedName name="FY0926.0" localSheetId="12">#REF!</definedName>
    <definedName name="FY0926.0" localSheetId="15">#REF!</definedName>
    <definedName name="FY0926.0">#REF!</definedName>
    <definedName name="FY0931.0" localSheetId="0">#REF!</definedName>
    <definedName name="FY0931.0" localSheetId="2">#REF!</definedName>
    <definedName name="FY0931.0" localSheetId="3">#REF!</definedName>
    <definedName name="FY0931.0" localSheetId="7">#REF!</definedName>
    <definedName name="FY0931.0" localSheetId="9">#REF!</definedName>
    <definedName name="FY0931.0" localSheetId="10">#REF!</definedName>
    <definedName name="FY0931.0" localSheetId="12">#REF!</definedName>
    <definedName name="FY0931.0" localSheetId="15">#REF!</definedName>
    <definedName name="FY0931.0">#REF!</definedName>
    <definedName name="FY0932.0" localSheetId="0">#REF!</definedName>
    <definedName name="FY0932.0" localSheetId="2">#REF!</definedName>
    <definedName name="FY0932.0" localSheetId="3">#REF!</definedName>
    <definedName name="FY0932.0" localSheetId="7">#REF!</definedName>
    <definedName name="FY0932.0" localSheetId="9">#REF!</definedName>
    <definedName name="FY0932.0" localSheetId="10">#REF!</definedName>
    <definedName name="FY0932.0" localSheetId="12">#REF!</definedName>
    <definedName name="FY0932.0" localSheetId="15">#REF!</definedName>
    <definedName name="FY0932.0">#REF!</definedName>
    <definedName name="FY09Ling" localSheetId="0">#REF!</definedName>
    <definedName name="FY09Ling" localSheetId="2">#REF!</definedName>
    <definedName name="FY09Ling" localSheetId="3">#REF!</definedName>
    <definedName name="FY09Ling" localSheetId="7">#REF!</definedName>
    <definedName name="FY09Ling" localSheetId="9">#REF!</definedName>
    <definedName name="FY09Ling" localSheetId="10">#REF!</definedName>
    <definedName name="FY09Ling" localSheetId="12">#REF!</definedName>
    <definedName name="FY09Ling" localSheetId="15">#REF!</definedName>
    <definedName name="FY09Ling">#REF!</definedName>
    <definedName name="FY09Mult" localSheetId="0">#REF!</definedName>
    <definedName name="FY09Mult" localSheetId="2">#REF!</definedName>
    <definedName name="FY09Mult" localSheetId="3">#REF!</definedName>
    <definedName name="FY09Mult" localSheetId="7">#REF!</definedName>
    <definedName name="FY09Mult" localSheetId="9">#REF!</definedName>
    <definedName name="FY09Mult" localSheetId="10">#REF!</definedName>
    <definedName name="FY09Mult" localSheetId="12">#REF!</definedName>
    <definedName name="FY09Mult" localSheetId="15">#REF!</definedName>
    <definedName name="FY09Mult">#REF!</definedName>
    <definedName name="FY09PEPI" localSheetId="0">#REF!</definedName>
    <definedName name="FY09PEPI" localSheetId="2">#REF!</definedName>
    <definedName name="FY09PEPI" localSheetId="3">#REF!</definedName>
    <definedName name="FY09PEPI" localSheetId="7">#REF!</definedName>
    <definedName name="FY09PEPI" localSheetId="9">#REF!</definedName>
    <definedName name="FY09PEPI" localSheetId="10">#REF!</definedName>
    <definedName name="FY09PEPI" localSheetId="12">#REF!</definedName>
    <definedName name="FY09PEPI" localSheetId="15">#REF!</definedName>
    <definedName name="FY09PEPI">#REF!</definedName>
    <definedName name="FY09Tot" localSheetId="0">#REF!</definedName>
    <definedName name="FY09Tot" localSheetId="2">#REF!</definedName>
    <definedName name="FY09Tot" localSheetId="3">#REF!</definedName>
    <definedName name="FY09Tot" localSheetId="7">#REF!</definedName>
    <definedName name="FY09Tot" localSheetId="9">#REF!</definedName>
    <definedName name="FY09Tot" localSheetId="10">#REF!</definedName>
    <definedName name="FY09Tot" localSheetId="12">#REF!</definedName>
    <definedName name="FY09Tot" localSheetId="15">#REF!</definedName>
    <definedName name="FY09Tot">#REF!</definedName>
    <definedName name="FY09Train" localSheetId="0">#REF!</definedName>
    <definedName name="FY09Train" localSheetId="2">#REF!</definedName>
    <definedName name="FY09Train" localSheetId="3">#REF!</definedName>
    <definedName name="FY09Train" localSheetId="7">#REF!</definedName>
    <definedName name="FY09Train" localSheetId="9">#REF!</definedName>
    <definedName name="FY09Train" localSheetId="10">#REF!</definedName>
    <definedName name="FY09Train" localSheetId="12">#REF!</definedName>
    <definedName name="FY09Train" localSheetId="15">#REF!</definedName>
    <definedName name="FY09Train">#REF!</definedName>
    <definedName name="hlhl0" localSheetId="5">'E. ATB Justification'!#REF!</definedName>
    <definedName name="INTEL" localSheetId="0">#REF!</definedName>
    <definedName name="INTEL" localSheetId="2">'B. Summary of Requirements_Cons'!#REF!</definedName>
    <definedName name="INTEL" localSheetId="1">'B. Summary of Requirements_S&amp;E '!#REF!</definedName>
    <definedName name="INTEL" localSheetId="3">#REF!</definedName>
    <definedName name="INTEL" localSheetId="4">#REF!</definedName>
    <definedName name="INTEL" localSheetId="7">#REF!</definedName>
    <definedName name="INTEL" localSheetId="9">#REF!</definedName>
    <definedName name="INTEL" localSheetId="10">#REF!</definedName>
    <definedName name="INTEL" localSheetId="12">'[1]Sum of Req'!#REF!</definedName>
    <definedName name="INTEL" localSheetId="15">#REF!</definedName>
    <definedName name="INTEL">#REF!</definedName>
    <definedName name="JMD" localSheetId="0">#REF!</definedName>
    <definedName name="JMD" localSheetId="2">'B. Summary of Requirements_Cons'!#REF!</definedName>
    <definedName name="JMD" localSheetId="1">'B. Summary of Requirements_S&amp;E '!#REF!</definedName>
    <definedName name="JMD" localSheetId="3">#REF!</definedName>
    <definedName name="JMD" localSheetId="4">#REF!</definedName>
    <definedName name="JMD" localSheetId="7">#REF!</definedName>
    <definedName name="JMD" localSheetId="9">#REF!</definedName>
    <definedName name="JMD" localSheetId="10">#REF!</definedName>
    <definedName name="JMD" localSheetId="12">'[1]Sum of Req'!#REF!</definedName>
    <definedName name="JMD" localSheetId="15">#REF!</definedName>
    <definedName name="JMD">#REF!</definedName>
    <definedName name="OLE_LINK7" localSheetId="5">'E. ATB Justification'!#REF!</definedName>
    <definedName name="PART" localSheetId="0">#REF!</definedName>
    <definedName name="PART" localSheetId="2">#REF!</definedName>
    <definedName name="PART" localSheetId="3">#REF!</definedName>
    <definedName name="PART" localSheetId="7">#REF!</definedName>
    <definedName name="PART" localSheetId="9">#REF!</definedName>
    <definedName name="PART" localSheetId="10">#REF!</definedName>
    <definedName name="PART" localSheetId="12">#REF!</definedName>
    <definedName name="PART" localSheetId="15">#REF!</definedName>
    <definedName name="PART">#REF!</definedName>
    <definedName name="_xlnm.Print_Area" localSheetId="16">'(N-2) Domestic Agent'!$A$1:$J$69</definedName>
    <definedName name="_xlnm.Print_Area" localSheetId="17">'(N-3) Domestic Attorney'!$A$1:$H$53</definedName>
    <definedName name="_xlnm.Print_Area" localSheetId="18">'(N-4) Domestic Prof Sup'!$A$1:$J$53</definedName>
    <definedName name="_xlnm.Print_Area" localSheetId="19">'(N-5) Domestic Clerical'!$A$1:$H$52</definedName>
    <definedName name="_xlnm.Print_Area" localSheetId="20">'(P) IT'!$A$1:$H$32</definedName>
    <definedName name="_xlnm.Print_Area" localSheetId="0">'A. Organization Chart'!$A$1:$K$41</definedName>
    <definedName name="_xlnm.Print_Area" localSheetId="2">'B. Summary of Requirements_Cons'!$A$1:$X$46</definedName>
    <definedName name="_xlnm.Print_Area" localSheetId="1">'B. Summary of Requirements_S&amp;E '!$A$1:$X$83</definedName>
    <definedName name="_xlnm.Print_Area" localSheetId="3">'C. Increases Offsets'!$A$1:$W$40</definedName>
    <definedName name="_xlnm.Print_Area" localSheetId="4">'D. Strategic Goals &amp; Objectives'!$A$1:$P$45</definedName>
    <definedName name="_xlnm.Print_Area" localSheetId="5">'E. ATB Justification'!$A$1:$I$64</definedName>
    <definedName name="_xlnm.Print_Area" localSheetId="7">'F. 2010 Crosswalk_Const'!$A$1:$R$21</definedName>
    <definedName name="_xlnm.Print_Area" localSheetId="6">'F. 2010 Crosswalk_S&amp;E'!$A$1:$R$34</definedName>
    <definedName name="_xlnm.Print_Area" localSheetId="9">'G. 2011 Crosswalk_Const'!$A$1:$R$19</definedName>
    <definedName name="_xlnm.Print_Area" localSheetId="8">'G. 2011 Crosswalk_S&amp;E'!$A$1:$R$31</definedName>
    <definedName name="_xlnm.Print_Area" localSheetId="10">'H. Reimbursable Resources'!$A$1:$N$31</definedName>
    <definedName name="_xlnm.Print_Area" localSheetId="11">'I. Permanent Positions'!$A$1:$K$33</definedName>
    <definedName name="_xlnm.Print_Area" localSheetId="12">'J.  Financial Analysis'!$A$1:$AM$43</definedName>
    <definedName name="_xlnm.Print_Area" localSheetId="13">'K. Summary by Grade'!$A$1:$I$33</definedName>
    <definedName name="_xlnm.Print_Area" localSheetId="15">'L. Summary by Object Class_ Con'!$A$1:$K$21</definedName>
    <definedName name="_xlnm.Print_Area" localSheetId="14">'L. Summary by Object Class_S&amp;E'!$A$1:$K$54</definedName>
    <definedName name="_xlnm.Print_Area">#REF!</definedName>
    <definedName name="_xlnm.Print_Titles" localSheetId="16">'(N-2) Domestic Agent'!$1:$13</definedName>
    <definedName name="_xlnm.Print_Titles" localSheetId="17">'(N-3) Domestic Attorney'!$1:$13</definedName>
    <definedName name="_xlnm.Print_Titles" localSheetId="18">'(N-4) Domestic Prof Sup'!$1:$13</definedName>
    <definedName name="_xlnm.Print_Titles" localSheetId="19">'(N-5) Domestic Clerical'!$1:$13</definedName>
    <definedName name="REIMPRO" localSheetId="0">#REF!</definedName>
    <definedName name="REIMPRO" localSheetId="2">#REF!</definedName>
    <definedName name="REIMPRO" localSheetId="3">#REF!</definedName>
    <definedName name="REIMPRO" localSheetId="7">#REF!</definedName>
    <definedName name="REIMPRO" localSheetId="9">#REF!</definedName>
    <definedName name="REIMPRO" localSheetId="10">'H. Reimbursable Resources'!$A$1:$N$33</definedName>
    <definedName name="REIMPRO" localSheetId="12">#REF!</definedName>
    <definedName name="REIMPRO" localSheetId="15">#REF!</definedName>
    <definedName name="REIMPRO">#REF!</definedName>
    <definedName name="REIMSOR" localSheetId="0">#REF!</definedName>
    <definedName name="REIMSOR" localSheetId="2">#REF!</definedName>
    <definedName name="REIMSOR" localSheetId="3">#REF!</definedName>
    <definedName name="REIMSOR" localSheetId="7">#REF!</definedName>
    <definedName name="REIMSOR" localSheetId="9">#REF!</definedName>
    <definedName name="REIMSOR" localSheetId="10">'H. Reimbursable Resources'!#REF!</definedName>
    <definedName name="REIMSOR" localSheetId="12">#REF!</definedName>
    <definedName name="REIMSOR" localSheetId="15">#REF!</definedName>
    <definedName name="REIMSOR">#REF!</definedName>
    <definedName name="Z_9A28834D_6BE2_4884_BE97_BE00946B08BB_.wvu.Cols" localSheetId="3" hidden="1">'C. Increases Offsets'!$C:$E,'C. Increases Offsets'!$K:$M,'C. Increases Offsets'!$O:$Q,'C. Increases Offsets'!$S:$U</definedName>
    <definedName name="Z_9A28834D_6BE2_4884_BE97_BE00946B08BB_.wvu.Cols" localSheetId="7" hidden="1">'F. 2010 Crosswalk_Const'!$B:$C,'F. 2010 Crosswalk_Const'!$E:$I,'F. 2010 Crosswalk_Const'!$P:$Q</definedName>
    <definedName name="Z_9A28834D_6BE2_4884_BE97_BE00946B08BB_.wvu.Cols" localSheetId="6" hidden="1">'F. 2010 Crosswalk_S&amp;E'!$E:$G</definedName>
    <definedName name="Z_9A28834D_6BE2_4884_BE97_BE00946B08BB_.wvu.Cols" localSheetId="9" hidden="1">'G. 2011 Crosswalk_Const'!$B:$C,'G. 2011 Crosswalk_Const'!$E:$J,'G. 2011 Crosswalk_Const'!$P:$Q</definedName>
    <definedName name="Z_9A28834D_6BE2_4884_BE97_BE00946B08BB_.wvu.Cols" localSheetId="8" hidden="1">'G. 2011 Crosswalk_S&amp;E'!$E:$J</definedName>
    <definedName name="Z_9A28834D_6BE2_4884_BE97_BE00946B08BB_.wvu.Cols" localSheetId="11" hidden="1">'I. Permanent Positions'!$H:$H</definedName>
    <definedName name="Z_9A28834D_6BE2_4884_BE97_BE00946B08BB_.wvu.Cols" localSheetId="12" hidden="1">'J.  Financial Analysis'!$B:$B,'J.  Financial Analysis'!$D:$D,'J.  Financial Analysis'!$F:$F,'J.  Financial Analysis'!$H:$H,'J.  Financial Analysis'!$L:$L,'J.  Financial Analysis'!$N:$N,'J.  Financial Analysis'!$P:$P,'J.  Financial Analysis'!$R:$R,'J.  Financial Analysis'!$T:$T,'J.  Financial Analysis'!$V:$V,'J.  Financial Analysis'!$X:$X,'J.  Financial Analysis'!$Z:$Z,'J.  Financial Analysis'!$AB:$AB,'J.  Financial Analysis'!$AD:$AD,'J.  Financial Analysis'!$AF:$AF,'J.  Financial Analysis'!$AH:$AH,'J.  Financial Analysis'!$AJ:$AJ</definedName>
    <definedName name="Z_9A28834D_6BE2_4884_BE97_BE00946B08BB_.wvu.Cols" localSheetId="15" hidden="1">'L. Summary by Object Class_ Con'!$J:$L</definedName>
    <definedName name="Z_9A28834D_6BE2_4884_BE97_BE00946B08BB_.wvu.Cols" localSheetId="14" hidden="1">'L. Summary by Object Class_S&amp;E'!$J:$L</definedName>
    <definedName name="Z_9A28834D_6BE2_4884_BE97_BE00946B08BB_.wvu.FilterData" localSheetId="20" hidden="1">'(P) IT'!$F$14:$G$14</definedName>
    <definedName name="Z_9A28834D_6BE2_4884_BE97_BE00946B08BB_.wvu.PrintArea" localSheetId="16" hidden="1">'(N-2) Domestic Agent'!$A$1:$J$69</definedName>
    <definedName name="Z_9A28834D_6BE2_4884_BE97_BE00946B08BB_.wvu.PrintArea" localSheetId="17" hidden="1">'(N-3) Domestic Attorney'!$A$1:$H$53</definedName>
    <definedName name="Z_9A28834D_6BE2_4884_BE97_BE00946B08BB_.wvu.PrintArea" localSheetId="18" hidden="1">'(N-4) Domestic Prof Sup'!$A$1:$J$53</definedName>
    <definedName name="Z_9A28834D_6BE2_4884_BE97_BE00946B08BB_.wvu.PrintArea" localSheetId="19" hidden="1">'(N-5) Domestic Clerical'!$A$1:$H$52</definedName>
    <definedName name="Z_9A28834D_6BE2_4884_BE97_BE00946B08BB_.wvu.PrintArea" localSheetId="20" hidden="1">'(P) IT'!$A$1:$H$32</definedName>
    <definedName name="Z_9A28834D_6BE2_4884_BE97_BE00946B08BB_.wvu.PrintArea" localSheetId="0" hidden="1">'A. Organization Chart'!$A$1:$K$41</definedName>
    <definedName name="Z_9A28834D_6BE2_4884_BE97_BE00946B08BB_.wvu.PrintArea" localSheetId="2" hidden="1">'B. Summary of Requirements_Cons'!$A$1:$X$46</definedName>
    <definedName name="Z_9A28834D_6BE2_4884_BE97_BE00946B08BB_.wvu.PrintArea" localSheetId="1" hidden="1">'B. Summary of Requirements_S&amp;E '!$A$1:$X$83</definedName>
    <definedName name="Z_9A28834D_6BE2_4884_BE97_BE00946B08BB_.wvu.PrintArea" localSheetId="3" hidden="1">'C. Increases Offsets'!$A$1:$W$40</definedName>
    <definedName name="Z_9A28834D_6BE2_4884_BE97_BE00946B08BB_.wvu.PrintArea" localSheetId="4" hidden="1">'D. Strategic Goals &amp; Objectives'!$A$1:$P$45</definedName>
    <definedName name="Z_9A28834D_6BE2_4884_BE97_BE00946B08BB_.wvu.PrintArea" localSheetId="5" hidden="1">'E. ATB Justification'!$A$1:$I$64</definedName>
    <definedName name="Z_9A28834D_6BE2_4884_BE97_BE00946B08BB_.wvu.PrintArea" localSheetId="7" hidden="1">'F. 2010 Crosswalk_Const'!$A$1:$R$21</definedName>
    <definedName name="Z_9A28834D_6BE2_4884_BE97_BE00946B08BB_.wvu.PrintArea" localSheetId="6" hidden="1">'F. 2010 Crosswalk_S&amp;E'!$A$1:$R$34</definedName>
    <definedName name="Z_9A28834D_6BE2_4884_BE97_BE00946B08BB_.wvu.PrintArea" localSheetId="9" hidden="1">'G. 2011 Crosswalk_Const'!$A$1:$R$19</definedName>
    <definedName name="Z_9A28834D_6BE2_4884_BE97_BE00946B08BB_.wvu.PrintArea" localSheetId="8" hidden="1">'G. 2011 Crosswalk_S&amp;E'!$A$1:$R$31</definedName>
    <definedName name="Z_9A28834D_6BE2_4884_BE97_BE00946B08BB_.wvu.PrintArea" localSheetId="10" hidden="1">'H. Reimbursable Resources'!$A$1:$N$31</definedName>
    <definedName name="Z_9A28834D_6BE2_4884_BE97_BE00946B08BB_.wvu.PrintArea" localSheetId="11" hidden="1">'I. Permanent Positions'!$A$1:$K$33</definedName>
    <definedName name="Z_9A28834D_6BE2_4884_BE97_BE00946B08BB_.wvu.PrintArea" localSheetId="12" hidden="1">'J.  Financial Analysis'!$A$1:$AM$43</definedName>
    <definedName name="Z_9A28834D_6BE2_4884_BE97_BE00946B08BB_.wvu.PrintArea" localSheetId="13" hidden="1">'K. Summary by Grade'!$A$1:$I$33</definedName>
    <definedName name="Z_9A28834D_6BE2_4884_BE97_BE00946B08BB_.wvu.PrintArea" localSheetId="15" hidden="1">'L. Summary by Object Class_ Con'!$A$1:$K$21</definedName>
    <definedName name="Z_9A28834D_6BE2_4884_BE97_BE00946B08BB_.wvu.PrintArea" localSheetId="14" hidden="1">'L. Summary by Object Class_S&amp;E'!$A$1:$K$54</definedName>
    <definedName name="Z_9A28834D_6BE2_4884_BE97_BE00946B08BB_.wvu.PrintTitles" localSheetId="16" hidden="1">'(N-2) Domestic Agent'!$1:$13</definedName>
    <definedName name="Z_9A28834D_6BE2_4884_BE97_BE00946B08BB_.wvu.PrintTitles" localSheetId="17" hidden="1">'(N-3) Domestic Attorney'!$1:$13</definedName>
    <definedName name="Z_9A28834D_6BE2_4884_BE97_BE00946B08BB_.wvu.PrintTitles" localSheetId="18" hidden="1">'(N-4) Domestic Prof Sup'!$1:$13</definedName>
    <definedName name="Z_9A28834D_6BE2_4884_BE97_BE00946B08BB_.wvu.PrintTitles" localSheetId="19" hidden="1">'(N-5) Domestic Clerical'!$1:$13</definedName>
    <definedName name="Z_9A28834D_6BE2_4884_BE97_BE00946B08BB_.wvu.Rows" localSheetId="2" hidden="1">'B. Summary of Requirements_Cons'!#REF!,'B. Summary of Requirements_Cons'!#REF!,'B. Summary of Requirements_Cons'!#REF!,'B. Summary of Requirements_Cons'!#REF!,'B. Summary of Requirements_Cons'!#REF!,'B. Summary of Requirements_Cons'!#REF!,'B. Summary of Requirements_Cons'!#REF!,'B. Summary of Requirements_Cons'!#REF!,'B. Summary of Requirements_Cons'!#REF!</definedName>
    <definedName name="Z_9A28834D_6BE2_4884_BE97_BE00946B08BB_.wvu.Rows" localSheetId="1" hidden="1">'B. Summary of Requirements_S&amp;E '!#REF!,'B. Summary of Requirements_S&amp;E '!#REF!,'B. Summary of Requirements_S&amp;E '!#REF!,'B. Summary of Requirements_S&amp;E '!#REF!,'B. Summary of Requirements_S&amp;E '!#REF!,'B. Summary of Requirements_S&amp;E '!#REF!,'B. Summary of Requirements_S&amp;E '!#REF!,'B. Summary of Requirements_S&amp;E '!#REF!</definedName>
    <definedName name="Z_9A28834D_6BE2_4884_BE97_BE00946B08BB_.wvu.Rows" localSheetId="3" hidden="1">'C. Increases Offsets'!#REF!,'C. Increases Offsets'!#REF!</definedName>
    <definedName name="Z_9A28834D_6BE2_4884_BE97_BE00946B08BB_.wvu.Rows" localSheetId="4" hidden="1">'D. Strategic Goals &amp; Objectives'!#REF!,'D. Strategic Goals &amp; Objectives'!#REF!,'D. Strategic Goals &amp; Objectives'!#REF!,'D. Strategic Goals &amp; Objectives'!#REF!,'D. Strategic Goals &amp; Objectives'!#REF!,'D. Strategic Goals &amp; Objectives'!#REF!</definedName>
    <definedName name="Z_9A28834D_6BE2_4884_BE97_BE00946B08BB_.wvu.Rows" localSheetId="5" hidden="1">'E. ATB Justification'!#REF!,'E. ATB Justification'!#REF!,'E. ATB Justification'!#REF!,'E. ATB Justification'!#REF!,'E. ATB Justification'!$63:$63</definedName>
    <definedName name="Z_9A28834D_6BE2_4884_BE97_BE00946B08BB_.wvu.Rows" localSheetId="7" hidden="1">'F. 2010 Crosswalk_Const'!#REF!,'F. 2010 Crosswalk_Const'!#REF!</definedName>
    <definedName name="Z_9A28834D_6BE2_4884_BE97_BE00946B08BB_.wvu.Rows" localSheetId="6" hidden="1">'F. 2010 Crosswalk_S&amp;E'!#REF!</definedName>
    <definedName name="Z_9A28834D_6BE2_4884_BE97_BE00946B08BB_.wvu.Rows" localSheetId="9" hidden="1">'G. 2011 Crosswalk_Const'!#REF!,'G. 2011 Crosswalk_Const'!$20:$20</definedName>
    <definedName name="Z_9A28834D_6BE2_4884_BE97_BE00946B08BB_.wvu.Rows" localSheetId="12" hidden="1">'J.  Financial Analysis'!#REF!,'J.  Financial Analysis'!#REF!,'J.  Financial Analysis'!#REF!,'J.  Financial Analysis'!#REF!</definedName>
    <definedName name="Z_9A28834D_6BE2_4884_BE97_BE00946B08BB_.wvu.Rows" localSheetId="15" hidden="1">'L. Summary by Object Class_ Con'!#REF!,'L. Summary by Object Class_ Con'!#REF!,'L. Summary by Object Class_ Con'!#REF!,'L. Summary by Object Class_ Con'!#REF!,'L. Summary by Object Class_ Con'!#REF!,'L. Summary by Object Class_ Con'!#REF!,'L. Summary by Object Class_ Con'!#REF!</definedName>
    <definedName name="Z_9A28834D_6BE2_4884_BE97_BE00946B08BB_.wvu.Rows" localSheetId="14" hidden="1">'L. Summary by Object Class_S&amp;E'!#REF!</definedName>
  </definedNames>
  <calcPr calcId="125725" calcMode="manual" calcCompleted="0" calcOnSave="0"/>
  <customWorkbookViews>
    <customWorkbookView name="jhampton - Personal View" guid="{9A28834D-6BE2-4884-BE97-BE00946B08BB}" mergeInterval="0" personalView="1" maximized="1" xWindow="1" yWindow="1" windowWidth="1193" windowHeight="695" tabRatio="889" activeSheetId="15"/>
  </customWorkbookViews>
</workbook>
</file>

<file path=xl/calcChain.xml><?xml version="1.0" encoding="utf-8"?>
<calcChain xmlns="http://schemas.openxmlformats.org/spreadsheetml/2006/main">
  <c r="W48" i="2"/>
  <c r="C26" i="5"/>
  <c r="C24"/>
  <c r="C23"/>
  <c r="C22"/>
  <c r="X48" i="2"/>
  <c r="V48"/>
  <c r="X16"/>
  <c r="W16"/>
  <c r="Q25" i="7"/>
  <c r="Q24"/>
  <c r="Q23"/>
  <c r="Q21"/>
  <c r="Q20"/>
  <c r="Q19"/>
  <c r="Q18"/>
  <c r="Q17"/>
  <c r="Q16"/>
  <c r="Q15"/>
  <c r="Q14"/>
  <c r="I25"/>
  <c r="I21"/>
  <c r="I19"/>
  <c r="G48" i="15"/>
  <c r="E48"/>
  <c r="C48"/>
  <c r="O19" i="7"/>
  <c r="C46" i="15"/>
  <c r="C45"/>
  <c r="E42"/>
  <c r="H51"/>
  <c r="T70" i="2" l="1"/>
  <c r="T72" s="1"/>
  <c r="T75" s="1"/>
  <c r="T80" s="1"/>
  <c r="S70"/>
  <c r="S72" s="1"/>
  <c r="R70"/>
  <c r="R72" s="1"/>
  <c r="Q70"/>
  <c r="Q72" s="1"/>
  <c r="Q75" s="1"/>
  <c r="Q80" s="1"/>
  <c r="P70"/>
  <c r="P72" s="1"/>
  <c r="L70"/>
  <c r="L72" s="1"/>
  <c r="K70"/>
  <c r="K72" s="1"/>
  <c r="K75" s="1"/>
  <c r="K80" s="1"/>
  <c r="J70"/>
  <c r="J72" s="1"/>
  <c r="O71"/>
  <c r="X71" s="1"/>
  <c r="N71"/>
  <c r="M71"/>
  <c r="V71" s="1"/>
  <c r="N14" i="11"/>
  <c r="N18"/>
  <c r="N20"/>
  <c r="N21"/>
  <c r="N22"/>
  <c r="N23"/>
  <c r="N24"/>
  <c r="N25"/>
  <c r="N26"/>
  <c r="N27"/>
  <c r="N28"/>
  <c r="N12"/>
  <c r="M12"/>
  <c r="L12"/>
  <c r="K29"/>
  <c r="N29" s="1"/>
  <c r="K17"/>
  <c r="N17" s="1"/>
  <c r="K16"/>
  <c r="N16" s="1"/>
  <c r="K15"/>
  <c r="N15" s="1"/>
  <c r="H16"/>
  <c r="H13"/>
  <c r="N13" s="1"/>
  <c r="H29"/>
  <c r="E15"/>
  <c r="E29"/>
  <c r="H15"/>
  <c r="E16"/>
  <c r="H17"/>
  <c r="E13"/>
  <c r="E17"/>
  <c r="K23" i="5"/>
  <c r="I23"/>
  <c r="F23"/>
  <c r="F22"/>
  <c r="K19" i="11"/>
  <c r="N19" s="1"/>
  <c r="H19"/>
  <c r="E19"/>
  <c r="E15" i="16"/>
  <c r="I21" i="15"/>
  <c r="I22"/>
  <c r="I23"/>
  <c r="I24"/>
  <c r="I25"/>
  <c r="I26"/>
  <c r="I27"/>
  <c r="I28"/>
  <c r="I31"/>
  <c r="I32"/>
  <c r="I33"/>
  <c r="I34"/>
  <c r="I35"/>
  <c r="I36"/>
  <c r="I37"/>
  <c r="I38"/>
  <c r="I39"/>
  <c r="I40"/>
  <c r="I20"/>
  <c r="I19"/>
  <c r="I16"/>
  <c r="H16"/>
  <c r="H14"/>
  <c r="I14"/>
  <c r="H15"/>
  <c r="I15"/>
  <c r="I13"/>
  <c r="I12" s="1"/>
  <c r="H13"/>
  <c r="H12"/>
  <c r="I11"/>
  <c r="H11"/>
  <c r="I10"/>
  <c r="I17" s="1"/>
  <c r="B10"/>
  <c r="E29"/>
  <c r="I29" s="1"/>
  <c r="G23" i="5"/>
  <c r="D23"/>
  <c r="W20" i="3"/>
  <c r="X20"/>
  <c r="X23" s="1"/>
  <c r="V20"/>
  <c r="V23"/>
  <c r="W23"/>
  <c r="I15" i="6"/>
  <c r="H15"/>
  <c r="G15"/>
  <c r="D10" i="15"/>
  <c r="F10"/>
  <c r="H10" s="1"/>
  <c r="H17" s="1"/>
  <c r="I57" i="6"/>
  <c r="X25" i="2"/>
  <c r="X31" s="1"/>
  <c r="X32" s="1"/>
  <c r="W25"/>
  <c r="V25"/>
  <c r="C15" i="16"/>
  <c r="E31" i="14"/>
  <c r="G31" s="1"/>
  <c r="E32"/>
  <c r="G32" s="1"/>
  <c r="C29" i="15"/>
  <c r="M15" i="7"/>
  <c r="N15"/>
  <c r="N14"/>
  <c r="N74" i="2"/>
  <c r="W74"/>
  <c r="R14" i="10"/>
  <c r="N14"/>
  <c r="N15"/>
  <c r="N14" i="9"/>
  <c r="N16"/>
  <c r="N15"/>
  <c r="R15"/>
  <c r="R14"/>
  <c r="J31" i="11"/>
  <c r="I31"/>
  <c r="G31"/>
  <c r="F31"/>
  <c r="D31"/>
  <c r="C31"/>
  <c r="M29"/>
  <c r="L29"/>
  <c r="M28"/>
  <c r="L28"/>
  <c r="M27"/>
  <c r="L27"/>
  <c r="M26"/>
  <c r="L26"/>
  <c r="M25"/>
  <c r="L25"/>
  <c r="M24"/>
  <c r="L24"/>
  <c r="M23"/>
  <c r="L23"/>
  <c r="E23"/>
  <c r="M22"/>
  <c r="L22"/>
  <c r="M21"/>
  <c r="L21"/>
  <c r="M20"/>
  <c r="L20"/>
  <c r="M19"/>
  <c r="L19"/>
  <c r="M18"/>
  <c r="L18"/>
  <c r="M17"/>
  <c r="L17"/>
  <c r="M16"/>
  <c r="L16"/>
  <c r="M15"/>
  <c r="L15"/>
  <c r="M14"/>
  <c r="L14"/>
  <c r="M13"/>
  <c r="L13"/>
  <c r="M31"/>
  <c r="K31"/>
  <c r="E31"/>
  <c r="L31"/>
  <c r="G38" i="4"/>
  <c r="G40"/>
  <c r="F40"/>
  <c r="E40"/>
  <c r="D40"/>
  <c r="C40"/>
  <c r="A7" i="13"/>
  <c r="B43"/>
  <c r="E42"/>
  <c r="E43" s="1"/>
  <c r="F16"/>
  <c r="F20" s="1"/>
  <c r="F32" s="1"/>
  <c r="G16"/>
  <c r="G18"/>
  <c r="G20" s="1"/>
  <c r="G32" s="1"/>
  <c r="H16"/>
  <c r="I16"/>
  <c r="I18" s="1"/>
  <c r="I20" s="1"/>
  <c r="I32" s="1"/>
  <c r="J16"/>
  <c r="K16"/>
  <c r="L16"/>
  <c r="M16"/>
  <c r="N16"/>
  <c r="O16"/>
  <c r="O17" s="1"/>
  <c r="P16"/>
  <c r="Q16"/>
  <c r="R16"/>
  <c r="S16"/>
  <c r="T16"/>
  <c r="U16"/>
  <c r="V16"/>
  <c r="W16"/>
  <c r="X16"/>
  <c r="Y16"/>
  <c r="Z16"/>
  <c r="AA16"/>
  <c r="AB16"/>
  <c r="AC16"/>
  <c r="AC18"/>
  <c r="AC20" s="1"/>
  <c r="AC32" s="1"/>
  <c r="AD16"/>
  <c r="AD18"/>
  <c r="AD20" s="1"/>
  <c r="AD32" s="1"/>
  <c r="AE16"/>
  <c r="AF16"/>
  <c r="AG16"/>
  <c r="AH16"/>
  <c r="AI16"/>
  <c r="AI17"/>
  <c r="AI18" s="1"/>
  <c r="AI20" s="1"/>
  <c r="AI32" s="1"/>
  <c r="AJ16"/>
  <c r="AK16"/>
  <c r="H18"/>
  <c r="H20" s="1"/>
  <c r="H32" s="1"/>
  <c r="V18"/>
  <c r="W18"/>
  <c r="X18"/>
  <c r="Y18"/>
  <c r="Z18"/>
  <c r="AA18"/>
  <c r="AB18"/>
  <c r="AE18"/>
  <c r="E16"/>
  <c r="C16"/>
  <c r="A33" i="5"/>
  <c r="A32"/>
  <c r="A4"/>
  <c r="A5"/>
  <c r="N43"/>
  <c r="N45" s="1"/>
  <c r="M43"/>
  <c r="M45" s="1"/>
  <c r="L43"/>
  <c r="L45" s="1"/>
  <c r="K43"/>
  <c r="K45" s="1"/>
  <c r="J43"/>
  <c r="J45" s="1"/>
  <c r="I43"/>
  <c r="I45" s="1"/>
  <c r="G43"/>
  <c r="G45" s="1"/>
  <c r="F43"/>
  <c r="F45" s="1"/>
  <c r="D43"/>
  <c r="D45" s="1"/>
  <c r="C43"/>
  <c r="C45" s="1"/>
  <c r="P42"/>
  <c r="P43" s="1"/>
  <c r="P45" s="1"/>
  <c r="O42"/>
  <c r="O43"/>
  <c r="O45" s="1"/>
  <c r="J23"/>
  <c r="P23" s="1"/>
  <c r="D18"/>
  <c r="C18"/>
  <c r="G14"/>
  <c r="N22"/>
  <c r="N24"/>
  <c r="J18"/>
  <c r="I18"/>
  <c r="I14"/>
  <c r="I22" s="1"/>
  <c r="O14"/>
  <c r="AM23" i="13"/>
  <c r="AM24"/>
  <c r="AM25"/>
  <c r="AM26"/>
  <c r="AM27"/>
  <c r="AM28"/>
  <c r="AM29"/>
  <c r="AM30"/>
  <c r="AM31"/>
  <c r="AM22"/>
  <c r="AL26"/>
  <c r="G30" i="15"/>
  <c r="I30" s="1"/>
  <c r="E43"/>
  <c r="L31"/>
  <c r="L35"/>
  <c r="L33"/>
  <c r="L39"/>
  <c r="C24"/>
  <c r="H14" i="14"/>
  <c r="H15"/>
  <c r="H16"/>
  <c r="H17"/>
  <c r="H18"/>
  <c r="H19"/>
  <c r="H20"/>
  <c r="H22"/>
  <c r="H24"/>
  <c r="H25"/>
  <c r="H26"/>
  <c r="H27"/>
  <c r="H28"/>
  <c r="H29"/>
  <c r="H13"/>
  <c r="H12"/>
  <c r="F23"/>
  <c r="H23" s="1"/>
  <c r="F21"/>
  <c r="H21" s="1"/>
  <c r="H30" s="1"/>
  <c r="B21"/>
  <c r="B23"/>
  <c r="E18" i="16"/>
  <c r="G18"/>
  <c r="G19"/>
  <c r="B32" i="12"/>
  <c r="B31"/>
  <c r="B30"/>
  <c r="D23"/>
  <c r="D14"/>
  <c r="B23"/>
  <c r="B14"/>
  <c r="G62" i="6"/>
  <c r="I52"/>
  <c r="I21"/>
  <c r="C27"/>
  <c r="D27"/>
  <c r="D40"/>
  <c r="E27"/>
  <c r="E40"/>
  <c r="B27"/>
  <c r="I41"/>
  <c r="G64"/>
  <c r="A7" i="10"/>
  <c r="O15"/>
  <c r="M15"/>
  <c r="L15"/>
  <c r="K15"/>
  <c r="J15"/>
  <c r="I15"/>
  <c r="H15"/>
  <c r="G15"/>
  <c r="F15"/>
  <c r="E15"/>
  <c r="D15"/>
  <c r="C15"/>
  <c r="B15"/>
  <c r="R15"/>
  <c r="Q14"/>
  <c r="P14"/>
  <c r="P15" s="1"/>
  <c r="A6"/>
  <c r="R18" i="9"/>
  <c r="R16"/>
  <c r="R17"/>
  <c r="Q15"/>
  <c r="P15"/>
  <c r="R15" i="7"/>
  <c r="R14"/>
  <c r="R18"/>
  <c r="R16"/>
  <c r="R17"/>
  <c r="R14" i="8"/>
  <c r="A7"/>
  <c r="O15"/>
  <c r="N15"/>
  <c r="M15"/>
  <c r="L15"/>
  <c r="K15"/>
  <c r="J15"/>
  <c r="I15"/>
  <c r="H15"/>
  <c r="G15"/>
  <c r="F15"/>
  <c r="E15"/>
  <c r="D15"/>
  <c r="C15"/>
  <c r="B15"/>
  <c r="R15"/>
  <c r="Q14"/>
  <c r="Q15" s="1"/>
  <c r="P14"/>
  <c r="P15" s="1"/>
  <c r="A6"/>
  <c r="P16" i="7"/>
  <c r="C12" i="15"/>
  <c r="C17"/>
  <c r="C41" s="1"/>
  <c r="B12"/>
  <c r="B17"/>
  <c r="F30" i="14"/>
  <c r="D30"/>
  <c r="B30"/>
  <c r="A6"/>
  <c r="A5"/>
  <c r="A6" i="13"/>
  <c r="B29" i="12"/>
  <c r="F14"/>
  <c r="A6"/>
  <c r="A5"/>
  <c r="H33"/>
  <c r="G33"/>
  <c r="F33"/>
  <c r="E33"/>
  <c r="C33"/>
  <c r="B33"/>
  <c r="I32"/>
  <c r="J32" s="1"/>
  <c r="J33" s="1"/>
  <c r="K31"/>
  <c r="I31"/>
  <c r="D33"/>
  <c r="K30"/>
  <c r="K33"/>
  <c r="I30"/>
  <c r="I33"/>
  <c r="J30"/>
  <c r="H29"/>
  <c r="G29"/>
  <c r="I29"/>
  <c r="F29"/>
  <c r="E29"/>
  <c r="C29"/>
  <c r="I28"/>
  <c r="J28" s="1"/>
  <c r="I27"/>
  <c r="J27" s="1"/>
  <c r="I26"/>
  <c r="J26" s="1"/>
  <c r="I25"/>
  <c r="J25" s="1"/>
  <c r="I24"/>
  <c r="J24" s="1"/>
  <c r="K23"/>
  <c r="I23"/>
  <c r="D29"/>
  <c r="I22"/>
  <c r="J22"/>
  <c r="I21"/>
  <c r="J21"/>
  <c r="I20"/>
  <c r="J20"/>
  <c r="I19"/>
  <c r="J19"/>
  <c r="I18"/>
  <c r="J18"/>
  <c r="I17"/>
  <c r="J17"/>
  <c r="I16"/>
  <c r="J16"/>
  <c r="I15"/>
  <c r="J15"/>
  <c r="K14"/>
  <c r="K29" s="1"/>
  <c r="I14"/>
  <c r="J14" s="1"/>
  <c r="I13"/>
  <c r="J13" s="1"/>
  <c r="I12"/>
  <c r="J12" s="1"/>
  <c r="J29" s="1"/>
  <c r="S17" i="4"/>
  <c r="O17"/>
  <c r="K17"/>
  <c r="G17"/>
  <c r="C17"/>
  <c r="A6"/>
  <c r="A5"/>
  <c r="F15"/>
  <c r="E15"/>
  <c r="D15"/>
  <c r="C15"/>
  <c r="W27" i="2"/>
  <c r="V26" i="4"/>
  <c r="U26"/>
  <c r="T26"/>
  <c r="S26"/>
  <c r="R26"/>
  <c r="Q26"/>
  <c r="P26"/>
  <c r="O26"/>
  <c r="N26"/>
  <c r="M26"/>
  <c r="L26"/>
  <c r="K26"/>
  <c r="J26"/>
  <c r="I26"/>
  <c r="H26"/>
  <c r="G26"/>
  <c r="F26"/>
  <c r="E26"/>
  <c r="D26"/>
  <c r="C26"/>
  <c r="W24"/>
  <c r="W23"/>
  <c r="W22"/>
  <c r="W21"/>
  <c r="W20"/>
  <c r="V15"/>
  <c r="U15"/>
  <c r="T15"/>
  <c r="S15"/>
  <c r="R15"/>
  <c r="Q15"/>
  <c r="P15"/>
  <c r="O15"/>
  <c r="N15"/>
  <c r="M15"/>
  <c r="L15"/>
  <c r="K15"/>
  <c r="J15"/>
  <c r="I15"/>
  <c r="H15"/>
  <c r="G15"/>
  <c r="W13"/>
  <c r="W15"/>
  <c r="S32" i="13"/>
  <c r="R32"/>
  <c r="AL31"/>
  <c r="AL30"/>
  <c r="AL29"/>
  <c r="AL28"/>
  <c r="AL27"/>
  <c r="AL25"/>
  <c r="AL24"/>
  <c r="AL23"/>
  <c r="AL22"/>
  <c r="D18"/>
  <c r="D20" s="1"/>
  <c r="D32" s="1"/>
  <c r="S17"/>
  <c r="R17"/>
  <c r="R18" s="1"/>
  <c r="AE20"/>
  <c r="AE32" s="1"/>
  <c r="Y20"/>
  <c r="Y32" s="1"/>
  <c r="U17"/>
  <c r="U18" s="1"/>
  <c r="U20" s="1"/>
  <c r="U32" s="1"/>
  <c r="K17"/>
  <c r="B16"/>
  <c r="AM14"/>
  <c r="AL14"/>
  <c r="AM13"/>
  <c r="AM16" s="1"/>
  <c r="AL13"/>
  <c r="AL16"/>
  <c r="U67" i="2"/>
  <c r="U70" s="1"/>
  <c r="U72" s="1"/>
  <c r="G15" i="16"/>
  <c r="L15" s="1"/>
  <c r="L16"/>
  <c r="I16"/>
  <c r="I15"/>
  <c r="L14"/>
  <c r="I14"/>
  <c r="L13"/>
  <c r="I13"/>
  <c r="K17"/>
  <c r="J17"/>
  <c r="G17"/>
  <c r="G21" s="1"/>
  <c r="C17"/>
  <c r="C21" s="1"/>
  <c r="A6"/>
  <c r="E53" i="15"/>
  <c r="G53"/>
  <c r="I53" s="1"/>
  <c r="E12"/>
  <c r="E17"/>
  <c r="D12"/>
  <c r="G12"/>
  <c r="F12"/>
  <c r="E30"/>
  <c r="L30" s="1"/>
  <c r="L37"/>
  <c r="L36"/>
  <c r="L38"/>
  <c r="L20"/>
  <c r="K20"/>
  <c r="N79" i="2"/>
  <c r="W79"/>
  <c r="N78"/>
  <c r="W78"/>
  <c r="M68"/>
  <c r="N68"/>
  <c r="W68" s="1"/>
  <c r="O68"/>
  <c r="X68" s="1"/>
  <c r="M69"/>
  <c r="N69"/>
  <c r="W69" s="1"/>
  <c r="O69"/>
  <c r="X69" s="1"/>
  <c r="I67"/>
  <c r="O67"/>
  <c r="X67" s="1"/>
  <c r="I66"/>
  <c r="O66"/>
  <c r="X66" s="1"/>
  <c r="I65"/>
  <c r="I70" s="1"/>
  <c r="I72" s="1"/>
  <c r="O65"/>
  <c r="O70" s="1"/>
  <c r="O72" s="1"/>
  <c r="H67"/>
  <c r="N67"/>
  <c r="W67" s="1"/>
  <c r="H66"/>
  <c r="N66" s="1"/>
  <c r="W66" s="1"/>
  <c r="H65"/>
  <c r="H70" s="1"/>
  <c r="H72" s="1"/>
  <c r="H75" s="1"/>
  <c r="H80" s="1"/>
  <c r="G67"/>
  <c r="M67" s="1"/>
  <c r="V67" s="1"/>
  <c r="G66"/>
  <c r="M66"/>
  <c r="V66" s="1"/>
  <c r="G65"/>
  <c r="G70" s="1"/>
  <c r="G72" s="1"/>
  <c r="F67"/>
  <c r="F66"/>
  <c r="E67"/>
  <c r="D67"/>
  <c r="E66"/>
  <c r="D66"/>
  <c r="F65"/>
  <c r="F70" s="1"/>
  <c r="F72" s="1"/>
  <c r="E65"/>
  <c r="E70" s="1"/>
  <c r="E72" s="1"/>
  <c r="E75" s="1"/>
  <c r="E80" s="1"/>
  <c r="D65"/>
  <c r="D70" s="1"/>
  <c r="D72" s="1"/>
  <c r="V68"/>
  <c r="W43"/>
  <c r="V43"/>
  <c r="X43"/>
  <c r="W30"/>
  <c r="W31" s="1"/>
  <c r="W32" s="1"/>
  <c r="W45" s="1"/>
  <c r="W47" s="1"/>
  <c r="X30"/>
  <c r="V30"/>
  <c r="V31"/>
  <c r="V32" s="1"/>
  <c r="V45" s="1"/>
  <c r="V47" s="1"/>
  <c r="A37" i="3"/>
  <c r="A36" i="13" s="1"/>
  <c r="F44" i="3"/>
  <c r="N44"/>
  <c r="N45"/>
  <c r="O44"/>
  <c r="M44"/>
  <c r="V44" s="1"/>
  <c r="V45" s="1"/>
  <c r="X27"/>
  <c r="X28" s="1"/>
  <c r="W27"/>
  <c r="W28" s="1"/>
  <c r="W29" s="1"/>
  <c r="W30" s="1"/>
  <c r="V27"/>
  <c r="V28" s="1"/>
  <c r="V29" s="1"/>
  <c r="V30" s="1"/>
  <c r="U45"/>
  <c r="T45"/>
  <c r="S45"/>
  <c r="R45"/>
  <c r="Q45"/>
  <c r="P45"/>
  <c r="O45"/>
  <c r="M45"/>
  <c r="L45"/>
  <c r="K45"/>
  <c r="J45"/>
  <c r="I45"/>
  <c r="H45"/>
  <c r="G45"/>
  <c r="F45"/>
  <c r="E45"/>
  <c r="D45"/>
  <c r="X44"/>
  <c r="A36"/>
  <c r="A35" i="13" s="1"/>
  <c r="X18" i="3"/>
  <c r="W18"/>
  <c r="V18"/>
  <c r="Q24" i="9"/>
  <c r="Q23"/>
  <c r="Q20"/>
  <c r="Q18"/>
  <c r="Q17"/>
  <c r="Q16"/>
  <c r="Q14"/>
  <c r="P18"/>
  <c r="P17"/>
  <c r="P16"/>
  <c r="P14"/>
  <c r="O19"/>
  <c r="N19"/>
  <c r="P15" i="7"/>
  <c r="P17"/>
  <c r="P18"/>
  <c r="P14"/>
  <c r="P19" s="1"/>
  <c r="A54" i="2"/>
  <c r="D17" i="15"/>
  <c r="M19" i="9"/>
  <c r="L19"/>
  <c r="L21"/>
  <c r="L25" s="1"/>
  <c r="K19"/>
  <c r="J19"/>
  <c r="I19"/>
  <c r="I21" s="1"/>
  <c r="I25" s="1"/>
  <c r="H19"/>
  <c r="G19"/>
  <c r="F19"/>
  <c r="F21"/>
  <c r="F25" s="1"/>
  <c r="E19"/>
  <c r="D19"/>
  <c r="C19"/>
  <c r="C21" s="1"/>
  <c r="C25" s="1"/>
  <c r="B19"/>
  <c r="A7"/>
  <c r="A6"/>
  <c r="V69" i="2"/>
  <c r="W36"/>
  <c r="W44"/>
  <c r="V36"/>
  <c r="V44"/>
  <c r="M24" i="5"/>
  <c r="L24"/>
  <c r="K24"/>
  <c r="N19"/>
  <c r="M19"/>
  <c r="L19"/>
  <c r="L26" s="1"/>
  <c r="K19"/>
  <c r="J19"/>
  <c r="I19"/>
  <c r="G19"/>
  <c r="F19"/>
  <c r="D19"/>
  <c r="C19"/>
  <c r="P18"/>
  <c r="P19" s="1"/>
  <c r="O18"/>
  <c r="N15"/>
  <c r="M15"/>
  <c r="L15"/>
  <c r="K15"/>
  <c r="I15"/>
  <c r="G15"/>
  <c r="F15"/>
  <c r="D15"/>
  <c r="D26" s="1"/>
  <c r="C15"/>
  <c r="V16" i="2"/>
  <c r="V19"/>
  <c r="W19"/>
  <c r="X19"/>
  <c r="X36"/>
  <c r="X44" s="1"/>
  <c r="H62" i="6"/>
  <c r="H64" s="1"/>
  <c r="L24" i="15"/>
  <c r="D19" i="7"/>
  <c r="B40" i="6"/>
  <c r="A5" i="15"/>
  <c r="A4"/>
  <c r="A4" i="6"/>
  <c r="A7" i="7"/>
  <c r="A6"/>
  <c r="J17" i="15"/>
  <c r="J41"/>
  <c r="K17"/>
  <c r="K41"/>
  <c r="K19"/>
  <c r="L19"/>
  <c r="L21"/>
  <c r="L22"/>
  <c r="J23"/>
  <c r="L23"/>
  <c r="L25"/>
  <c r="L26"/>
  <c r="L27"/>
  <c r="L28"/>
  <c r="L29"/>
  <c r="L32"/>
  <c r="L34"/>
  <c r="L40"/>
  <c r="B19" i="7"/>
  <c r="C19"/>
  <c r="C21" s="1"/>
  <c r="C25" s="1"/>
  <c r="E19"/>
  <c r="F19"/>
  <c r="F21" s="1"/>
  <c r="F25" s="1"/>
  <c r="G19"/>
  <c r="H19"/>
  <c r="J19"/>
  <c r="K19"/>
  <c r="L19"/>
  <c r="L21"/>
  <c r="L25" s="1"/>
  <c r="M19"/>
  <c r="N19"/>
  <c r="C40" i="6"/>
  <c r="P19" i="9"/>
  <c r="F17" i="15"/>
  <c r="G17"/>
  <c r="G41" s="1"/>
  <c r="W26" i="4"/>
  <c r="C17" i="13"/>
  <c r="M17"/>
  <c r="AM17" s="1"/>
  <c r="Q17"/>
  <c r="Q18"/>
  <c r="Q20" s="1"/>
  <c r="Q32" s="1"/>
  <c r="AG17"/>
  <c r="AG18"/>
  <c r="AG20" s="1"/>
  <c r="AG32" s="1"/>
  <c r="AK17"/>
  <c r="B17"/>
  <c r="B18" s="1"/>
  <c r="B20" s="1"/>
  <c r="J17"/>
  <c r="J18"/>
  <c r="L17"/>
  <c r="L18"/>
  <c r="L20" s="1"/>
  <c r="L32" s="1"/>
  <c r="N17"/>
  <c r="P17"/>
  <c r="P18" s="1"/>
  <c r="P20" s="1"/>
  <c r="P32" s="1"/>
  <c r="T17"/>
  <c r="T18" s="1"/>
  <c r="T20" s="1"/>
  <c r="T32" s="1"/>
  <c r="AF17"/>
  <c r="AF18" s="1"/>
  <c r="AF20" s="1"/>
  <c r="AF32" s="1"/>
  <c r="AH17"/>
  <c r="AH18" s="1"/>
  <c r="AH20" s="1"/>
  <c r="AH32" s="1"/>
  <c r="AJ17"/>
  <c r="AJ18" s="1"/>
  <c r="AJ20" s="1"/>
  <c r="AJ32" s="1"/>
  <c r="V20"/>
  <c r="V32" s="1"/>
  <c r="X20"/>
  <c r="X32" s="1"/>
  <c r="Z20"/>
  <c r="Z32" s="1"/>
  <c r="AB20"/>
  <c r="AB32" s="1"/>
  <c r="J32"/>
  <c r="Q15" i="10"/>
  <c r="Q19" i="9"/>
  <c r="Q21" s="1"/>
  <c r="Q25" s="1"/>
  <c r="J23" i="12"/>
  <c r="J31"/>
  <c r="C18" i="13"/>
  <c r="C20" s="1"/>
  <c r="E52" i="15"/>
  <c r="G52"/>
  <c r="I52" s="1"/>
  <c r="A30" i="4"/>
  <c r="A31"/>
  <c r="W44" i="3"/>
  <c r="W45" s="1"/>
  <c r="E18" i="13"/>
  <c r="E20" s="1"/>
  <c r="E32" s="1"/>
  <c r="C43"/>
  <c r="N18"/>
  <c r="N20" s="1"/>
  <c r="N32" s="1"/>
  <c r="AK18"/>
  <c r="AK20"/>
  <c r="AK32" s="1"/>
  <c r="M18"/>
  <c r="G22" i="5"/>
  <c r="G24" s="1"/>
  <c r="G26" s="1"/>
  <c r="M26"/>
  <c r="J14"/>
  <c r="J15"/>
  <c r="O19"/>
  <c r="K26"/>
  <c r="D43" i="13"/>
  <c r="R19" i="9"/>
  <c r="R19" i="7"/>
  <c r="E17" i="16"/>
  <c r="I17"/>
  <c r="E41" i="15"/>
  <c r="L17"/>
  <c r="AA20" i="13"/>
  <c r="AA32"/>
  <c r="W20"/>
  <c r="W32"/>
  <c r="K18"/>
  <c r="K20"/>
  <c r="K32" s="1"/>
  <c r="AL17"/>
  <c r="AL18" s="1"/>
  <c r="S18"/>
  <c r="I62" i="6"/>
  <c r="I64"/>
  <c r="D22" i="5"/>
  <c r="D24"/>
  <c r="P14"/>
  <c r="P15"/>
  <c r="O15"/>
  <c r="J22"/>
  <c r="P22" s="1"/>
  <c r="P24" s="1"/>
  <c r="N26"/>
  <c r="X45" i="3"/>
  <c r="E21" i="16"/>
  <c r="L17"/>
  <c r="O23" i="5"/>
  <c r="F24"/>
  <c r="F26" s="1"/>
  <c r="W71" i="2"/>
  <c r="C32" i="13" l="1"/>
  <c r="B32"/>
  <c r="AL20"/>
  <c r="AL32" s="1"/>
  <c r="G42" i="15"/>
  <c r="G43" s="1"/>
  <c r="O22" i="5"/>
  <c r="O24" s="1"/>
  <c r="O26" s="1"/>
  <c r="I24"/>
  <c r="I26" s="1"/>
  <c r="O18" i="13"/>
  <c r="O20" s="1"/>
  <c r="O32" s="1"/>
  <c r="AM18"/>
  <c r="N31" i="11"/>
  <c r="L41" i="15"/>
  <c r="P26" i="5"/>
  <c r="X45" i="2"/>
  <c r="X47" s="1"/>
  <c r="X29" i="3"/>
  <c r="X30" s="1"/>
  <c r="I41" i="15"/>
  <c r="J24" i="5"/>
  <c r="J26" s="1"/>
  <c r="M20" i="13"/>
  <c r="M32" s="1"/>
  <c r="M65" i="2"/>
  <c r="N65"/>
  <c r="X65"/>
  <c r="X70" s="1"/>
  <c r="X72" s="1"/>
  <c r="H31" i="11"/>
  <c r="M70" i="2" l="1"/>
  <c r="M72" s="1"/>
  <c r="V65"/>
  <c r="V70" s="1"/>
  <c r="V72" s="1"/>
  <c r="W65"/>
  <c r="W70" s="1"/>
  <c r="W72" s="1"/>
  <c r="W75" s="1"/>
  <c r="W80" s="1"/>
  <c r="N70"/>
  <c r="N72" s="1"/>
  <c r="N75" s="1"/>
  <c r="N80" s="1"/>
  <c r="AM20" i="13"/>
  <c r="AM32" s="1"/>
</calcChain>
</file>

<file path=xl/comments1.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2.xml><?xml version="1.0" encoding="utf-8"?>
<comments xmlns="http://schemas.openxmlformats.org/spreadsheetml/2006/main">
  <authors>
    <author>Nicholas D. Sterganos</author>
  </authors>
  <commentList>
    <comment ref="C12" authorId="0">
      <text>
        <r>
          <rPr>
            <sz val="8"/>
            <color indexed="81"/>
            <rFont val="Tahoma"/>
            <family val="2"/>
          </rPr>
          <t xml:space="preserve">Average 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Journeyman grade</t>
        </r>
      </text>
    </comment>
  </commentList>
</comments>
</file>

<file path=xl/comments3.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4.xml><?xml version="1.0" encoding="utf-8"?>
<comments xmlns="http://schemas.openxmlformats.org/spreadsheetml/2006/main">
  <authors>
    <author>Nicholas D. Sterganos</author>
  </authors>
  <commentList>
    <comment ref="C12" authorId="0">
      <text>
        <r>
          <rPr>
            <sz val="8"/>
            <color indexed="81"/>
            <rFont val="Tahoma"/>
            <family val="2"/>
          </rPr>
          <t xml:space="preserve">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t>
        </r>
      </text>
    </comment>
  </commentList>
</comments>
</file>

<file path=xl/sharedStrings.xml><?xml version="1.0" encoding="utf-8"?>
<sst xmlns="http://schemas.openxmlformats.org/spreadsheetml/2006/main" count="2005" uniqueCount="460">
  <si>
    <t>end of line</t>
  </si>
  <si>
    <t xml:space="preserve">          Total DIRECT requirements</t>
  </si>
  <si>
    <t>23.1  GSA rent (Reimbursable)</t>
  </si>
  <si>
    <t>25.3 DHS Security (Reimbursable)</t>
  </si>
  <si>
    <t>Financial Analysis of Program Changes</t>
  </si>
  <si>
    <t>Total positions &amp; annual amount</t>
  </si>
  <si>
    <t xml:space="preserve">      Lapse (-)</t>
  </si>
  <si>
    <t xml:space="preserve">     Other personnel compensation</t>
  </si>
  <si>
    <t>Total FTE &amp; personnel compensation</t>
  </si>
  <si>
    <t>Agt./Atty.</t>
  </si>
  <si>
    <t>Program Offsets</t>
  </si>
  <si>
    <t>Adjustments to Base</t>
  </si>
  <si>
    <t>Domestic Rent and Facilities</t>
  </si>
  <si>
    <t>ATBs</t>
  </si>
  <si>
    <t>11.1  Direct FTE &amp; personnel compensation</t>
  </si>
  <si>
    <t xml:space="preserve">       Total </t>
  </si>
  <si>
    <t>Average SES Salary</t>
  </si>
  <si>
    <t>Annualization Required for 2012 ($000)</t>
  </si>
  <si>
    <t>FY 2010 Enacted Without Rescissions</t>
  </si>
  <si>
    <t>2010 Enacted w/Rescissions and Supplementals</t>
  </si>
  <si>
    <t>Perm. Pos.</t>
  </si>
  <si>
    <t>Location of Description by Decision Unit</t>
  </si>
  <si>
    <t>Reprogrammings / Transfers</t>
  </si>
  <si>
    <t>end of sheet</t>
  </si>
  <si>
    <t>Program Decreases</t>
  </si>
  <si>
    <t>Total Pr. Changes</t>
  </si>
  <si>
    <t>Total Authorized</t>
  </si>
  <si>
    <t>Total Reimbursable</t>
  </si>
  <si>
    <t>Total Increases</t>
  </si>
  <si>
    <t xml:space="preserve">   J: Financial Analysis of Program Changes</t>
  </si>
  <si>
    <t>I: Detail of Permanent Positions by Category</t>
  </si>
  <si>
    <t>H: Summary of Reimbursable Resources</t>
  </si>
  <si>
    <t>E.  Justification for Base Adjustments</t>
  </si>
  <si>
    <t>C: Program Increases/Offsets By Decision Unit</t>
  </si>
  <si>
    <t>B: Summary of Requirements</t>
  </si>
  <si>
    <t>Intelligence Series (132)</t>
  </si>
  <si>
    <t>Miscellaeous Inspectors Series (1802)</t>
  </si>
  <si>
    <t>Criminal Investigative Series (1811)</t>
  </si>
  <si>
    <t>2010 Availability</t>
  </si>
  <si>
    <t>23.2 Moving/Lease Expirations/Contract Parking</t>
  </si>
  <si>
    <t>Transfers:</t>
  </si>
  <si>
    <t xml:space="preserve">Total Adjustments to Base </t>
  </si>
  <si>
    <t>FY 2012 Request</t>
  </si>
  <si>
    <t>2011 Supplementals</t>
  </si>
  <si>
    <t>2012 Request</t>
  </si>
  <si>
    <t xml:space="preserve">2010 Enacted w/Rescissions and Supplementals </t>
  </si>
  <si>
    <t>Increase/Decrease</t>
  </si>
  <si>
    <t>Decision Unit</t>
  </si>
  <si>
    <t xml:space="preserve">     Total</t>
  </si>
  <si>
    <t>atb</t>
  </si>
  <si>
    <t>enhance</t>
  </si>
  <si>
    <t>FTE</t>
  </si>
  <si>
    <t>Total</t>
  </si>
  <si>
    <t>Detail of Permanent Positions by Category</t>
  </si>
  <si>
    <t>Category</t>
  </si>
  <si>
    <t>Transfers</t>
  </si>
  <si>
    <t>Grades and Salary Ranges</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</si>
  <si>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</si>
  <si>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</si>
  <si>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</si>
  <si>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</si>
  <si>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</si>
  <si>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</si>
  <si>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</si>
  <si>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</si>
  <si>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</si>
  <si>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</si>
  <si>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</si>
  <si>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</si>
  <si>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</si>
  <si>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</si>
  <si>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</si>
  <si>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</si>
  <si>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</si>
  <si>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</si>
  <si>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</si>
  <si>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</si>
  <si>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 xml:space="preserve">     Total, appropriated positions</t>
  </si>
  <si>
    <t>GS-9</t>
  </si>
  <si>
    <t>GS-7</t>
  </si>
  <si>
    <t>Personnel benefits</t>
  </si>
  <si>
    <t>Transportation of things</t>
  </si>
  <si>
    <t>Printing</t>
  </si>
  <si>
    <t>Equipment</t>
  </si>
  <si>
    <t>Travel and transportation of persons</t>
  </si>
  <si>
    <t>GSA rent</t>
  </si>
  <si>
    <t>Communication, rents, and utilities</t>
  </si>
  <si>
    <t>Other services</t>
  </si>
  <si>
    <t>Supplies and materials</t>
  </si>
  <si>
    <t>Average GS Salary</t>
  </si>
  <si>
    <t>Average GS Grade</t>
  </si>
  <si>
    <t>Object Classes</t>
  </si>
  <si>
    <t>Other Object Classes:</t>
  </si>
  <si>
    <t>Summary of Reimbursable Resources</t>
  </si>
  <si>
    <t>Summary of Requirements by Object Class</t>
  </si>
  <si>
    <t>Overtime</t>
  </si>
  <si>
    <t>Program Changes</t>
  </si>
  <si>
    <t>Total Program Changes</t>
  </si>
  <si>
    <t>Travel</t>
  </si>
  <si>
    <t>Attorneys (905)</t>
  </si>
  <si>
    <t>Paralegals / Other Law (900-998)</t>
  </si>
  <si>
    <t>Information &amp; Arts (1000-1099)</t>
  </si>
  <si>
    <t>Business &amp; Industry (1100-1199)</t>
  </si>
  <si>
    <t>Library (1400-1499)</t>
  </si>
  <si>
    <t>Equipment/Facilities Services (1600-1699)</t>
  </si>
  <si>
    <t>Supply Services (2000-2099)</t>
  </si>
  <si>
    <t>Security Specialists (080)</t>
  </si>
  <si>
    <t>Motor Vehicle Operations (5703)</t>
  </si>
  <si>
    <t>Miscellaneous Operations (010-099)</t>
  </si>
  <si>
    <t>2010 Enacted (with Rescissions, direct only)</t>
  </si>
  <si>
    <t>Total 2010 Enacted (with Rescissions and Supplementals)</t>
  </si>
  <si>
    <t>2010 Increases ($000)</t>
  </si>
  <si>
    <t>N: Modular Costs for New Positions</t>
  </si>
  <si>
    <t xml:space="preserve">Component: </t>
  </si>
  <si>
    <t>Type:</t>
  </si>
  <si>
    <t>Position:</t>
  </si>
  <si>
    <t>Special Agent</t>
  </si>
  <si>
    <t>Object Class</t>
  </si>
  <si>
    <t>Annualization</t>
  </si>
  <si>
    <t>Non-Recurring</t>
  </si>
  <si>
    <t>Personnel Compensation and Benefits</t>
  </si>
  <si>
    <t>11.1</t>
  </si>
  <si>
    <t>Full-Time Permanent</t>
  </si>
  <si>
    <t>11.5</t>
  </si>
  <si>
    <t xml:space="preserve">LEAP </t>
  </si>
  <si>
    <t>AUO</t>
  </si>
  <si>
    <t>Awards</t>
  </si>
  <si>
    <t xml:space="preserve">Overtime </t>
  </si>
  <si>
    <t xml:space="preserve">Personnel Benefits </t>
  </si>
  <si>
    <t>12.1</t>
  </si>
  <si>
    <t>Contractual Services and Supplies</t>
  </si>
  <si>
    <t>21.0</t>
  </si>
  <si>
    <t xml:space="preserve">Operational Travel </t>
  </si>
  <si>
    <t xml:space="preserve">Transportation of Things </t>
  </si>
  <si>
    <t>23.2</t>
  </si>
  <si>
    <t xml:space="preserve">Rental Payments to Others </t>
  </si>
  <si>
    <t>23.3</t>
  </si>
  <si>
    <t>Comm. Utilities etc. Postage</t>
  </si>
  <si>
    <t>Comm. Utilities etc. Telephones</t>
  </si>
  <si>
    <t>Comm. Utilities etc. Utilities</t>
  </si>
  <si>
    <t xml:space="preserve">Payroll Services </t>
  </si>
  <si>
    <t>Recruitment-- Non OPM Costs</t>
  </si>
  <si>
    <t>Recruitment-- OPM Costs</t>
  </si>
  <si>
    <t xml:space="preserve">Drug Test </t>
  </si>
  <si>
    <t>Security (Background) Investigations</t>
  </si>
  <si>
    <t>25.6</t>
  </si>
  <si>
    <t xml:space="preserve">Physical Exams </t>
  </si>
  <si>
    <t>Psychological Exam</t>
  </si>
  <si>
    <t>Written Exam</t>
  </si>
  <si>
    <t>25.2</t>
  </si>
  <si>
    <t>Guard Services</t>
  </si>
  <si>
    <t xml:space="preserve">Medical Care </t>
  </si>
  <si>
    <t>26.0</t>
  </si>
  <si>
    <t xml:space="preserve">Office Supplies </t>
  </si>
  <si>
    <t xml:space="preserve">Fuel </t>
  </si>
  <si>
    <t>Ammunition</t>
  </si>
  <si>
    <t>D: Resources by DOJ Strategic Goal and Strategic Objective</t>
  </si>
  <si>
    <t xml:space="preserve">Safety/Protective Equiment </t>
  </si>
  <si>
    <t xml:space="preserve">Uniforms and Clothing </t>
  </si>
  <si>
    <t>Acquisition of Assets</t>
  </si>
  <si>
    <t>31.0</t>
  </si>
  <si>
    <t xml:space="preserve">Vehicles </t>
  </si>
  <si>
    <t xml:space="preserve">Radios-Mobile </t>
  </si>
  <si>
    <t xml:space="preserve">Radios-Portable </t>
  </si>
  <si>
    <t xml:space="preserve">Radio Installation </t>
  </si>
  <si>
    <t>Computer Workstation-- Desktop</t>
  </si>
  <si>
    <t>Computer Workstation-- Installation of Desktop</t>
  </si>
  <si>
    <t>Computer Workstation-- Software</t>
  </si>
  <si>
    <t>Computer Workstation-- Accessories</t>
  </si>
  <si>
    <t>Computer Workstation-- Networking Costs</t>
  </si>
  <si>
    <t>Laptop Computer</t>
  </si>
  <si>
    <t xml:space="preserve">Tech/Invest Equipment </t>
  </si>
  <si>
    <t>Items that may have Multiple Object Classes</t>
  </si>
  <si>
    <t>Multiple</t>
  </si>
  <si>
    <t xml:space="preserve">Advanced Training </t>
  </si>
  <si>
    <t xml:space="preserve">Other Training </t>
  </si>
  <si>
    <t>Operational Expenses Linguist Costs</t>
  </si>
  <si>
    <t>Operational Expenses PE/PI/Misc</t>
  </si>
  <si>
    <t xml:space="preserve">PCS </t>
  </si>
  <si>
    <t>Computer Workstation-- Enterprise Costs</t>
  </si>
  <si>
    <t>Total:</t>
  </si>
  <si>
    <t>Object class entries should match the entries in the revised New Position Cost Module Standards.  For most agencies, the display will differ slightly from the display shown here.</t>
  </si>
  <si>
    <t xml:space="preserve">Provide modules for new positions being requested.  The position cost module identifies the ordinary costs associated with filling a position and is one of the most basic elements used in construction of a budget.  </t>
  </si>
  <si>
    <t>Some Components provide JMD with three year modular cost estimates in addition to this exhibit.  Please follow past procedure, and submit all of the modular cost data required by your JMD Budget Analyst.</t>
  </si>
  <si>
    <t>Domestic</t>
  </si>
  <si>
    <t>Attorney</t>
  </si>
  <si>
    <t xml:space="preserve">Awards </t>
  </si>
  <si>
    <t xml:space="preserve">Transit Subsidy </t>
  </si>
  <si>
    <t>22.0</t>
  </si>
  <si>
    <t>23.1</t>
  </si>
  <si>
    <t xml:space="preserve">GSA Rent </t>
  </si>
  <si>
    <t>Rental Payments to Others</t>
  </si>
  <si>
    <t>Portable Comm. Devices etc. Cellular Phones</t>
  </si>
  <si>
    <t>Portable Comm. Devices etc. Wireless Handheld Devices</t>
  </si>
  <si>
    <t>24.0</t>
  </si>
  <si>
    <t xml:space="preserve">Printing and Reproduction </t>
  </si>
  <si>
    <t xml:space="preserve">Litigation Support </t>
  </si>
  <si>
    <t>Financial Operations Information (FMIS)</t>
  </si>
  <si>
    <t xml:space="preserve">Furniture </t>
  </si>
  <si>
    <t xml:space="preserve">Laptop Computer </t>
  </si>
  <si>
    <t>32.0</t>
  </si>
  <si>
    <t xml:space="preserve">Buildout </t>
  </si>
  <si>
    <t xml:space="preserve">Training </t>
  </si>
  <si>
    <t>Polygraph Examination</t>
  </si>
  <si>
    <t>Medical Care</t>
  </si>
  <si>
    <t xml:space="preserve">Firearms </t>
  </si>
  <si>
    <t xml:space="preserve">Basic Training </t>
  </si>
  <si>
    <t>Professional Support</t>
  </si>
  <si>
    <t>Training</t>
  </si>
  <si>
    <t>Clerical</t>
  </si>
  <si>
    <t>Computer Workstation-- Server Hardware</t>
  </si>
  <si>
    <t>Modular Costs for New 2012 Positions</t>
  </si>
  <si>
    <t>GS-1, $22,115 - 27,663</t>
  </si>
  <si>
    <t>GS-2, $24,865 - 31,292</t>
  </si>
  <si>
    <t>GS-4, $30,456 - 39,590</t>
  </si>
  <si>
    <t>GS-3, $27,130 - 35,269</t>
  </si>
  <si>
    <t>GS-5, $34,075 - 44,293</t>
  </si>
  <si>
    <t>GS-6, $37,983 - 49,375</t>
  </si>
  <si>
    <t>GS-7, $42,209 - 54,875</t>
  </si>
  <si>
    <t>GS-8, $46,745 - 60,765</t>
  </si>
  <si>
    <t>GS-9, $51,630 - 67,114</t>
  </si>
  <si>
    <t>GS-10, $56,857 - 73,917</t>
  </si>
  <si>
    <t>GS-11, $62,467 - 81,204</t>
  </si>
  <si>
    <t>GS-12, $74,872 - 97,333</t>
  </si>
  <si>
    <t>GS-13, $89,033 - 115,742</t>
  </si>
  <si>
    <t>GS-14, $105,211 - 136,771</t>
  </si>
  <si>
    <t>GS-15, $123,758 - 155,500</t>
  </si>
  <si>
    <t>SES, $119,554 - 179,700</t>
  </si>
  <si>
    <t>Crosswalk of 2010 Availability</t>
  </si>
  <si>
    <t>2012 template</t>
  </si>
  <si>
    <t>Information Technology Mgmt  (2210)</t>
  </si>
  <si>
    <t>23.1  GSA rent</t>
  </si>
  <si>
    <t>25.4  Operation and maintenance of facilities</t>
  </si>
  <si>
    <t>Less lapse (50 %)</t>
  </si>
  <si>
    <t>L: Summary of Requirements by Object Class</t>
  </si>
  <si>
    <t>K: Summary of Requirements by Grade</t>
  </si>
  <si>
    <t>Program Increases</t>
  </si>
  <si>
    <t>FY 2012 Program Increases/Offsets By Decision Unit</t>
  </si>
  <si>
    <t>F: Crosswalk of 2010 Availability</t>
  </si>
  <si>
    <t>25.7 Operation and maintenance of equipment</t>
  </si>
  <si>
    <t>2010 Supplementals</t>
  </si>
  <si>
    <t>Justification for Base Adjustments</t>
  </si>
  <si>
    <t>Net Compensation</t>
  </si>
  <si>
    <t>Associated employee benefits</t>
  </si>
  <si>
    <t>Transportation of Things</t>
  </si>
  <si>
    <t>Communications/Utilities</t>
  </si>
  <si>
    <t>Printing/Reproduction</t>
  </si>
  <si>
    <t>2012 Current Services</t>
  </si>
  <si>
    <t>2012 Total Request</t>
  </si>
  <si>
    <t>2012 Adjustments to Base and Technical Adjustments</t>
  </si>
  <si>
    <t>2012 Increases</t>
  </si>
  <si>
    <t>2012 Offsets</t>
  </si>
  <si>
    <t>P.  IT Investment Questionnaire</t>
  </si>
  <si>
    <t xml:space="preserve"> A response should be provided only in the highlighted cells.  </t>
  </si>
  <si>
    <t>Pay and Benefits</t>
  </si>
  <si>
    <t>Foreign Expenses</t>
  </si>
  <si>
    <t>POS</t>
  </si>
  <si>
    <t>Total Increase:</t>
  </si>
  <si>
    <t>Total ATB:</t>
  </si>
  <si>
    <t>Other Contractual Services:</t>
  </si>
  <si>
    <t xml:space="preserve">    25.2  Other Services</t>
  </si>
  <si>
    <t>Supplies and Materials</t>
  </si>
  <si>
    <t>TOTAL COSTS SUBJECT TO ANNUALIZATION</t>
  </si>
  <si>
    <t xml:space="preserve">Amount  </t>
  </si>
  <si>
    <t>Grades:</t>
  </si>
  <si>
    <t>(Dollars in Thousands)</t>
  </si>
  <si>
    <t>Salaries and Expenses</t>
  </si>
  <si>
    <t>A: Organizational Chart</t>
  </si>
  <si>
    <t>Total Offsets</t>
  </si>
  <si>
    <t>Other FTE:</t>
  </si>
  <si>
    <t>Total Comp. FTE</t>
  </si>
  <si>
    <t>Total FTE</t>
  </si>
  <si>
    <t>Reimbursable FTE</t>
  </si>
  <si>
    <t>Other FTE</t>
  </si>
  <si>
    <t>Total Compensable FTE</t>
  </si>
  <si>
    <t>Headquarters (Washington, D.C.)</t>
  </si>
  <si>
    <t>Summary of Requirements</t>
  </si>
  <si>
    <t>Reimbursable FTE:</t>
  </si>
  <si>
    <t>Total Program Increases</t>
  </si>
  <si>
    <t>Rescissions</t>
  </si>
  <si>
    <t>Supplementals</t>
  </si>
  <si>
    <t xml:space="preserve">     Subtotal Increases</t>
  </si>
  <si>
    <t xml:space="preserve">  Total, 2012 program changes requested</t>
  </si>
  <si>
    <t>Collections by Source</t>
  </si>
  <si>
    <t>Budgetary Resources:</t>
  </si>
  <si>
    <t>Instructions</t>
  </si>
  <si>
    <t>Estimates by budget activity</t>
  </si>
  <si>
    <t>Pos.</t>
  </si>
  <si>
    <t xml:space="preserve"> </t>
  </si>
  <si>
    <t>Amount</t>
  </si>
  <si>
    <t>Increases</t>
  </si>
  <si>
    <t>Personnel Management (200-299)</t>
  </si>
  <si>
    <t>Clerical and Office Services (300-399)</t>
  </si>
  <si>
    <t>Accounting and Budget (500-599)</t>
  </si>
  <si>
    <t>U.S. Field</t>
  </si>
  <si>
    <t>Foreign Field</t>
  </si>
  <si>
    <t>TOTAL</t>
  </si>
  <si>
    <t>Summary of Requirements by Grade</t>
  </si>
  <si>
    <t>Resources by Department of Justice Strategic Goal/Objective</t>
  </si>
  <si>
    <t>Offsets</t>
  </si>
  <si>
    <t>Strategic Goal and Strategic Objective</t>
  </si>
  <si>
    <t>Direct, Reimb. Other FTE</t>
  </si>
  <si>
    <t>Direct Amount $000s</t>
  </si>
  <si>
    <t>Goal 1: Prevent Terrorism and Promote the Nation's Security</t>
  </si>
  <si>
    <t xml:space="preserve">   1.2  Strengthen partnerships to prevent, deter, and respond to terrorist incidents </t>
  </si>
  <si>
    <t>Subtotal, Goal 1</t>
  </si>
  <si>
    <t>Goal 2: Prevent Crime, Enforce Federal Laws and Represent the 
              Rights and Interests of the American People</t>
  </si>
  <si>
    <r>
      <t xml:space="preserve">   2.3  Prevent, suppress, and intervene in crimes against children</t>
    </r>
    <r>
      <rPr>
        <b/>
        <sz val="10"/>
        <rFont val="Times New Roman"/>
        <family val="1"/>
      </rPr>
      <t xml:space="preserve"> </t>
    </r>
  </si>
  <si>
    <t>Subtotal, Goal 2</t>
  </si>
  <si>
    <t xml:space="preserve">Goal 3: Ensure the Fair and Efficient Administration of Justice
           </t>
  </si>
  <si>
    <t xml:space="preserve">   3.1 Protect judges, witnesses, and other participants in federal proceedings, and ensure the appearance of criminal defendants for judicial proceedings or confinement </t>
  </si>
  <si>
    <r>
      <t xml:space="preserve">   3.2 Ensure the apprehension of fugitives from justice</t>
    </r>
    <r>
      <rPr>
        <b/>
        <sz val="10"/>
        <rFont val="Times New Roman"/>
        <family val="1"/>
      </rPr>
      <t xml:space="preserve"> </t>
    </r>
  </si>
  <si>
    <t>Subtotal, Goal 3</t>
  </si>
  <si>
    <t>GRAND TOTAL</t>
  </si>
  <si>
    <t>2010 Appropriation Enacted w/ Rescissions and Supplementals</t>
  </si>
  <si>
    <t>(Not required for OMB Submission)</t>
  </si>
  <si>
    <t>1st Year
Lapsed 50%</t>
  </si>
  <si>
    <t>Subtotal
Adjust to Base</t>
  </si>
  <si>
    <t>2013 Cost
GS-11/1</t>
  </si>
  <si>
    <t>Full Year
GS-9/1</t>
  </si>
  <si>
    <t>2014 Cost
GS-12/5</t>
  </si>
  <si>
    <t>Full Year
GS - 14/5</t>
  </si>
  <si>
    <t>2013 Cost
GS-15/5</t>
  </si>
  <si>
    <t>Full Year
GS - 7/1</t>
  </si>
  <si>
    <t>2013 Cost
GS-8/5</t>
  </si>
  <si>
    <t>Crosswalk of 2011 Availability</t>
  </si>
  <si>
    <t>2011 Availability</t>
  </si>
  <si>
    <t>GSA Rent</t>
  </si>
  <si>
    <t>2011 Continuing Resolution (with Rescissions, direct only)</t>
  </si>
  <si>
    <t>Total 2011 CR (with Rescissions and Supplementals)</t>
  </si>
  <si>
    <t xml:space="preserve">2011 CR </t>
  </si>
  <si>
    <t>Carryover</t>
  </si>
  <si>
    <t>Recoveries</t>
  </si>
  <si>
    <t>2011 CR</t>
  </si>
  <si>
    <t>FY 2011 CR Without Rescissions</t>
  </si>
  <si>
    <t>2010 - 2012 Total Change</t>
  </si>
  <si>
    <t xml:space="preserve">Increase/Decrease </t>
  </si>
  <si>
    <t>United States Marshals Service</t>
  </si>
  <si>
    <t>Construction</t>
  </si>
  <si>
    <t xml:space="preserve">Offsets </t>
  </si>
  <si>
    <t>Judicial and Courthouse Security</t>
  </si>
  <si>
    <t>\ 1 Includes $8,000 approved under the FY 2010 Enacted Border Security Supplemental Appropriations Act (P.L. 111-230), available until 9/30/2011.</t>
  </si>
  <si>
    <t xml:space="preserve">     Subtotal Transfer</t>
  </si>
  <si>
    <t xml:space="preserve">    Subtotal Offsets</t>
  </si>
  <si>
    <t xml:space="preserve">    Subtotal Increases</t>
  </si>
  <si>
    <t>Administrative Efficiencies</t>
  </si>
  <si>
    <t>Reduce Physical Footprint</t>
  </si>
  <si>
    <t>Fugitive Apprehension</t>
  </si>
  <si>
    <t>Prisoner Security and Transportation</t>
  </si>
  <si>
    <t>Protection of Witnesses</t>
  </si>
  <si>
    <t>Tactical Operations</t>
  </si>
  <si>
    <t xml:space="preserve">     LEAP</t>
  </si>
  <si>
    <t>13.0  Other benefits</t>
  </si>
  <si>
    <t>23.2 Rental Payments to Others</t>
  </si>
  <si>
    <t>32.0  Build Out</t>
  </si>
  <si>
    <t>42.0  Other</t>
  </si>
  <si>
    <t>2012 Total Request (with Rescissions, direct only)</t>
  </si>
  <si>
    <t>2012 Request w/ Rescissions</t>
  </si>
  <si>
    <t>Judicial &amp; Courthouse Security Offsets</t>
  </si>
  <si>
    <t>Prisoner Security &amp; Transport</t>
  </si>
  <si>
    <t>Admin Eff.</t>
  </si>
  <si>
    <t>Amt.</t>
  </si>
  <si>
    <t>Judicial &amp; Courthouse Security</t>
  </si>
  <si>
    <t>All Units</t>
  </si>
  <si>
    <t>Judicial/Courthouse Sec.</t>
  </si>
  <si>
    <t>Administrative Office of the U.S. Courts (AOUSC)</t>
  </si>
  <si>
    <t>Assets Forfeiture Fund (AFF)</t>
  </si>
  <si>
    <t>Active Response Corp (ARC)</t>
  </si>
  <si>
    <t>Department of State (DOS)</t>
  </si>
  <si>
    <t>Department of Justice (DOJ)</t>
  </si>
  <si>
    <t>Executive Office of the U.S. Attorneys (EOUSA)</t>
  </si>
  <si>
    <t>Office of Federal Detention Trustee (OFDT)</t>
  </si>
  <si>
    <t>Federal Law Enforcement Training Center (FLETC)</t>
  </si>
  <si>
    <t>High Intensity Drug Trafficking Area (HIDTA)</t>
  </si>
  <si>
    <t>Office of National Drug Control Policy (ONDCP)</t>
  </si>
  <si>
    <t>U.S. Tax Court</t>
  </si>
  <si>
    <t>Organized Crime Drug Enforcement Task Force Program (OCDETF)</t>
  </si>
  <si>
    <t>Service of Process (SOP)</t>
  </si>
  <si>
    <t>Gang Related Education and Training (GREAT)</t>
  </si>
  <si>
    <t>Centers for Disease Control (CDC)</t>
  </si>
  <si>
    <t>Department of Defense (DOD)</t>
  </si>
  <si>
    <t>Various Federal Sources</t>
  </si>
  <si>
    <t>Executive Level IV, $155,500</t>
  </si>
  <si>
    <t>Senior Level, $119,554 - 179,700</t>
  </si>
  <si>
    <t>Buildout</t>
  </si>
  <si>
    <r>
      <t>Annualization of 2010 Supp positions - SW Border</t>
    </r>
    <r>
      <rPr>
        <sz val="9"/>
        <rFont val="Times New Roman"/>
        <family val="1"/>
      </rPr>
      <t xml:space="preserve">.  This provides for the annualization of 122 additional positions appropriated in 2010.  This request includes an increase of $26,125 for full-year payroll costs associated with these additional positions.   </t>
    </r>
  </si>
  <si>
    <r>
      <t>Changes in Compensable Days</t>
    </r>
    <r>
      <rPr>
        <sz val="9"/>
        <rFont val="Times New Roman"/>
        <family val="1"/>
      </rPr>
      <t>.  The decreased cost for one compensable day in FY 2012 compared to FY 2011 is calculated by dividing the FY 2011 estimated personnel compensation $520,018 and applicable benefits $169,946 by 261 compensable days.</t>
    </r>
  </si>
  <si>
    <r>
      <t>Employees Compensation Fund:</t>
    </r>
    <r>
      <rPr>
        <sz val="9"/>
        <rFont val="Times New Roman"/>
        <family val="1"/>
      </rPr>
      <t xml:space="preserve">  The $212 decrease reflects payments to the Department of Labor for injury benefits paid in the past year under the Federal Employee Compensation Act.  This estimate is based on the first quarter of prior year billing and current year estimates.</t>
    </r>
  </si>
  <si>
    <r>
      <t>Health Insurance</t>
    </r>
    <r>
      <rPr>
        <sz val="9"/>
        <rFont val="Times New Roman"/>
        <family val="1"/>
      </rPr>
      <t>:  Effective January 2012, this component's contribution to Federal employees' health insurance premiums increased by 7.1 percent.  Applied against the 2011 estimate of $36,758, the additional amount required is $2,626.</t>
    </r>
  </si>
  <si>
    <r>
      <t>Retirement</t>
    </r>
    <r>
      <rPr>
        <sz val="9"/>
        <rFont val="Times New Roman"/>
        <family val="1"/>
      </rPr>
      <t>.  Agency retirement contributions increase as employees under CSRS retire and are replaced by FERS employees.  Based on OPM government-wide estimates, we project that the DOJ workforce will convert from CSRS to FERS at a rate of 1.3 percent per year.  The requested increase of $855 is necessary to meet our increased retirement obligations as a result of this conversion.</t>
    </r>
  </si>
  <si>
    <r>
      <t>General Services Administration (GSA) Rent.</t>
    </r>
    <r>
      <rPr>
        <sz val="9"/>
        <color indexed="8"/>
        <rFont val="Times New Roman"/>
        <family val="1"/>
      </rPr>
      <t xml:space="preserve">  GSA will continue to charge rental rates that approximate those charged to commercial tenants for equivalent space and related services.  The requested increase of $11,100 is required to meet our commitment to GSA.  The costs associated with GSA rent were derived through the use of an automated system, which uses the latest inventory data, including rate increases to be effective in FY 2012 for each building currently occupied by Department of Justice components, as well as the costs of new space to be occupied.  GSA provided data on the rate increases.</t>
    </r>
  </si>
  <si>
    <r>
      <t>Post Allowance - Cost of Living Allowance (COLA) - object class 12.1.</t>
    </r>
    <r>
      <rPr>
        <sz val="9"/>
        <rFont val="Times New Roman"/>
        <family val="1"/>
      </rPr>
      <t xml:space="preserve"> For employees stationed abroad, components are obligated to pay for their COLA.  COLA is intended to reimburse certain excess costs and to compensate the employee for serving at a post where the cost of living, excluding the cost of quarters and the cost of education for eligible family members, is substantially higher than in the Washington, D.C. area.  $23, reflects the increase in cost to support existing staffing levels.  </t>
    </r>
  </si>
  <si>
    <r>
      <t>Education Allowance - object class 12.1.</t>
    </r>
    <r>
      <rPr>
        <sz val="9"/>
        <rFont val="Times New Roman"/>
        <family val="1"/>
      </rPr>
      <t xml:space="preserve">  For employees stationed abroad, components are obligated to meet the educational expenses incurred by an employee in providing adequate elementary (grades K-8) and secondary (grades 9-12) education for dependent children at post.  $517, reflects the change in cost to support existing staffing levels.  </t>
    </r>
  </si>
  <si>
    <t>Carryover.  Unobligated Balances that were carried over from FY 2009 include $5,905,720 (0324X - S&amp;E Direct); and, $14,706,039 (0324 9/10 - S&amp;E).</t>
  </si>
  <si>
    <t>Supplementals.  Includes $29,651,000 under the FY 2010 Enacted Border Security Supplemental Appropriations Act (P.L. 111-230), available until 9/30/2011</t>
  </si>
  <si>
    <t>Transfers.  Unobligated balance of $95,369 was transferred from 1070 09/10 - Office of the National Drug Control Policy (ONDCP) to 0324R 9/10 - S&amp;E, and Appropriated funds of $5,484,591 was transferred from 1070 10/11 - ONDCP to 0324B 10/11 - S&amp;E for High Intensity Drug Trafficking Area (HIDTA) initiatives. $7,087 was transfered from 0324R 9/10  to 1070 9/10 for HIDTA and $6,509,160 was transferred from 0324A to JMD's Wireless Management Office (0132X) for radio equipment.</t>
  </si>
  <si>
    <t>Supplementals.  Includes $8,000,000 under the FY 2010 Enacted Border Security Supplemental Appropriations Act (P.L. 111-230), available until 9/30/2011.</t>
  </si>
  <si>
    <t>Total Transfers:</t>
  </si>
  <si>
    <t>Annual salary rate of 0 new positions</t>
  </si>
  <si>
    <t>2009 Increases ($000)</t>
  </si>
  <si>
    <r>
      <t>International Cooperative Administrative Support Services (ICASS)</t>
    </r>
    <r>
      <rPr>
        <sz val="9"/>
        <color indexed="8"/>
        <rFont val="Times New Roman"/>
        <family val="1"/>
      </rPr>
      <t>.  Under the ICASS, an annual charge is made by the Department of State for administrative support based on the overseas staff of each federal agency.  This request of $452 is based on the projected FY 2011 bill for post invoices and other ICASS costs.</t>
    </r>
  </si>
  <si>
    <r>
      <t>Overseas Capital Security Cost Sharing (CSCS).</t>
    </r>
    <r>
      <rPr>
        <sz val="9"/>
        <color indexed="8"/>
        <rFont val="Times New Roman"/>
        <family val="1"/>
      </rPr>
      <t xml:space="preserve">  The Department of State (DOS) is in the midst of a 14-year, $17.5 billion embassy construction program, with a plan to build approximately 150 new diplomatic and consular compounds.  DOS has proposed that costs be allocated through a Capital Security Cost Sharing Program in which each agency will contribute funding based on the number of positions that are authorized for overseas personnel.  The estimated cost to the Department, as provided by DOS, for FY 2012 is TBD.  The USMS currently has 17 positions overseas, and funding of $17 is requested for this account.  </t>
    </r>
  </si>
  <si>
    <r>
      <t>Annualization of additional positions approved in 2009 and 2010</t>
    </r>
    <r>
      <rPr>
        <sz val="9"/>
        <rFont val="Times New Roman"/>
        <family val="1"/>
      </rPr>
      <t xml:space="preserve">.  This provides for the annualization of 772 additional positions appropriated in 2010.  Annualization of new positions extends to 3 years to provide for entry level funding in the first year with a 2-year progression to the journeyman level.  For 2010 increases, this request includes an increase of $60,662 for full-year payroll costs associated with these additional positions.   For 2009 increases, this request includes a decrease of $6,029 for one-time items associated with increased positions, and an increase of $24,596 for full-year payroll costs associated with these additional positions, for a net increase of $18,567. </t>
    </r>
  </si>
  <si>
    <t>2010 Appropriation Enacted w/Rescissions and Supplementals \1</t>
  </si>
  <si>
    <t>Transfer In</t>
  </si>
  <si>
    <t>Transfer Out</t>
  </si>
  <si>
    <t>43.0  Refunds</t>
  </si>
  <si>
    <t>25.8 Subsistence &amp; Support of Persons</t>
  </si>
  <si>
    <t>25.6  Medical Care</t>
  </si>
  <si>
    <t>25.3 Purchases of goods &amp; services from Government accounts</t>
  </si>
  <si>
    <t>Rental Payment to Others</t>
  </si>
  <si>
    <t>Sec Cost Adj</t>
  </si>
  <si>
    <t>Const Acct Reduction</t>
  </si>
  <si>
    <t>Program Change</t>
  </si>
  <si>
    <t>2010 Actual</t>
  </si>
  <si>
    <t>2011 Planned</t>
  </si>
  <si>
    <t>G: Crosswalk of 2011 Availability</t>
  </si>
  <si>
    <t>Carryover.  Unobligated funds that were carried over from FY 2009 include $19,734,328 (0324X - S&amp;E Direct); $29,651,000 (0324 10/11 - S&amp;E Direct) from SWB Supplemental; and, $4,905,556 (0324 10/11 - S&amp;E) from HIDTA.</t>
  </si>
  <si>
    <t>Transfers.  Unobligated balance of $4,186,179 was transferred from 1070 10/11 - ONDCP to 0324B 10/11 - S&amp;E for High Intensity Drug Trafficking Area (HIDTA) initiatives.</t>
  </si>
  <si>
    <t>Recoveries.  Funds that were recovered from prior year unpaid obligations include $1,141,790 (0324X - S&amp;E Direct);  and, $67,613 (0324 10/11 - S&amp;E).</t>
  </si>
  <si>
    <t>Recoveries.  Funds that were recovered from prior year unpaid obligations include $101,127 (0133X - Construction).</t>
  </si>
  <si>
    <t>Carryover.  Unobligated funds that were carried over from FY 2010 include $2,053,518 (0133X - Construction), and $8,000,000 (0133B - Multi-year Construction).</t>
  </si>
  <si>
    <t>Reimbursable FTE \1</t>
  </si>
  <si>
    <t>Carryover.  Unobligated Balances that were carried over from FY 2009 include $751,874 (0133X - Construction).</t>
  </si>
  <si>
    <t>Recoveries.  Funds that were recovered from prior year unpaid obligations include $1,263,688 (0133X - Construction).</t>
  </si>
  <si>
    <t>25.2 Other services (Antennas, DHS Security)</t>
  </si>
  <si>
    <t>Electronic Surveillance Capabilities</t>
  </si>
  <si>
    <t>FTE \1</t>
  </si>
  <si>
    <t>\1 The FTE in this budget reflect an FTE level developed using the authorized FTE level in FY 2010 and differ from the FTE listed in the FY 2012 President's Budget Appendix, which were developed using FY 2010 on-board levels.</t>
  </si>
  <si>
    <t>\3 The FTE in this budget reflect an FTE level developed using the authorized FTE level in FY 2010 and differ from the FTE listed in the FY 2012 President's Budget Appendix, which were developed using FY 2010 on-board levels.</t>
  </si>
  <si>
    <t>\1 Adjustments-to-Base for reimbursable FTE includes technical adjustment of 1 OCDETF position for the Fusion program, -3 positions for the Active Response Corps (ARC), and -2 positions for the Centers for Disease Control (CDC).  These technical adjustments were not displayed in FY 2010 Enacted Appropriation (-5 FTE) and FY 2011 President's Budget (1 FTE).</t>
  </si>
  <si>
    <t>\2 Includes 122 positions, 101 FTE, and $29,651 under the FY 2010 Enacted Border Security Supplemental Appropriations Act (P.L. 111-230), available until 9/30/2011.</t>
  </si>
  <si>
    <t>2010 Appropriation Enacted w/Rescissions and Supplementals \2 &amp; \3</t>
  </si>
  <si>
    <t>The FTE in this budget reflect an FTE level developed using the authorized FTE level in FY 2010 and differ from the FTE listed in the FY 2012 President's Budget Appendix, which were developed using FY 2010 on-board levels.</t>
  </si>
  <si>
    <t>Increases:</t>
  </si>
  <si>
    <t>Transfer - To Components for Financial Management Systems</t>
  </si>
  <si>
    <t>Transfer - From Components to PRAO</t>
  </si>
  <si>
    <t>Transfer - From Components to OIP</t>
  </si>
  <si>
    <t>Task Forces Consolidation</t>
  </si>
  <si>
    <t>Extend Tech Refresh</t>
  </si>
  <si>
    <t>Security Cost Adjustments</t>
  </si>
  <si>
    <t>Rescission - USMS</t>
  </si>
  <si>
    <t>Task Forces Consol.</t>
  </si>
  <si>
    <r>
      <t>Government Leased Quarters (GLQ)/Allowance - object class 12.1</t>
    </r>
    <r>
      <rPr>
        <sz val="9"/>
        <rFont val="Times New Roman"/>
        <family val="1"/>
      </rPr>
      <t xml:space="preserve">.  GLQ is a mandatory program managed by the Department of State (DOS) and provides government employees stationed overseas with housing and utilities.  DOS exercises authority for leases and control of the GLQs and negotiates the lease for components.  The living quarters allowance (LQA) is an allowance granted an employee for the annual cost of adequate living quarters for the employee and the employee's family at a foreign post.  The rates are designed to cover the average costs of rent, heat, light, fuel, gas, electricity, water, local taxes, and insurance paid by the employee.  Employees who receive GLQ do not receive LQA and vice versa.  $46, reflects the change in cost to support existing staffing levels.  </t>
    </r>
  </si>
  <si>
    <r>
      <t>Transfers - From Components to Office of Information Policy (OIP) Transfer</t>
    </r>
    <r>
      <rPr>
        <sz val="9"/>
        <rFont val="Times New Roman"/>
        <family val="1"/>
      </rPr>
      <t>.  The component transfers for the OIP into the General Administration appropriation will centralize appropriated funding and eliminate the current reimbursable financing process.  The centralization of the funding is  administratively advantageous because it eliminates the paper-intensive reimbursement process.  The FY 2012 transfer amount for OIP, -$100, is based on the FY 2010 actual costs plus standard inflation per year (the average increase over the past three years) to bridge to FY 2012 amounts.  The amount per component is based on the average percentage of total costs paid by that component since 2007.</t>
    </r>
  </si>
  <si>
    <r>
      <t>Transfers - From Components to Professional Responsibility Advisory Office (PRAO) Transfer</t>
    </r>
    <r>
      <rPr>
        <sz val="9"/>
        <rFont val="Times New Roman"/>
        <family val="1"/>
      </rPr>
      <t>.  The component transfers for the PRAO into the General Administration appropriation will centralize appropriated funding and eliminate the current reimbursable financing process.  The centralization of the funding is administratively advantageous because it eliminates the paper-intensive reimbursement process.  The FY 2012 transfer amount for PRAO, -$8, is based on the FY 2010 actual costs plus standard inflation per year (the average increase over the past three years) to bridge to FY 2012 amounts.  The amount per component is based on the average percentage of total costs paid by that component since 2007.</t>
    </r>
  </si>
  <si>
    <r>
      <t>Transfers - To Components for Financial Management System.</t>
    </r>
    <r>
      <rPr>
        <sz val="9"/>
        <rFont val="Times New Roman"/>
        <family val="1"/>
      </rPr>
      <t xml:space="preserve">  UFMS implementation at ATF and DEA is complete.  Recently, DOJ transferred resources from the WCF to fully fund the complete implementation of UFMS at the FBI and USMS.  Because full funding is available to complete work on current segments (FBI and USMS), and additional components are not planned at this time, additional funding in FY12 to fund additional segments is not required now.   Reliance on the WCF for BOP and any additional UFMS implementations will reduce the risk of implementation delays from continuing resolutions and Congressional reductions.  The FY 2012 transfer amount for JIST for WCF Financial System is $2,806.</t>
    </r>
  </si>
  <si>
    <r>
      <t>Annualization of 2010 pay raise</t>
    </r>
    <r>
      <rPr>
        <sz val="9"/>
        <rFont val="Times New Roman"/>
        <family val="1"/>
      </rPr>
      <t xml:space="preserve">.  This pay annualization represents the first quarter amounts (October through December) of the 2010 pay increase of 2.0 percent, for which funds were not provided under the FY 2011 CR.  Together with the resources provided in 2010 for the pay raise, the $2,787 requested represents the pay amounts for the full year of the 2010 enacted pay raise ($1,993 for pay and $794 for benefits). </t>
    </r>
  </si>
  <si>
    <t xml:space="preserve">FTE </t>
  </si>
  <si>
    <t>Department of Homeland Security (DHS)</t>
  </si>
  <si>
    <t>Rescission in Prior Year Balances</t>
  </si>
  <si>
    <t>Grand Total</t>
  </si>
  <si>
    <t>Subtotal</t>
  </si>
  <si>
    <t>Extend Technology Refresh</t>
  </si>
  <si>
    <t>Construction Non-Recur</t>
  </si>
  <si>
    <t xml:space="preserve">          Total obligations \1</t>
  </si>
  <si>
    <t>\1 Total obligations in FY 2010 differs from the amount reported in MAX because MAX was locked for FY 2010 data entry before EOY SF-133 and FACTS II were finalized.</t>
  </si>
  <si>
    <t>Const Non-Recur</t>
  </si>
  <si>
    <t>Recoveries.  Funds that were recovered from prior year unpaid obligations include $10,323,652 (0324X - S&amp;E Direct);  and, $216,061 (0324 9/10 - S&amp;E).</t>
  </si>
  <si>
    <t>Unobligated balance, expiring</t>
  </si>
</sst>
</file>

<file path=xl/styles.xml><?xml version="1.0" encoding="utf-8"?>
<styleSheet xmlns="http://schemas.openxmlformats.org/spreadsheetml/2006/main">
  <numFmts count="11">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_(* #,##0_);_(* \(#,##0\);_(* &quot;-&quot;??_);_(@_)"/>
    <numFmt numFmtId="168" formatCode="_(&quot;$&quot;* #,##0_);_(&quot;$&quot;* \(#,##0\);_(&quot;$&quot;* &quot;-&quot;??_);_(@_)"/>
    <numFmt numFmtId="169" formatCode="_(&quot;$&quot;* #,##0.0_);_(&quot;$&quot;* \(#,##0.0\);_(&quot;$&quot;* &quot;-&quot;??_);_(@_)"/>
    <numFmt numFmtId="170" formatCode="0_);\(0\)"/>
  </numFmts>
  <fonts count="79">
    <font>
      <sz val="12"/>
      <name val="Arial"/>
    </font>
    <font>
      <u/>
      <sz val="12"/>
      <name val="TimesNewRomanPS"/>
    </font>
    <font>
      <sz val="12"/>
      <name val="TimesNewRomanPS"/>
    </font>
    <font>
      <sz val="12"/>
      <name val="Times New Roman"/>
      <family val="1"/>
    </font>
    <font>
      <sz val="12"/>
      <name val="Times New Roman"/>
      <family val="1"/>
    </font>
    <font>
      <sz val="10"/>
      <color indexed="8"/>
      <name val="TMS"/>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sz val="8"/>
      <color indexed="8"/>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2"/>
      <color indexed="8"/>
      <name val="TMS"/>
    </font>
    <font>
      <sz val="10"/>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u/>
      <sz val="9"/>
      <name val="Times New Roman"/>
      <family val="1"/>
    </font>
    <font>
      <b/>
      <i/>
      <sz val="10"/>
      <name val="Arial"/>
      <family val="2"/>
    </font>
    <font>
      <i/>
      <sz val="10"/>
      <name val="Arial"/>
      <family val="2"/>
    </font>
    <font>
      <sz val="14"/>
      <name val="Arial"/>
      <family val="2"/>
    </font>
    <font>
      <u/>
      <sz val="9"/>
      <color indexed="8"/>
      <name val="Times New Roman"/>
      <family val="1"/>
    </font>
    <font>
      <sz val="8"/>
      <name val="Arial"/>
      <family val="2"/>
    </font>
    <font>
      <sz val="9"/>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10"/>
      <color indexed="9"/>
      <name val="TMS"/>
    </font>
    <font>
      <sz val="8"/>
      <color indexed="9"/>
      <name val="Arial"/>
      <family val="2"/>
    </font>
    <font>
      <sz val="8"/>
      <color indexed="9"/>
      <name val="Arial"/>
      <family val="2"/>
    </font>
    <font>
      <sz val="8"/>
      <name val="Times New Roman"/>
      <family val="1"/>
    </font>
    <font>
      <sz val="8"/>
      <color indexed="9"/>
      <name val="Times New Roman"/>
      <family val="1"/>
    </font>
    <font>
      <sz val="8"/>
      <color indexed="8"/>
      <name val="Arial"/>
      <family val="2"/>
    </font>
    <font>
      <sz val="8"/>
      <color indexed="9"/>
      <name val="Times New Roman"/>
      <family val="1"/>
    </font>
    <font>
      <sz val="8"/>
      <name val="Times New Roman"/>
      <family val="1"/>
    </font>
    <font>
      <sz val="12"/>
      <name val="Arial"/>
      <family val="2"/>
    </font>
    <font>
      <sz val="18"/>
      <name val="Arial"/>
      <family val="2"/>
    </font>
    <font>
      <sz val="16"/>
      <name val="Arial"/>
      <family val="2"/>
    </font>
    <font>
      <b/>
      <sz val="12"/>
      <color indexed="8"/>
      <name val="Arial"/>
      <family val="2"/>
    </font>
    <font>
      <sz val="6"/>
      <color indexed="9"/>
      <name val="Arial"/>
      <family val="2"/>
    </font>
    <font>
      <b/>
      <i/>
      <u/>
      <sz val="10"/>
      <name val="Times New Roman"/>
      <family val="1"/>
    </font>
    <font>
      <sz val="8"/>
      <color indexed="81"/>
      <name val="Tahoma"/>
      <family val="2"/>
    </font>
    <font>
      <sz val="6"/>
      <color indexed="9"/>
      <name val="Arial"/>
      <family val="2"/>
    </font>
    <font>
      <i/>
      <sz val="12"/>
      <name val="Times New Roman"/>
      <family val="1"/>
    </font>
    <font>
      <u/>
      <sz val="12"/>
      <name val="Times New Roman"/>
      <family val="1"/>
    </font>
    <font>
      <b/>
      <sz val="9"/>
      <name val="Times New Roman"/>
      <family val="1"/>
    </font>
    <font>
      <b/>
      <u/>
      <sz val="9"/>
      <name val="Times New Roman"/>
      <family val="1"/>
    </font>
    <font>
      <b/>
      <sz val="9.75"/>
      <color indexed="8"/>
      <name val="Times New Roman"/>
      <family val="1"/>
    </font>
    <font>
      <b/>
      <sz val="9"/>
      <color indexed="8"/>
      <name val="Times New Roman"/>
      <family val="1"/>
    </font>
    <font>
      <b/>
      <sz val="7"/>
      <name val="Times New Roman"/>
      <family val="1"/>
    </font>
    <font>
      <b/>
      <sz val="6.75"/>
      <color indexed="8"/>
      <name val="Times New Roman"/>
      <family val="1"/>
    </font>
    <font>
      <b/>
      <sz val="7"/>
      <color indexed="8"/>
      <name val="Times New Roman"/>
      <family val="1"/>
    </font>
    <font>
      <sz val="7"/>
      <name val="Times New Roman"/>
      <family val="1"/>
    </font>
    <font>
      <sz val="16"/>
      <name val="Times New Roman"/>
      <family val="1"/>
    </font>
    <font>
      <u/>
      <sz val="10"/>
      <name val="Times New Roman"/>
      <family val="1"/>
    </font>
    <font>
      <b/>
      <sz val="10"/>
      <name val="Arial"/>
      <family val="2"/>
    </font>
    <font>
      <i/>
      <sz val="10"/>
      <name val="Times New Roman"/>
      <family val="1"/>
    </font>
    <font>
      <sz val="10"/>
      <name val="Arial"/>
      <family val="2"/>
    </font>
    <font>
      <sz val="12"/>
      <color theme="0"/>
      <name val="Arial"/>
      <family val="2"/>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147">
    <border>
      <left/>
      <right/>
      <top/>
      <bottom/>
      <diagonal/>
    </border>
    <border>
      <left style="thin">
        <color indexed="23"/>
      </left>
      <right style="thin">
        <color indexed="23"/>
      </right>
      <top style="thin">
        <color indexed="23"/>
      </top>
      <bottom style="thin">
        <color indexed="23"/>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8"/>
      </left>
      <right/>
      <top/>
      <bottom style="hair">
        <color indexed="8"/>
      </bottom>
      <diagonal/>
    </border>
    <border>
      <left/>
      <right/>
      <top/>
      <bottom style="hair">
        <color indexed="8"/>
      </bottom>
      <diagonal/>
    </border>
    <border>
      <left style="thin">
        <color indexed="64"/>
      </left>
      <right/>
      <top/>
      <bottom style="hair">
        <color indexed="8"/>
      </bottom>
      <diagonal/>
    </border>
    <border>
      <left style="thin">
        <color indexed="8"/>
      </left>
      <right/>
      <top/>
      <bottom/>
      <diagonal/>
    </border>
    <border>
      <left/>
      <right/>
      <top style="thin">
        <color indexed="8"/>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style="thin">
        <color indexed="23"/>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style="hair">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23"/>
      </bottom>
      <diagonal/>
    </border>
    <border>
      <left/>
      <right/>
      <top style="medium">
        <color indexed="64"/>
      </top>
      <bottom style="thin">
        <color indexed="23"/>
      </bottom>
      <diagonal/>
    </border>
    <border>
      <left/>
      <right style="thin">
        <color indexed="64"/>
      </right>
      <top/>
      <bottom style="hair">
        <color indexed="8"/>
      </bottom>
      <diagonal/>
    </border>
    <border>
      <left style="thin">
        <color indexed="64"/>
      </left>
      <right style="thin">
        <color indexed="64"/>
      </right>
      <top style="hair">
        <color indexed="8"/>
      </top>
      <bottom style="thin">
        <color indexed="64"/>
      </bottom>
      <diagonal/>
    </border>
    <border>
      <left/>
      <right style="thin">
        <color indexed="64"/>
      </right>
      <top style="hair">
        <color indexed="8"/>
      </top>
      <bottom style="thin">
        <color indexed="64"/>
      </bottom>
      <diagonal/>
    </border>
    <border>
      <left/>
      <right/>
      <top style="hair">
        <color indexed="8"/>
      </top>
      <bottom style="thin">
        <color indexed="64"/>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style="thin">
        <color indexed="64"/>
      </right>
      <top/>
      <bottom style="hair">
        <color indexed="8"/>
      </bottom>
      <diagonal/>
    </border>
    <border>
      <left/>
      <right style="thin">
        <color indexed="64"/>
      </right>
      <top style="hair">
        <color indexed="8"/>
      </top>
      <bottom style="hair">
        <color indexed="8"/>
      </bottom>
      <diagonal/>
    </border>
    <border>
      <left/>
      <right/>
      <top style="hair">
        <color indexed="8"/>
      </top>
      <bottom style="hair">
        <color indexed="8"/>
      </bottom>
      <diagonal/>
    </border>
    <border>
      <left/>
      <right style="thin">
        <color indexed="64"/>
      </right>
      <top style="hair">
        <color indexed="8"/>
      </top>
      <bottom style="thin">
        <color indexed="8"/>
      </bottom>
      <diagonal/>
    </border>
    <border>
      <left/>
      <right style="thin">
        <color indexed="64"/>
      </right>
      <top/>
      <bottom style="thin">
        <color indexed="8"/>
      </bottom>
      <diagonal/>
    </border>
    <border>
      <left/>
      <right style="thin">
        <color indexed="8"/>
      </right>
      <top/>
      <bottom style="hair">
        <color indexed="8"/>
      </bottom>
      <diagonal/>
    </border>
    <border>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8"/>
      </top>
      <bottom style="thin">
        <color indexed="23"/>
      </bottom>
      <diagonal/>
    </border>
    <border>
      <left style="thin">
        <color indexed="64"/>
      </left>
      <right/>
      <top style="thin">
        <color indexed="23"/>
      </top>
      <bottom style="thin">
        <color indexed="23"/>
      </bottom>
      <diagonal/>
    </border>
    <border>
      <left style="thin">
        <color indexed="64"/>
      </left>
      <right/>
      <top style="thin">
        <color indexed="23"/>
      </top>
      <bottom style="hair">
        <color indexed="64"/>
      </bottom>
      <diagonal/>
    </border>
    <border>
      <left style="thin">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8"/>
      </top>
      <bottom style="medium">
        <color indexed="64"/>
      </bottom>
      <diagonal/>
    </border>
    <border>
      <left/>
      <right style="thin">
        <color indexed="64"/>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diagonal/>
    </border>
    <border>
      <left/>
      <right style="thin">
        <color indexed="64"/>
      </right>
      <top style="hair">
        <color indexed="8"/>
      </top>
      <bottom/>
      <diagonal/>
    </border>
    <border>
      <left style="thin">
        <color indexed="64"/>
      </left>
      <right style="thin">
        <color indexed="64"/>
      </right>
      <top style="medium">
        <color indexed="64"/>
      </top>
      <bottom style="hair">
        <color indexed="8"/>
      </bottom>
      <diagonal/>
    </border>
    <border>
      <left style="thin">
        <color indexed="64"/>
      </left>
      <right/>
      <top style="thin">
        <color indexed="64"/>
      </top>
      <bottom style="medium">
        <color indexed="64"/>
      </bottom>
      <diagonal/>
    </border>
    <border>
      <left style="thin">
        <color indexed="23"/>
      </left>
      <right style="thin">
        <color indexed="64"/>
      </right>
      <top style="thin">
        <color indexed="23"/>
      </top>
      <bottom style="thin">
        <color indexed="23"/>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8"/>
      </top>
      <bottom style="medium">
        <color indexed="64"/>
      </bottom>
      <diagonal/>
    </border>
    <border>
      <left/>
      <right/>
      <top/>
      <bottom style="medium">
        <color indexed="8"/>
      </bottom>
      <diagonal/>
    </border>
    <border>
      <left style="thin">
        <color indexed="64"/>
      </left>
      <right style="thin">
        <color indexed="64"/>
      </right>
      <top style="thin">
        <color indexed="8"/>
      </top>
      <bottom/>
      <diagonal/>
    </border>
    <border>
      <left/>
      <right/>
      <top style="thin">
        <color indexed="64"/>
      </top>
      <bottom/>
      <diagonal/>
    </border>
    <border>
      <left style="thin">
        <color indexed="64"/>
      </left>
      <right/>
      <top/>
      <bottom style="thin">
        <color indexed="8"/>
      </bottom>
      <diagonal/>
    </border>
    <border>
      <left/>
      <right/>
      <top/>
      <bottom style="thin">
        <color indexed="8"/>
      </bottom>
      <diagonal/>
    </border>
    <border>
      <left/>
      <right/>
      <top style="thin">
        <color indexed="23"/>
      </top>
      <bottom style="thin">
        <color indexed="23"/>
      </bottom>
      <diagonal/>
    </border>
    <border>
      <left style="thin">
        <color indexed="64"/>
      </left>
      <right/>
      <top/>
      <bottom style="thin">
        <color indexed="23"/>
      </bottom>
      <diagonal/>
    </border>
    <border>
      <left/>
      <right/>
      <top/>
      <bottom style="thin">
        <color indexed="23"/>
      </bottom>
      <diagonal/>
    </border>
    <border>
      <left style="thin">
        <color indexed="64"/>
      </left>
      <right/>
      <top style="medium">
        <color indexed="64"/>
      </top>
      <bottom/>
      <diagonal/>
    </border>
    <border>
      <left/>
      <right style="thin">
        <color indexed="64"/>
      </right>
      <top style="medium">
        <color indexed="64"/>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top style="thin">
        <color indexed="64"/>
      </top>
      <bottom/>
      <diagonal/>
    </border>
    <border>
      <left style="thin">
        <color indexed="8"/>
      </left>
      <right/>
      <top/>
      <bottom style="thin">
        <color indexed="64"/>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style="thin">
        <color indexed="64"/>
      </right>
      <top/>
      <bottom style="thin">
        <color indexed="23"/>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s>
  <cellStyleXfs count="18">
    <xf numFmtId="0" fontId="0" fillId="0" borderId="0"/>
    <xf numFmtId="43" fontId="2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20" fillId="0" borderId="0" applyFont="0" applyFill="0" applyBorder="0" applyAlignment="0" applyProtection="0"/>
    <xf numFmtId="44" fontId="16" fillId="0" borderId="0" applyFont="0" applyFill="0" applyBorder="0" applyAlignment="0" applyProtection="0"/>
    <xf numFmtId="0" fontId="15" fillId="0" borderId="0"/>
    <xf numFmtId="0" fontId="77" fillId="0" borderId="0"/>
    <xf numFmtId="0" fontId="16" fillId="0" borderId="0"/>
    <xf numFmtId="0" fontId="15" fillId="0" borderId="0"/>
    <xf numFmtId="0" fontId="20" fillId="0" borderId="0"/>
    <xf numFmtId="0" fontId="20" fillId="0" borderId="0"/>
    <xf numFmtId="0" fontId="16" fillId="0" borderId="0"/>
    <xf numFmtId="0" fontId="16" fillId="0" borderId="0"/>
    <xf numFmtId="0" fontId="20" fillId="0" borderId="0"/>
    <xf numFmtId="0" fontId="16" fillId="0" borderId="0"/>
    <xf numFmtId="0" fontId="15" fillId="0" borderId="0"/>
    <xf numFmtId="9" fontId="20" fillId="0" borderId="0" applyFont="0" applyFill="0" applyBorder="0" applyAlignment="0" applyProtection="0"/>
  </cellStyleXfs>
  <cellXfs count="1088">
    <xf numFmtId="0" fontId="0" fillId="0" borderId="0" xfId="0"/>
    <xf numFmtId="165" fontId="2" fillId="0" borderId="0" xfId="0" applyNumberFormat="1" applyFont="1" applyAlignment="1"/>
    <xf numFmtId="165" fontId="2" fillId="0" borderId="0" xfId="0" applyNumberFormat="1" applyFont="1" applyBorder="1" applyAlignment="1"/>
    <xf numFmtId="165" fontId="6" fillId="0" borderId="0" xfId="0" applyNumberFormat="1" applyFont="1"/>
    <xf numFmtId="3" fontId="6" fillId="0" borderId="0" xfId="0" applyNumberFormat="1" applyFont="1" applyAlignment="1"/>
    <xf numFmtId="3" fontId="6" fillId="0" borderId="0" xfId="0" applyNumberFormat="1" applyFont="1" applyAlignment="1">
      <alignment horizontal="fill"/>
    </xf>
    <xf numFmtId="165" fontId="9" fillId="0" borderId="0" xfId="0" applyNumberFormat="1" applyFont="1" applyAlignment="1"/>
    <xf numFmtId="165" fontId="6" fillId="0" borderId="0" xfId="0" applyNumberFormat="1" applyFont="1" applyAlignment="1"/>
    <xf numFmtId="165" fontId="4" fillId="0" borderId="0" xfId="0" applyNumberFormat="1" applyFont="1" applyAlignment="1"/>
    <xf numFmtId="165" fontId="1" fillId="0" borderId="0" xfId="0" applyNumberFormat="1" applyFont="1" applyAlignment="1"/>
    <xf numFmtId="165" fontId="4" fillId="0" borderId="0" xfId="0" applyNumberFormat="1" applyFont="1" applyBorder="1" applyAlignment="1"/>
    <xf numFmtId="165" fontId="7" fillId="2" borderId="0" xfId="0" applyNumberFormat="1" applyFont="1" applyFill="1" applyAlignment="1"/>
    <xf numFmtId="165" fontId="7" fillId="2" borderId="0" xfId="0" applyNumberFormat="1" applyFont="1" applyFill="1" applyBorder="1" applyAlignment="1"/>
    <xf numFmtId="165" fontId="13" fillId="2" borderId="0" xfId="0" applyNumberFormat="1" applyFont="1" applyFill="1" applyAlignment="1"/>
    <xf numFmtId="165" fontId="6" fillId="0" borderId="0" xfId="0" applyNumberFormat="1" applyFont="1" applyAlignment="1">
      <alignment horizontal="right"/>
    </xf>
    <xf numFmtId="0" fontId="0" fillId="0" borderId="0" xfId="0" applyBorder="1"/>
    <xf numFmtId="3" fontId="5" fillId="2" borderId="0" xfId="0" applyNumberFormat="1" applyFont="1" applyFill="1" applyBorder="1" applyAlignment="1"/>
    <xf numFmtId="3" fontId="18" fillId="0" borderId="0" xfId="0" applyNumberFormat="1" applyFont="1" applyAlignment="1"/>
    <xf numFmtId="165" fontId="3" fillId="0" borderId="0" xfId="0" applyNumberFormat="1" applyFont="1" applyAlignment="1"/>
    <xf numFmtId="165" fontId="19" fillId="2" borderId="0" xfId="0" applyNumberFormat="1" applyFont="1" applyFill="1" applyAlignment="1"/>
    <xf numFmtId="165" fontId="6" fillId="0" borderId="0" xfId="0" applyNumberFormat="1" applyFont="1" applyBorder="1"/>
    <xf numFmtId="0" fontId="0" fillId="0" borderId="0" xfId="0" applyBorder="1" applyAlignment="1">
      <alignment vertical="top" wrapText="1"/>
    </xf>
    <xf numFmtId="0" fontId="30" fillId="0" borderId="0" xfId="0" applyFont="1"/>
    <xf numFmtId="165" fontId="2" fillId="0" borderId="0" xfId="0" applyNumberFormat="1" applyFont="1" applyFill="1" applyAlignment="1"/>
    <xf numFmtId="165" fontId="6" fillId="0" borderId="0" xfId="0" applyNumberFormat="1" applyFont="1" applyFill="1" applyAlignment="1"/>
    <xf numFmtId="165" fontId="6" fillId="3" borderId="0" xfId="0" applyNumberFormat="1" applyFont="1" applyFill="1"/>
    <xf numFmtId="165" fontId="7" fillId="3" borderId="0" xfId="0" applyNumberFormat="1" applyFont="1" applyFill="1" applyAlignment="1">
      <alignment horizontal="right"/>
    </xf>
    <xf numFmtId="165" fontId="7" fillId="3" borderId="0" xfId="0" applyNumberFormat="1" applyFont="1" applyFill="1" applyAlignment="1"/>
    <xf numFmtId="5" fontId="26" fillId="2" borderId="2" xfId="0" applyNumberFormat="1" applyFont="1" applyFill="1" applyBorder="1" applyAlignment="1"/>
    <xf numFmtId="5" fontId="26" fillId="2" borderId="3" xfId="0" applyNumberFormat="1" applyFont="1" applyFill="1" applyBorder="1" applyAlignment="1"/>
    <xf numFmtId="0" fontId="0" fillId="0" borderId="0" xfId="0" applyBorder="1" applyAlignment="1">
      <alignment horizontal="center"/>
    </xf>
    <xf numFmtId="0" fontId="30" fillId="0" borderId="0" xfId="0" applyFont="1" applyBorder="1" applyAlignment="1">
      <alignment horizontal="center"/>
    </xf>
    <xf numFmtId="0" fontId="0" fillId="0" borderId="0" xfId="0" applyAlignment="1">
      <alignment horizontal="center"/>
    </xf>
    <xf numFmtId="3" fontId="17" fillId="0" borderId="0" xfId="0" applyNumberFormat="1" applyFont="1" applyAlignment="1">
      <alignment horizontal="centerContinuous"/>
    </xf>
    <xf numFmtId="165" fontId="17" fillId="0" borderId="0" xfId="0" applyNumberFormat="1" applyFont="1" applyAlignment="1">
      <alignment horizontal="centerContinuous"/>
    </xf>
    <xf numFmtId="0" fontId="25" fillId="3" borderId="0" xfId="0" applyFont="1" applyFill="1" applyBorder="1" applyAlignment="1">
      <alignment vertical="top" wrapText="1"/>
    </xf>
    <xf numFmtId="165" fontId="44" fillId="0" borderId="0" xfId="0" applyNumberFormat="1" applyFont="1" applyAlignment="1"/>
    <xf numFmtId="165" fontId="45" fillId="2" borderId="0" xfId="0" applyNumberFormat="1" applyFont="1" applyFill="1" applyAlignment="1"/>
    <xf numFmtId="170" fontId="26" fillId="2" borderId="4" xfId="0" applyNumberFormat="1" applyFont="1" applyFill="1" applyBorder="1" applyAlignment="1"/>
    <xf numFmtId="0" fontId="49" fillId="0" borderId="0" xfId="0" applyFont="1"/>
    <xf numFmtId="165" fontId="48" fillId="0" borderId="0" xfId="0" applyNumberFormat="1" applyFont="1"/>
    <xf numFmtId="165" fontId="29" fillId="0" borderId="0" xfId="0" applyNumberFormat="1" applyFont="1"/>
    <xf numFmtId="165" fontId="48" fillId="0" borderId="0" xfId="0" applyNumberFormat="1" applyFont="1" applyAlignment="1"/>
    <xf numFmtId="165" fontId="29" fillId="0" borderId="0" xfId="0" applyNumberFormat="1" applyFont="1" applyAlignment="1"/>
    <xf numFmtId="3" fontId="48" fillId="2" borderId="0" xfId="0" applyNumberFormat="1" applyFont="1" applyFill="1" applyAlignment="1"/>
    <xf numFmtId="3" fontId="52" fillId="2" borderId="0" xfId="0" applyNumberFormat="1" applyFont="1" applyFill="1" applyBorder="1" applyAlignment="1"/>
    <xf numFmtId="0" fontId="29" fillId="0" borderId="0" xfId="0" applyFont="1"/>
    <xf numFmtId="165" fontId="53" fillId="0" borderId="0" xfId="0" applyNumberFormat="1" applyFont="1" applyAlignment="1"/>
    <xf numFmtId="165" fontId="54" fillId="0" borderId="0" xfId="0" applyNumberFormat="1" applyFont="1" applyAlignment="1"/>
    <xf numFmtId="3" fontId="51" fillId="0" borderId="0" xfId="0" applyNumberFormat="1" applyFont="1" applyAlignment="1"/>
    <xf numFmtId="3" fontId="50" fillId="0" borderId="0" xfId="0" applyNumberFormat="1" applyFont="1" applyAlignment="1"/>
    <xf numFmtId="37" fontId="6" fillId="0" borderId="5" xfId="0" applyNumberFormat="1" applyFont="1" applyBorder="1" applyAlignment="1"/>
    <xf numFmtId="37" fontId="6" fillId="0" borderId="2" xfId="0" applyNumberFormat="1" applyFont="1" applyBorder="1" applyAlignment="1"/>
    <xf numFmtId="37" fontId="6" fillId="0" borderId="6" xfId="0" applyNumberFormat="1" applyFont="1" applyBorder="1" applyAlignment="1"/>
    <xf numFmtId="37" fontId="6" fillId="0" borderId="7" xfId="0" applyNumberFormat="1" applyFont="1" applyBorder="1" applyAlignment="1"/>
    <xf numFmtId="37" fontId="17" fillId="0" borderId="8" xfId="0" applyNumberFormat="1" applyFont="1" applyBorder="1" applyAlignment="1"/>
    <xf numFmtId="37" fontId="6" fillId="0" borderId="9" xfId="0" applyNumberFormat="1" applyFont="1" applyBorder="1" applyAlignment="1"/>
    <xf numFmtId="37" fontId="6" fillId="0" borderId="10" xfId="0" applyNumberFormat="1" applyFont="1" applyBorder="1" applyAlignment="1"/>
    <xf numFmtId="37" fontId="17" fillId="0" borderId="9" xfId="0" applyNumberFormat="1" applyFont="1" applyBorder="1" applyAlignment="1"/>
    <xf numFmtId="37" fontId="7" fillId="2" borderId="2" xfId="0" applyNumberFormat="1" applyFont="1" applyFill="1" applyBorder="1" applyAlignment="1"/>
    <xf numFmtId="37" fontId="23" fillId="2" borderId="11" xfId="0" applyNumberFormat="1" applyFont="1" applyFill="1" applyBorder="1" applyAlignment="1"/>
    <xf numFmtId="37" fontId="23" fillId="2" borderId="12" xfId="0" applyNumberFormat="1" applyFont="1" applyFill="1" applyBorder="1" applyAlignment="1"/>
    <xf numFmtId="37" fontId="23" fillId="2" borderId="13" xfId="0" applyNumberFormat="1" applyFont="1" applyFill="1" applyBorder="1" applyAlignment="1"/>
    <xf numFmtId="37" fontId="23" fillId="2" borderId="14" xfId="0" applyNumberFormat="1" applyFont="1" applyFill="1" applyBorder="1" applyAlignment="1"/>
    <xf numFmtId="37" fontId="23" fillId="2" borderId="15" xfId="0" applyNumberFormat="1" applyFont="1" applyFill="1" applyBorder="1" applyAlignment="1"/>
    <xf numFmtId="37" fontId="23" fillId="2" borderId="0" xfId="0" applyNumberFormat="1" applyFont="1" applyFill="1" applyBorder="1" applyAlignment="1"/>
    <xf numFmtId="37" fontId="23" fillId="2" borderId="16" xfId="0" applyNumberFormat="1" applyFont="1" applyFill="1" applyBorder="1" applyAlignment="1"/>
    <xf numFmtId="37" fontId="23" fillId="2" borderId="17" xfId="0" applyNumberFormat="1" applyFont="1" applyFill="1" applyBorder="1" applyAlignment="1"/>
    <xf numFmtId="37" fontId="7" fillId="2" borderId="4" xfId="0" applyNumberFormat="1" applyFont="1" applyFill="1" applyBorder="1" applyAlignment="1"/>
    <xf numFmtId="37" fontId="7" fillId="2" borderId="3" xfId="0" applyNumberFormat="1" applyFont="1" applyFill="1" applyBorder="1" applyAlignment="1"/>
    <xf numFmtId="37" fontId="7" fillId="2" borderId="4" xfId="0" applyNumberFormat="1" applyFont="1" applyFill="1" applyBorder="1" applyAlignment="1">
      <alignment horizontal="right"/>
    </xf>
    <xf numFmtId="37" fontId="7" fillId="0" borderId="4" xfId="0" applyNumberFormat="1" applyFont="1" applyFill="1" applyBorder="1" applyAlignment="1"/>
    <xf numFmtId="37" fontId="7" fillId="0" borderId="3" xfId="0" applyNumberFormat="1" applyFont="1" applyFill="1" applyBorder="1" applyAlignment="1"/>
    <xf numFmtId="37" fontId="7" fillId="0" borderId="2" xfId="0" applyNumberFormat="1" applyFont="1" applyFill="1" applyBorder="1" applyAlignment="1"/>
    <xf numFmtId="37" fontId="8" fillId="2" borderId="4" xfId="0" applyNumberFormat="1" applyFont="1" applyFill="1" applyBorder="1" applyAlignment="1"/>
    <xf numFmtId="37" fontId="8" fillId="2" borderId="3" xfId="0" applyNumberFormat="1" applyFont="1" applyFill="1" applyBorder="1" applyAlignment="1"/>
    <xf numFmtId="37" fontId="8" fillId="2" borderId="2" xfId="0" applyNumberFormat="1" applyFont="1" applyFill="1" applyBorder="1" applyAlignment="1"/>
    <xf numFmtId="37" fontId="7" fillId="2" borderId="18" xfId="0" applyNumberFormat="1" applyFont="1" applyFill="1" applyBorder="1" applyAlignment="1"/>
    <xf numFmtId="37" fontId="7" fillId="2" borderId="0" xfId="0" applyNumberFormat="1" applyFont="1" applyFill="1" applyBorder="1" applyAlignment="1"/>
    <xf numFmtId="37" fontId="7" fillId="2" borderId="19" xfId="0" applyNumberFormat="1" applyFont="1" applyFill="1" applyBorder="1" applyAlignment="1"/>
    <xf numFmtId="37" fontId="7" fillId="2" borderId="20" xfId="0" applyNumberFormat="1" applyFont="1" applyFill="1" applyBorder="1" applyAlignment="1"/>
    <xf numFmtId="37" fontId="7" fillId="2" borderId="21" xfId="0" applyNumberFormat="1" applyFont="1" applyFill="1" applyBorder="1" applyAlignment="1"/>
    <xf numFmtId="0" fontId="36" fillId="0" borderId="0" xfId="0" applyFont="1" applyBorder="1" applyAlignment="1">
      <alignment vertical="top" wrapText="1"/>
    </xf>
    <xf numFmtId="0" fontId="0" fillId="0" borderId="0" xfId="0" applyAlignment="1">
      <alignment vertical="top"/>
    </xf>
    <xf numFmtId="0" fontId="30" fillId="0" borderId="0" xfId="0" applyFont="1" applyAlignment="1">
      <alignment vertical="top"/>
    </xf>
    <xf numFmtId="0" fontId="30" fillId="0" borderId="0" xfId="0" applyFont="1" applyBorder="1" applyAlignment="1">
      <alignment horizontal="center" vertical="top" wrapText="1"/>
    </xf>
    <xf numFmtId="0" fontId="30" fillId="0" borderId="0" xfId="0" applyFont="1" applyBorder="1" applyAlignment="1">
      <alignment vertical="top"/>
    </xf>
    <xf numFmtId="0" fontId="30" fillId="0" borderId="0" xfId="0" applyFont="1" applyBorder="1" applyAlignment="1">
      <alignment vertical="top" wrapText="1"/>
    </xf>
    <xf numFmtId="37" fontId="7" fillId="2" borderId="22" xfId="0" applyNumberFormat="1" applyFont="1" applyFill="1" applyBorder="1" applyAlignment="1"/>
    <xf numFmtId="37" fontId="7" fillId="0" borderId="22" xfId="0" applyNumberFormat="1" applyFont="1" applyFill="1" applyBorder="1" applyAlignment="1"/>
    <xf numFmtId="37" fontId="17" fillId="0" borderId="23" xfId="0" applyNumberFormat="1" applyFont="1" applyBorder="1" applyAlignment="1">
      <alignment horizontal="right"/>
    </xf>
    <xf numFmtId="165" fontId="39" fillId="0" borderId="0" xfId="0" applyNumberFormat="1" applyFont="1" applyAlignment="1"/>
    <xf numFmtId="164" fontId="17" fillId="0" borderId="24" xfId="0" applyNumberFormat="1" applyFont="1" applyBorder="1" applyAlignment="1"/>
    <xf numFmtId="1" fontId="17" fillId="0" borderId="7" xfId="0" applyNumberFormat="1" applyFont="1" applyBorder="1" applyAlignment="1">
      <alignment horizontal="right"/>
    </xf>
    <xf numFmtId="37" fontId="17" fillId="0" borderId="8" xfId="0" applyNumberFormat="1" applyFont="1" applyBorder="1" applyAlignment="1">
      <alignment horizontal="right"/>
    </xf>
    <xf numFmtId="37" fontId="6" fillId="0" borderId="3" xfId="0" applyNumberFormat="1" applyFont="1" applyBorder="1" applyAlignment="1"/>
    <xf numFmtId="0" fontId="18" fillId="0" borderId="0" xfId="0" applyNumberFormat="1" applyFont="1" applyAlignment="1"/>
    <xf numFmtId="0" fontId="7" fillId="2" borderId="25" xfId="0" applyNumberFormat="1" applyFont="1" applyFill="1" applyBorder="1" applyAlignment="1">
      <alignment horizontal="left" indent="1"/>
    </xf>
    <xf numFmtId="0" fontId="7" fillId="2" borderId="26" xfId="0" applyNumberFormat="1" applyFont="1" applyFill="1" applyBorder="1" applyAlignment="1">
      <alignment horizontal="left" indent="1"/>
    </xf>
    <xf numFmtId="0" fontId="8" fillId="2" borderId="26" xfId="0" applyNumberFormat="1" applyFont="1" applyFill="1" applyBorder="1" applyAlignment="1">
      <alignment horizontal="left" indent="2"/>
    </xf>
    <xf numFmtId="0" fontId="7" fillId="2" borderId="22" xfId="0" applyNumberFormat="1" applyFont="1" applyFill="1" applyBorder="1" applyAlignment="1">
      <alignment horizontal="left" indent="1"/>
    </xf>
    <xf numFmtId="0" fontId="7" fillId="2" borderId="26" xfId="0" applyNumberFormat="1" applyFont="1" applyFill="1" applyBorder="1" applyAlignment="1">
      <alignment horizontal="left" indent="2"/>
    </xf>
    <xf numFmtId="0" fontId="26" fillId="2" borderId="26" xfId="0" applyNumberFormat="1" applyFont="1" applyFill="1" applyBorder="1" applyAlignment="1">
      <alignment horizontal="left" indent="3"/>
    </xf>
    <xf numFmtId="0" fontId="7" fillId="0" borderId="26" xfId="0" applyNumberFormat="1" applyFont="1" applyFill="1" applyBorder="1" applyAlignment="1">
      <alignment horizontal="left" indent="2"/>
    </xf>
    <xf numFmtId="0" fontId="26" fillId="2" borderId="27" xfId="0" applyNumberFormat="1" applyFont="1" applyFill="1" applyBorder="1" applyAlignment="1">
      <alignment horizontal="right"/>
    </xf>
    <xf numFmtId="0" fontId="26" fillId="2" borderId="28" xfId="0" applyNumberFormat="1" applyFont="1" applyFill="1" applyBorder="1" applyAlignment="1">
      <alignment horizontal="right"/>
    </xf>
    <xf numFmtId="0" fontId="26" fillId="2" borderId="29" xfId="0" applyNumberFormat="1" applyFont="1" applyFill="1" applyBorder="1" applyAlignment="1">
      <alignment horizontal="right"/>
    </xf>
    <xf numFmtId="0" fontId="6" fillId="0" borderId="4" xfId="0" applyNumberFormat="1" applyFont="1" applyBorder="1" applyAlignment="1"/>
    <xf numFmtId="0" fontId="6" fillId="0" borderId="3" xfId="0" applyNumberFormat="1" applyFont="1" applyBorder="1" applyAlignment="1"/>
    <xf numFmtId="0" fontId="6" fillId="0" borderId="16" xfId="0" applyNumberFormat="1" applyFont="1" applyBorder="1" applyAlignment="1"/>
    <xf numFmtId="0" fontId="17" fillId="0" borderId="17" xfId="0" applyNumberFormat="1" applyFont="1" applyBorder="1" applyAlignment="1"/>
    <xf numFmtId="0" fontId="6" fillId="0" borderId="30" xfId="0" applyNumberFormat="1" applyFont="1" applyBorder="1" applyAlignment="1"/>
    <xf numFmtId="0" fontId="6" fillId="0" borderId="31" xfId="0" applyNumberFormat="1" applyFont="1" applyBorder="1" applyAlignment="1"/>
    <xf numFmtId="0" fontId="6" fillId="0" borderId="3" xfId="0" applyNumberFormat="1" applyFont="1" applyBorder="1" applyAlignment="1">
      <alignment horizontal="fill"/>
    </xf>
    <xf numFmtId="0" fontId="6" fillId="0" borderId="17" xfId="0" applyNumberFormat="1" applyFont="1" applyBorder="1" applyAlignment="1">
      <alignment horizontal="fill"/>
    </xf>
    <xf numFmtId="0" fontId="6" fillId="0" borderId="17" xfId="0" applyNumberFormat="1" applyFont="1" applyBorder="1" applyAlignment="1"/>
    <xf numFmtId="0" fontId="6" fillId="0" borderId="27" xfId="0" applyNumberFormat="1" applyFont="1" applyBorder="1" applyAlignment="1">
      <alignment horizontal="right"/>
    </xf>
    <xf numFmtId="0" fontId="6" fillId="0" borderId="28" xfId="0" applyNumberFormat="1" applyFont="1" applyBorder="1" applyAlignment="1">
      <alignment horizontal="center"/>
    </xf>
    <xf numFmtId="0" fontId="6" fillId="0" borderId="28" xfId="0" applyNumberFormat="1" applyFont="1" applyBorder="1" applyAlignment="1">
      <alignment horizontal="right"/>
    </xf>
    <xf numFmtId="0" fontId="6" fillId="0" borderId="27" xfId="0" applyNumberFormat="1" applyFont="1" applyBorder="1" applyAlignment="1">
      <alignment horizontal="center"/>
    </xf>
    <xf numFmtId="0" fontId="6" fillId="0" borderId="29" xfId="0" applyNumberFormat="1" applyFont="1" applyBorder="1" applyAlignment="1">
      <alignment horizontal="right"/>
    </xf>
    <xf numFmtId="37" fontId="6" fillId="0" borderId="18" xfId="0" applyNumberFormat="1" applyFont="1" applyBorder="1" applyAlignment="1"/>
    <xf numFmtId="37" fontId="6" fillId="0" borderId="16" xfId="0" applyNumberFormat="1" applyFont="1" applyBorder="1" applyAlignment="1"/>
    <xf numFmtId="37" fontId="6" fillId="0" borderId="17" xfId="0" applyNumberFormat="1" applyFont="1" applyBorder="1" applyAlignment="1"/>
    <xf numFmtId="37" fontId="6" fillId="0" borderId="4" xfId="0" applyNumberFormat="1" applyFont="1" applyBorder="1" applyAlignment="1"/>
    <xf numFmtId="37" fontId="6" fillId="0" borderId="0" xfId="0" applyNumberFormat="1" applyFont="1" applyBorder="1" applyAlignment="1"/>
    <xf numFmtId="167" fontId="58" fillId="0" borderId="0" xfId="1" applyNumberFormat="1" applyFont="1" applyAlignment="1">
      <alignment horizontal="center" vertical="center"/>
    </xf>
    <xf numFmtId="0" fontId="59" fillId="0" borderId="0" xfId="11" applyNumberFormat="1" applyFont="1" applyFill="1" applyBorder="1" applyAlignment="1" applyProtection="1"/>
    <xf numFmtId="0" fontId="20" fillId="0" borderId="0" xfId="11" applyNumberFormat="1" applyFill="1" applyBorder="1" applyAlignment="1" applyProtection="1"/>
    <xf numFmtId="167" fontId="58" fillId="0" borderId="0" xfId="1" applyNumberFormat="1" applyFont="1" applyAlignment="1">
      <alignment horizontal="centerContinuous" vertical="center"/>
    </xf>
    <xf numFmtId="167" fontId="20" fillId="0" borderId="0" xfId="1" applyNumberFormat="1" applyFill="1" applyBorder="1" applyAlignment="1" applyProtection="1"/>
    <xf numFmtId="0" fontId="59" fillId="0" borderId="0" xfId="11" applyNumberFormat="1" applyFont="1" applyFill="1" applyBorder="1" applyAlignment="1" applyProtection="1">
      <alignment horizontal="left"/>
    </xf>
    <xf numFmtId="165" fontId="9" fillId="3" borderId="0" xfId="0" applyNumberFormat="1" applyFont="1" applyFill="1" applyAlignment="1">
      <alignment horizontal="centerContinuous"/>
    </xf>
    <xf numFmtId="166" fontId="60" fillId="3" borderId="0" xfId="0" applyNumberFormat="1" applyFont="1" applyFill="1" applyAlignment="1">
      <alignment horizontal="centerContinuous"/>
    </xf>
    <xf numFmtId="0" fontId="20" fillId="3" borderId="0" xfId="0" applyFont="1" applyFill="1" applyBorder="1" applyAlignment="1">
      <alignment vertical="top" wrapText="1"/>
    </xf>
    <xf numFmtId="166" fontId="9" fillId="3" borderId="0" xfId="0" applyNumberFormat="1" applyFont="1" applyFill="1" applyBorder="1"/>
    <xf numFmtId="165" fontId="9" fillId="3" borderId="0" xfId="0" applyNumberFormat="1" applyFont="1" applyFill="1" applyBorder="1"/>
    <xf numFmtId="0" fontId="20" fillId="0" borderId="0" xfId="11" applyNumberFormat="1" applyFont="1" applyFill="1" applyBorder="1" applyAlignment="1" applyProtection="1"/>
    <xf numFmtId="0" fontId="0" fillId="0" borderId="0" xfId="0" applyBorder="1" applyAlignment="1">
      <alignment wrapText="1"/>
    </xf>
    <xf numFmtId="166" fontId="60" fillId="3" borderId="0" xfId="0" applyNumberFormat="1" applyFont="1" applyFill="1" applyAlignment="1">
      <alignment horizontal="centerContinuous" wrapText="1"/>
    </xf>
    <xf numFmtId="165" fontId="9" fillId="3" borderId="0" xfId="0" applyNumberFormat="1" applyFont="1" applyFill="1" applyAlignment="1">
      <alignment horizontal="centerContinuous" wrapText="1"/>
    </xf>
    <xf numFmtId="166" fontId="9" fillId="3" borderId="0" xfId="0" applyNumberFormat="1" applyFont="1" applyFill="1" applyBorder="1" applyAlignment="1">
      <alignment wrapText="1"/>
    </xf>
    <xf numFmtId="165" fontId="9" fillId="3" borderId="0" xfId="0" applyNumberFormat="1" applyFont="1" applyFill="1" applyBorder="1" applyAlignment="1">
      <alignment wrapText="1"/>
    </xf>
    <xf numFmtId="0" fontId="0" fillId="0" borderId="0" xfId="0" applyAlignment="1">
      <alignment wrapText="1"/>
    </xf>
    <xf numFmtId="0" fontId="55" fillId="0" borderId="0" xfId="11" applyNumberFormat="1" applyFont="1" applyFill="1" applyBorder="1" applyAlignment="1" applyProtection="1"/>
    <xf numFmtId="167" fontId="20" fillId="0" borderId="0" xfId="1" applyNumberFormat="1" applyFont="1" applyFill="1" applyBorder="1" applyAlignment="1" applyProtection="1"/>
    <xf numFmtId="0" fontId="20" fillId="0" borderId="0" xfId="0" applyFont="1" applyBorder="1" applyAlignment="1"/>
    <xf numFmtId="166" fontId="9" fillId="0" borderId="0" xfId="0" applyNumberFormat="1" applyFont="1" applyBorder="1"/>
    <xf numFmtId="165" fontId="9" fillId="0" borderId="0" xfId="0" applyNumberFormat="1" applyFont="1" applyBorder="1"/>
    <xf numFmtId="9" fontId="20" fillId="0" borderId="0" xfId="17" applyFill="1" applyBorder="1" applyAlignment="1" applyProtection="1"/>
    <xf numFmtId="0" fontId="20" fillId="0" borderId="0" xfId="11"/>
    <xf numFmtId="165" fontId="22" fillId="3" borderId="0" xfId="0" applyNumberFormat="1" applyFont="1" applyFill="1" applyAlignment="1">
      <alignment horizontal="centerContinuous"/>
    </xf>
    <xf numFmtId="165" fontId="6" fillId="3" borderId="0" xfId="0" applyNumberFormat="1" applyFont="1" applyFill="1" applyBorder="1"/>
    <xf numFmtId="167" fontId="62" fillId="0" borderId="0" xfId="1" applyNumberFormat="1" applyFont="1" applyAlignment="1">
      <alignment horizontal="left" vertical="center"/>
    </xf>
    <xf numFmtId="5" fontId="7" fillId="2" borderId="3" xfId="0" applyNumberFormat="1" applyFont="1" applyFill="1" applyBorder="1" applyAlignment="1"/>
    <xf numFmtId="5" fontId="7" fillId="2" borderId="2" xfId="0" applyNumberFormat="1" applyFont="1" applyFill="1" applyBorder="1" applyAlignment="1"/>
    <xf numFmtId="0" fontId="6" fillId="0" borderId="0" xfId="10" applyFont="1" applyAlignment="1">
      <alignment vertical="top" wrapText="1"/>
    </xf>
    <xf numFmtId="0" fontId="6" fillId="0" borderId="0" xfId="10" applyFont="1" applyAlignment="1">
      <alignment vertical="top"/>
    </xf>
    <xf numFmtId="0" fontId="44" fillId="0" borderId="0" xfId="10" applyFont="1" applyAlignment="1">
      <alignment vertical="top"/>
    </xf>
    <xf numFmtId="0" fontId="6" fillId="0" borderId="0" xfId="10" applyFont="1" applyFill="1" applyBorder="1" applyAlignment="1">
      <alignment vertical="top" wrapText="1"/>
    </xf>
    <xf numFmtId="169" fontId="6" fillId="0" borderId="0" xfId="4" applyNumberFormat="1" applyFont="1" applyFill="1" applyBorder="1" applyAlignment="1">
      <alignment vertical="top"/>
    </xf>
    <xf numFmtId="0" fontId="6" fillId="0" borderId="0" xfId="10" applyFont="1" applyFill="1" applyBorder="1" applyAlignment="1">
      <alignment vertical="top"/>
    </xf>
    <xf numFmtId="0" fontId="17" fillId="0" borderId="0" xfId="10" applyFont="1" applyFill="1" applyBorder="1" applyAlignment="1">
      <alignment vertical="top"/>
    </xf>
    <xf numFmtId="0" fontId="63" fillId="0" borderId="0" xfId="10" applyFont="1" applyAlignment="1">
      <alignment horizontal="left" vertical="top" wrapText="1"/>
    </xf>
    <xf numFmtId="0" fontId="6" fillId="0" borderId="0" xfId="10" applyFont="1" applyFill="1" applyAlignment="1">
      <alignment vertical="top"/>
    </xf>
    <xf numFmtId="0" fontId="64" fillId="0" borderId="0" xfId="10" applyFont="1" applyAlignment="1">
      <alignment vertical="top" wrapText="1"/>
    </xf>
    <xf numFmtId="0" fontId="6" fillId="3" borderId="0" xfId="10" applyFont="1" applyFill="1" applyAlignment="1">
      <alignment vertical="top" wrapText="1"/>
    </xf>
    <xf numFmtId="0" fontId="0" fillId="3" borderId="0" xfId="0" applyFill="1" applyBorder="1" applyAlignment="1"/>
    <xf numFmtId="166" fontId="60" fillId="0" borderId="0" xfId="0" applyNumberFormat="1" applyFont="1" applyFill="1" applyAlignment="1">
      <alignment horizontal="centerContinuous"/>
    </xf>
    <xf numFmtId="165" fontId="9" fillId="0" borderId="0" xfId="0" applyNumberFormat="1" applyFont="1" applyFill="1" applyAlignment="1">
      <alignment horizontal="centerContinuous"/>
    </xf>
    <xf numFmtId="166" fontId="9" fillId="0" borderId="0" xfId="0" applyNumberFormat="1" applyFont="1" applyFill="1" applyBorder="1"/>
    <xf numFmtId="165" fontId="9" fillId="0" borderId="0" xfId="0" applyNumberFormat="1" applyFont="1" applyFill="1" applyBorder="1"/>
    <xf numFmtId="0" fontId="6" fillId="0" borderId="0" xfId="10" applyFont="1" applyFill="1" applyAlignment="1">
      <alignment vertical="top" wrapText="1"/>
    </xf>
    <xf numFmtId="165" fontId="2" fillId="0" borderId="0" xfId="0" applyNumberFormat="1" applyFont="1" applyBorder="1"/>
    <xf numFmtId="0" fontId="42" fillId="0" borderId="0" xfId="0" applyFont="1" applyBorder="1" applyAlignment="1">
      <alignment vertical="top" wrapText="1"/>
    </xf>
    <xf numFmtId="0" fontId="30" fillId="0" borderId="0" xfId="0" applyFont="1" applyBorder="1" applyAlignment="1">
      <alignment horizontal="center" vertical="top"/>
    </xf>
    <xf numFmtId="0" fontId="36" fillId="0" borderId="0" xfId="0" applyFont="1" applyBorder="1" applyAlignment="1">
      <alignment horizontal="center" vertical="top" wrapText="1"/>
    </xf>
    <xf numFmtId="0" fontId="49" fillId="0" borderId="0" xfId="0" applyFont="1" applyAlignment="1"/>
    <xf numFmtId="0" fontId="66" fillId="0" borderId="0" xfId="0" applyFont="1" applyBorder="1" applyAlignment="1">
      <alignment horizontal="center"/>
    </xf>
    <xf numFmtId="0" fontId="65" fillId="0" borderId="0" xfId="0" applyFont="1" applyBorder="1" applyAlignment="1">
      <alignment vertical="top" wrapText="1"/>
    </xf>
    <xf numFmtId="0" fontId="30" fillId="0" borderId="0" xfId="0" applyFont="1" applyBorder="1" applyAlignment="1">
      <alignment horizontal="right" vertical="top" wrapText="1"/>
    </xf>
    <xf numFmtId="164" fontId="30" fillId="0" borderId="0" xfId="0" applyNumberFormat="1" applyFont="1" applyBorder="1" applyAlignment="1">
      <alignment horizontal="right" vertical="top" wrapText="1"/>
    </xf>
    <xf numFmtId="164" fontId="30" fillId="0" borderId="0" xfId="0" applyNumberFormat="1" applyFont="1" applyBorder="1" applyAlignment="1">
      <alignment vertical="top" wrapText="1"/>
    </xf>
    <xf numFmtId="1" fontId="30" fillId="0" borderId="0" xfId="0" applyNumberFormat="1" applyFont="1" applyBorder="1" applyAlignment="1">
      <alignment vertical="top"/>
    </xf>
    <xf numFmtId="0" fontId="36" fillId="0" borderId="0" xfId="0" applyFont="1" applyBorder="1" applyAlignment="1">
      <alignment horizontal="center"/>
    </xf>
    <xf numFmtId="0" fontId="6" fillId="0" borderId="20" xfId="0" applyNumberFormat="1" applyFont="1" applyBorder="1" applyAlignment="1"/>
    <xf numFmtId="0" fontId="17" fillId="0" borderId="27" xfId="0" applyNumberFormat="1" applyFont="1" applyBorder="1" applyAlignment="1">
      <alignment horizontal="right"/>
    </xf>
    <xf numFmtId="0" fontId="17" fillId="0" borderId="28" xfId="0" applyNumberFormat="1" applyFont="1" applyBorder="1" applyAlignment="1">
      <alignment horizontal="right"/>
    </xf>
    <xf numFmtId="0" fontId="17" fillId="0" borderId="29" xfId="0" applyNumberFormat="1" applyFont="1" applyBorder="1" applyAlignment="1">
      <alignment horizontal="right"/>
    </xf>
    <xf numFmtId="0" fontId="6" fillId="0" borderId="25" xfId="0" applyNumberFormat="1" applyFont="1" applyBorder="1" applyAlignment="1">
      <alignment horizontal="left"/>
    </xf>
    <xf numFmtId="0" fontId="6" fillId="0" borderId="26" xfId="0" applyNumberFormat="1" applyFont="1" applyBorder="1" applyAlignment="1">
      <alignment horizontal="left"/>
    </xf>
    <xf numFmtId="0" fontId="6" fillId="0" borderId="22" xfId="0" applyNumberFormat="1" applyFont="1" applyBorder="1" applyAlignment="1">
      <alignment horizontal="left"/>
    </xf>
    <xf numFmtId="37" fontId="6" fillId="0" borderId="16" xfId="0" applyNumberFormat="1" applyFont="1" applyFill="1" applyBorder="1" applyAlignment="1"/>
    <xf numFmtId="37" fontId="6" fillId="0" borderId="17" xfId="0" applyNumberFormat="1" applyFont="1" applyFill="1" applyBorder="1" applyAlignment="1"/>
    <xf numFmtId="37" fontId="6" fillId="0" borderId="32" xfId="0" applyNumberFormat="1" applyFont="1" applyFill="1" applyBorder="1" applyAlignment="1"/>
    <xf numFmtId="0" fontId="17" fillId="0" borderId="20" xfId="0" applyNumberFormat="1" applyFont="1" applyBorder="1" applyAlignment="1">
      <alignment horizontal="left" indent="3"/>
    </xf>
    <xf numFmtId="37" fontId="17" fillId="0" borderId="16" xfId="0" applyNumberFormat="1" applyFont="1" applyBorder="1" applyAlignment="1"/>
    <xf numFmtId="37" fontId="17" fillId="0" borderId="17" xfId="0" applyNumberFormat="1" applyFont="1" applyBorder="1" applyAlignment="1"/>
    <xf numFmtId="5" fontId="17" fillId="0" borderId="17" xfId="0" applyNumberFormat="1" applyFont="1" applyBorder="1" applyAlignment="1"/>
    <xf numFmtId="5" fontId="17" fillId="0" borderId="21" xfId="0" applyNumberFormat="1" applyFont="1" applyBorder="1" applyAlignment="1"/>
    <xf numFmtId="5" fontId="17" fillId="0" borderId="32" xfId="0" applyNumberFormat="1" applyFont="1" applyBorder="1" applyAlignment="1"/>
    <xf numFmtId="37" fontId="6" fillId="0" borderId="32" xfId="0" applyNumberFormat="1" applyFont="1" applyBorder="1" applyAlignment="1"/>
    <xf numFmtId="37" fontId="6" fillId="0" borderId="20" xfId="0" applyNumberFormat="1" applyFont="1" applyBorder="1" applyAlignment="1"/>
    <xf numFmtId="37" fontId="6" fillId="0" borderId="21" xfId="0" applyNumberFormat="1" applyFont="1" applyBorder="1" applyAlignment="1"/>
    <xf numFmtId="37" fontId="6" fillId="0" borderId="33" xfId="0" applyNumberFormat="1" applyFont="1" applyBorder="1" applyAlignment="1"/>
    <xf numFmtId="0" fontId="6" fillId="0" borderId="34" xfId="0" applyNumberFormat="1" applyFont="1" applyBorder="1" applyAlignment="1"/>
    <xf numFmtId="0" fontId="6" fillId="0" borderId="26" xfId="0" applyNumberFormat="1" applyFont="1" applyBorder="1" applyAlignment="1">
      <alignment horizontal="left" indent="3"/>
    </xf>
    <xf numFmtId="0" fontId="6" fillId="0" borderId="22" xfId="0" applyNumberFormat="1" applyFont="1" applyBorder="1" applyAlignment="1">
      <alignment horizontal="left" indent="3"/>
    </xf>
    <xf numFmtId="5" fontId="6" fillId="0" borderId="17" xfId="0" applyNumberFormat="1" applyFont="1" applyBorder="1" applyAlignment="1"/>
    <xf numFmtId="5" fontId="6" fillId="0" borderId="32" xfId="0" applyNumberFormat="1" applyFont="1" applyBorder="1" applyAlignment="1"/>
    <xf numFmtId="0" fontId="17" fillId="0" borderId="0" xfId="0" applyNumberFormat="1" applyFont="1" applyBorder="1" applyAlignment="1">
      <alignment horizontal="left" indent="5"/>
    </xf>
    <xf numFmtId="37" fontId="17" fillId="0" borderId="0" xfId="0" applyNumberFormat="1" applyFont="1" applyBorder="1" applyAlignment="1"/>
    <xf numFmtId="5" fontId="17" fillId="0" borderId="0" xfId="0" applyNumberFormat="1" applyFont="1" applyBorder="1" applyAlignment="1"/>
    <xf numFmtId="3" fontId="7" fillId="2" borderId="0" xfId="0" applyNumberFormat="1" applyFont="1" applyFill="1" applyAlignment="1"/>
    <xf numFmtId="165" fontId="51" fillId="0" borderId="0" xfId="0" applyNumberFormat="1" applyFont="1" applyAlignment="1"/>
    <xf numFmtId="165" fontId="50" fillId="0" borderId="0" xfId="0" applyNumberFormat="1" applyFont="1" applyAlignment="1"/>
    <xf numFmtId="0" fontId="9" fillId="0" borderId="0" xfId="11" applyNumberFormat="1" applyFont="1" applyFill="1" applyBorder="1" applyAlignment="1" applyProtection="1"/>
    <xf numFmtId="0" fontId="68" fillId="0" borderId="0" xfId="11" applyFont="1" applyBorder="1" applyAlignment="1">
      <alignment vertical="center"/>
    </xf>
    <xf numFmtId="0" fontId="68" fillId="0" borderId="0" xfId="11" applyFont="1" applyAlignment="1">
      <alignment vertical="center"/>
    </xf>
    <xf numFmtId="0" fontId="70" fillId="0" borderId="21" xfId="11" applyFont="1" applyFill="1" applyBorder="1" applyAlignment="1">
      <alignment horizontal="left" vertical="center"/>
    </xf>
    <xf numFmtId="0" fontId="70" fillId="0" borderId="35" xfId="11" applyFont="1" applyFill="1" applyBorder="1" applyAlignment="1">
      <alignment horizontal="left" vertical="center"/>
    </xf>
    <xf numFmtId="0" fontId="70" fillId="0" borderId="26" xfId="11" applyFont="1" applyFill="1" applyBorder="1" applyAlignment="1">
      <alignment horizontal="left" vertical="center"/>
    </xf>
    <xf numFmtId="0" fontId="70" fillId="0" borderId="36" xfId="11" applyFont="1" applyFill="1" applyBorder="1" applyAlignment="1">
      <alignment horizontal="left" vertical="center"/>
    </xf>
    <xf numFmtId="166" fontId="70" fillId="0" borderId="26" xfId="11" applyNumberFormat="1" applyFont="1" applyFill="1" applyBorder="1" applyAlignment="1">
      <alignment horizontal="left" vertical="center"/>
    </xf>
    <xf numFmtId="0" fontId="71" fillId="0" borderId="36" xfId="11" applyFont="1" applyFill="1" applyBorder="1" applyAlignment="1">
      <alignment horizontal="left" vertical="center"/>
    </xf>
    <xf numFmtId="166" fontId="71" fillId="0" borderId="26" xfId="11" applyNumberFormat="1" applyFont="1" applyFill="1" applyBorder="1" applyAlignment="1">
      <alignment horizontal="left" vertical="center"/>
    </xf>
    <xf numFmtId="0" fontId="70" fillId="0" borderId="37" xfId="11" applyFont="1" applyFill="1" applyBorder="1" applyAlignment="1">
      <alignment horizontal="left" vertical="center"/>
    </xf>
    <xf numFmtId="0" fontId="70" fillId="0" borderId="20" xfId="11" applyFont="1" applyFill="1" applyBorder="1" applyAlignment="1">
      <alignment vertical="center"/>
    </xf>
    <xf numFmtId="0" fontId="70" fillId="0" borderId="34" xfId="11" applyFont="1" applyFill="1" applyBorder="1" applyAlignment="1">
      <alignment vertical="center"/>
    </xf>
    <xf numFmtId="0" fontId="70" fillId="0" borderId="26" xfId="11" applyFont="1" applyFill="1" applyBorder="1" applyAlignment="1">
      <alignment vertical="center"/>
    </xf>
    <xf numFmtId="0" fontId="70" fillId="0" borderId="31" xfId="11" applyFont="1" applyFill="1" applyBorder="1" applyAlignment="1">
      <alignment vertical="center"/>
    </xf>
    <xf numFmtId="166" fontId="71" fillId="0" borderId="22" xfId="11" applyNumberFormat="1" applyFont="1" applyFill="1" applyBorder="1" applyAlignment="1">
      <alignment horizontal="left" vertical="center"/>
    </xf>
    <xf numFmtId="0" fontId="71" fillId="0" borderId="38" xfId="11" applyFont="1" applyFill="1" applyBorder="1" applyAlignment="1">
      <alignment horizontal="left" vertical="center"/>
    </xf>
    <xf numFmtId="0" fontId="71" fillId="0" borderId="20" xfId="11" applyFont="1" applyFill="1" applyBorder="1" applyAlignment="1">
      <alignment vertical="center"/>
    </xf>
    <xf numFmtId="0" fontId="72" fillId="0" borderId="21" xfId="11" applyNumberFormat="1" applyFont="1" applyFill="1" applyBorder="1" applyAlignment="1" applyProtection="1"/>
    <xf numFmtId="166" fontId="71" fillId="0" borderId="34" xfId="11" applyNumberFormat="1" applyFont="1" applyFill="1" applyBorder="1" applyAlignment="1">
      <alignment horizontal="left" vertical="center"/>
    </xf>
    <xf numFmtId="0" fontId="71" fillId="0" borderId="35" xfId="11" applyFont="1" applyFill="1" applyBorder="1" applyAlignment="1">
      <alignment horizontal="left" vertical="center"/>
    </xf>
    <xf numFmtId="166" fontId="71" fillId="0" borderId="31" xfId="11" applyNumberFormat="1" applyFont="1" applyFill="1" applyBorder="1" applyAlignment="1">
      <alignment horizontal="left" vertical="center"/>
    </xf>
    <xf numFmtId="0" fontId="71" fillId="0" borderId="37" xfId="11" applyFont="1" applyFill="1" applyBorder="1" applyAlignment="1">
      <alignment horizontal="left" vertical="center"/>
    </xf>
    <xf numFmtId="0" fontId="71" fillId="0" borderId="21" xfId="11" applyFont="1" applyFill="1" applyBorder="1" applyAlignment="1">
      <alignment horizontal="right" vertical="center"/>
    </xf>
    <xf numFmtId="0" fontId="71" fillId="0" borderId="4" xfId="11" applyFont="1" applyFill="1" applyBorder="1" applyAlignment="1">
      <alignment vertical="center"/>
    </xf>
    <xf numFmtId="0" fontId="71" fillId="0" borderId="39" xfId="11" applyFont="1" applyFill="1" applyBorder="1" applyAlignment="1">
      <alignment horizontal="left" vertical="center"/>
    </xf>
    <xf numFmtId="0" fontId="71" fillId="0" borderId="31" xfId="11" applyFont="1" applyFill="1" applyBorder="1" applyAlignment="1">
      <alignment vertical="center"/>
    </xf>
    <xf numFmtId="0" fontId="71" fillId="0" borderId="21" xfId="11" applyFont="1" applyFill="1" applyBorder="1" applyAlignment="1">
      <alignment horizontal="left" vertical="center"/>
    </xf>
    <xf numFmtId="0" fontId="70" fillId="0" borderId="16" xfId="11" applyFont="1" applyFill="1" applyBorder="1" applyAlignment="1">
      <alignment vertical="center"/>
    </xf>
    <xf numFmtId="0" fontId="70" fillId="0" borderId="17" xfId="11" applyFont="1" applyFill="1" applyBorder="1" applyAlignment="1">
      <alignment horizontal="left" vertical="center"/>
    </xf>
    <xf numFmtId="37" fontId="70" fillId="0" borderId="21" xfId="1" applyNumberFormat="1" applyFont="1" applyFill="1" applyBorder="1" applyAlignment="1">
      <alignment horizontal="right" vertical="center"/>
    </xf>
    <xf numFmtId="37" fontId="70" fillId="0" borderId="33" xfId="1" applyNumberFormat="1" applyFont="1" applyFill="1" applyBorder="1" applyAlignment="1">
      <alignment horizontal="right" vertical="center"/>
    </xf>
    <xf numFmtId="37" fontId="70" fillId="0" borderId="40" xfId="1" applyNumberFormat="1" applyFont="1" applyFill="1" applyBorder="1" applyAlignment="1">
      <alignment horizontal="right" vertical="center"/>
    </xf>
    <xf numFmtId="37" fontId="70" fillId="0" borderId="41" xfId="1" applyNumberFormat="1" applyFont="1" applyFill="1" applyBorder="1" applyAlignment="1">
      <alignment horizontal="right" vertical="center"/>
    </xf>
    <xf numFmtId="37" fontId="70" fillId="0" borderId="42" xfId="1" applyNumberFormat="1" applyFont="1" applyFill="1" applyBorder="1" applyAlignment="1">
      <alignment horizontal="right" vertical="center"/>
    </xf>
    <xf numFmtId="37" fontId="70" fillId="0" borderId="43" xfId="1" applyNumberFormat="1" applyFont="1" applyFill="1" applyBorder="1" applyAlignment="1">
      <alignment horizontal="right" vertical="center"/>
    </xf>
    <xf numFmtId="37" fontId="70" fillId="0" borderId="44" xfId="1" applyNumberFormat="1" applyFont="1" applyFill="1" applyBorder="1" applyAlignment="1">
      <alignment horizontal="right" vertical="center"/>
    </xf>
    <xf numFmtId="37" fontId="70" fillId="0" borderId="36" xfId="1" applyNumberFormat="1" applyFont="1" applyFill="1" applyBorder="1" applyAlignment="1">
      <alignment horizontal="right" vertical="center"/>
    </xf>
    <xf numFmtId="37" fontId="70" fillId="0" borderId="45" xfId="1" applyNumberFormat="1" applyFont="1" applyFill="1" applyBorder="1" applyAlignment="1">
      <alignment horizontal="right" vertical="center"/>
    </xf>
    <xf numFmtId="37" fontId="70" fillId="0" borderId="46" xfId="1" applyNumberFormat="1" applyFont="1" applyFill="1" applyBorder="1" applyAlignment="1">
      <alignment horizontal="right" vertical="center"/>
    </xf>
    <xf numFmtId="37" fontId="70" fillId="0" borderId="47" xfId="1" applyNumberFormat="1" applyFont="1" applyFill="1" applyBorder="1" applyAlignment="1">
      <alignment horizontal="right" vertical="center"/>
    </xf>
    <xf numFmtId="37" fontId="70" fillId="0" borderId="17" xfId="1" applyNumberFormat="1" applyFont="1" applyFill="1" applyBorder="1" applyAlignment="1">
      <alignment horizontal="right" vertical="center"/>
    </xf>
    <xf numFmtId="37" fontId="70" fillId="0" borderId="32" xfId="1" applyNumberFormat="1" applyFont="1" applyFill="1" applyBorder="1" applyAlignment="1">
      <alignment horizontal="right" vertical="center"/>
    </xf>
    <xf numFmtId="37" fontId="9" fillId="0" borderId="0" xfId="1" applyNumberFormat="1" applyFont="1" applyFill="1" applyBorder="1" applyAlignment="1" applyProtection="1"/>
    <xf numFmtId="37" fontId="72" fillId="0" borderId="21" xfId="1" applyNumberFormat="1" applyFont="1" applyFill="1" applyBorder="1" applyAlignment="1" applyProtection="1"/>
    <xf numFmtId="37" fontId="72" fillId="0" borderId="33" xfId="1" applyNumberFormat="1" applyFont="1" applyFill="1" applyBorder="1" applyAlignment="1" applyProtection="1"/>
    <xf numFmtId="37" fontId="71" fillId="0" borderId="40" xfId="1" applyNumberFormat="1" applyFont="1" applyFill="1" applyBorder="1" applyAlignment="1">
      <alignment horizontal="right" vertical="center"/>
    </xf>
    <xf numFmtId="37" fontId="71" fillId="0" borderId="41" xfId="1" applyNumberFormat="1" applyFont="1" applyFill="1" applyBorder="1" applyAlignment="1">
      <alignment horizontal="right" vertical="center"/>
    </xf>
    <xf numFmtId="37" fontId="71" fillId="0" borderId="42" xfId="1" applyNumberFormat="1" applyFont="1" applyFill="1" applyBorder="1" applyAlignment="1">
      <alignment horizontal="right" vertical="center"/>
    </xf>
    <xf numFmtId="37" fontId="71" fillId="0" borderId="43" xfId="1" applyNumberFormat="1" applyFont="1" applyFill="1" applyBorder="1" applyAlignment="1">
      <alignment horizontal="right" vertical="center"/>
    </xf>
    <xf numFmtId="37" fontId="71" fillId="0" borderId="44" xfId="1" applyNumberFormat="1" applyFont="1" applyFill="1" applyBorder="1" applyAlignment="1">
      <alignment horizontal="right" vertical="center"/>
    </xf>
    <xf numFmtId="37" fontId="71" fillId="0" borderId="45" xfId="1" applyNumberFormat="1" applyFont="1" applyFill="1" applyBorder="1" applyAlignment="1">
      <alignment horizontal="right" vertical="center"/>
    </xf>
    <xf numFmtId="37" fontId="71" fillId="0" borderId="46" xfId="1" applyNumberFormat="1" applyFont="1" applyFill="1" applyBorder="1" applyAlignment="1">
      <alignment horizontal="right" vertical="center"/>
    </xf>
    <xf numFmtId="37" fontId="71" fillId="0" borderId="47" xfId="1" applyNumberFormat="1" applyFont="1" applyFill="1" applyBorder="1" applyAlignment="1">
      <alignment horizontal="right" vertical="center"/>
    </xf>
    <xf numFmtId="37" fontId="71" fillId="0" borderId="48" xfId="1" applyNumberFormat="1" applyFont="1" applyFill="1" applyBorder="1" applyAlignment="1">
      <alignment horizontal="right" vertical="center"/>
    </xf>
    <xf numFmtId="37" fontId="71" fillId="0" borderId="49" xfId="1" applyNumberFormat="1" applyFont="1" applyFill="1" applyBorder="1" applyAlignment="1">
      <alignment horizontal="right" vertical="center"/>
    </xf>
    <xf numFmtId="37" fontId="71" fillId="0" borderId="21" xfId="1" applyNumberFormat="1" applyFont="1" applyFill="1" applyBorder="1" applyAlignment="1">
      <alignment horizontal="right" vertical="center"/>
    </xf>
    <xf numFmtId="37" fontId="71" fillId="0" borderId="33" xfId="1" applyNumberFormat="1" applyFont="1" applyFill="1" applyBorder="1" applyAlignment="1">
      <alignment horizontal="right" vertical="center"/>
    </xf>
    <xf numFmtId="0" fontId="64" fillId="0" borderId="18" xfId="0" applyNumberFormat="1" applyFont="1" applyBorder="1" applyAlignment="1"/>
    <xf numFmtId="0" fontId="64" fillId="0" borderId="0" xfId="0" applyNumberFormat="1" applyFont="1" applyBorder="1" applyAlignment="1"/>
    <xf numFmtId="0" fontId="64" fillId="0" borderId="19" xfId="0" applyNumberFormat="1" applyFont="1" applyBorder="1" applyAlignment="1"/>
    <xf numFmtId="0" fontId="64" fillId="0" borderId="0" xfId="0" applyNumberFormat="1" applyFont="1" applyAlignment="1"/>
    <xf numFmtId="0" fontId="46" fillId="0" borderId="0" xfId="14" applyFont="1"/>
    <xf numFmtId="0" fontId="0" fillId="0" borderId="0" xfId="0" applyAlignment="1"/>
    <xf numFmtId="0" fontId="20" fillId="0" borderId="0" xfId="14"/>
    <xf numFmtId="0" fontId="17" fillId="0" borderId="0" xfId="14" applyFont="1"/>
    <xf numFmtId="0" fontId="21" fillId="0" borderId="0" xfId="14" applyFont="1"/>
    <xf numFmtId="0" fontId="9" fillId="0" borderId="0" xfId="14" applyFont="1"/>
    <xf numFmtId="0" fontId="9" fillId="0" borderId="0" xfId="14" applyFont="1" applyFill="1" applyAlignment="1">
      <alignment vertical="center"/>
    </xf>
    <xf numFmtId="0" fontId="21" fillId="0" borderId="0" xfId="14" applyFont="1" applyFill="1" applyBorder="1" applyAlignment="1">
      <alignment horizontal="centerContinuous"/>
    </xf>
    <xf numFmtId="0" fontId="9" fillId="0" borderId="0" xfId="14" applyFont="1" applyFill="1"/>
    <xf numFmtId="0" fontId="9" fillId="0" borderId="16" xfId="14" applyFont="1" applyFill="1" applyBorder="1" applyAlignment="1">
      <alignment horizontal="center" wrapText="1"/>
    </xf>
    <xf numFmtId="0" fontId="9" fillId="0" borderId="32" xfId="14" applyFont="1" applyFill="1" applyBorder="1" applyAlignment="1">
      <alignment horizontal="center" wrapText="1"/>
    </xf>
    <xf numFmtId="0" fontId="74" fillId="0" borderId="0" xfId="14" applyFont="1" applyFill="1" applyBorder="1" applyAlignment="1">
      <alignment horizontal="center"/>
    </xf>
    <xf numFmtId="0" fontId="9" fillId="0" borderId="50" xfId="14" applyFont="1" applyBorder="1"/>
    <xf numFmtId="37" fontId="9" fillId="0" borderId="18" xfId="14" applyNumberFormat="1" applyFont="1" applyBorder="1"/>
    <xf numFmtId="37" fontId="9" fillId="0" borderId="19" xfId="14" applyNumberFormat="1" applyFont="1" applyBorder="1"/>
    <xf numFmtId="3" fontId="9" fillId="0" borderId="0" xfId="14" applyNumberFormat="1" applyFont="1"/>
    <xf numFmtId="37" fontId="9" fillId="0" borderId="0" xfId="14" applyNumberFormat="1" applyFont="1" applyBorder="1"/>
    <xf numFmtId="37" fontId="9" fillId="0" borderId="30" xfId="14" applyNumberFormat="1" applyFont="1" applyBorder="1"/>
    <xf numFmtId="0" fontId="9" fillId="0" borderId="0" xfId="14" applyFont="1" applyBorder="1"/>
    <xf numFmtId="0" fontId="21" fillId="0" borderId="51" xfId="14" applyFont="1" applyBorder="1"/>
    <xf numFmtId="37" fontId="9" fillId="0" borderId="19" xfId="4" applyNumberFormat="1" applyFont="1" applyBorder="1"/>
    <xf numFmtId="168" fontId="21" fillId="0" borderId="0" xfId="4" applyNumberFormat="1" applyFont="1" applyBorder="1"/>
    <xf numFmtId="0" fontId="9" fillId="0" borderId="51" xfId="0" applyFont="1" applyBorder="1"/>
    <xf numFmtId="0" fontId="9" fillId="0" borderId="51" xfId="0" applyFont="1" applyBorder="1" applyAlignment="1">
      <alignment wrapText="1"/>
    </xf>
    <xf numFmtId="0" fontId="9" fillId="0" borderId="51" xfId="14" applyFont="1" applyBorder="1"/>
    <xf numFmtId="167" fontId="21" fillId="0" borderId="0" xfId="1" applyNumberFormat="1" applyFont="1" applyBorder="1"/>
    <xf numFmtId="0" fontId="75" fillId="0" borderId="0" xfId="14" applyFont="1"/>
    <xf numFmtId="0" fontId="21" fillId="0" borderId="51" xfId="14" applyFont="1" applyBorder="1" applyAlignment="1">
      <alignment wrapText="1"/>
    </xf>
    <xf numFmtId="37" fontId="9" fillId="0" borderId="0" xfId="14" applyNumberFormat="1" applyFont="1"/>
    <xf numFmtId="37" fontId="9" fillId="0" borderId="18" xfId="14" applyNumberFormat="1" applyFont="1" applyBorder="1" applyAlignment="1"/>
    <xf numFmtId="37" fontId="9" fillId="0" borderId="19" xfId="14" applyNumberFormat="1" applyFont="1" applyBorder="1" applyAlignment="1"/>
    <xf numFmtId="37" fontId="9" fillId="0" borderId="52" xfId="14" applyNumberFormat="1" applyFont="1" applyBorder="1"/>
    <xf numFmtId="0" fontId="21" fillId="0" borderId="53" xfId="14" applyFont="1" applyBorder="1" applyAlignment="1">
      <alignment horizontal="left"/>
    </xf>
    <xf numFmtId="0" fontId="21" fillId="0" borderId="54" xfId="14" applyFont="1" applyBorder="1" applyAlignment="1">
      <alignment horizontal="left"/>
    </xf>
    <xf numFmtId="167" fontId="21" fillId="0" borderId="0" xfId="14" applyNumberFormat="1" applyFont="1" applyBorder="1" applyAlignment="1">
      <alignment horizontal="left"/>
    </xf>
    <xf numFmtId="168" fontId="21" fillId="0" borderId="0" xfId="4" applyNumberFormat="1" applyFont="1" applyBorder="1" applyAlignment="1">
      <alignment horizontal="left"/>
    </xf>
    <xf numFmtId="0" fontId="75" fillId="0" borderId="0" xfId="14" applyFont="1" applyAlignment="1">
      <alignment horizontal="left"/>
    </xf>
    <xf numFmtId="0" fontId="75" fillId="0" borderId="0" xfId="14" applyFont="1" applyBorder="1" applyAlignment="1">
      <alignment horizontal="left"/>
    </xf>
    <xf numFmtId="0" fontId="21" fillId="0" borderId="0" xfId="14" applyFont="1" applyBorder="1" applyAlignment="1">
      <alignment horizontal="left"/>
    </xf>
    <xf numFmtId="5" fontId="6" fillId="0" borderId="0" xfId="4" applyNumberFormat="1" applyFont="1" applyFill="1" applyBorder="1" applyAlignment="1">
      <alignment vertical="top"/>
    </xf>
    <xf numFmtId="0" fontId="6" fillId="0" borderId="0" xfId="10" applyFont="1" applyFill="1" applyBorder="1" applyAlignment="1">
      <alignment horizontal="center" vertical="top" wrapText="1"/>
    </xf>
    <xf numFmtId="7" fontId="6" fillId="0" borderId="0" xfId="4" applyNumberFormat="1" applyFont="1" applyFill="1" applyBorder="1" applyAlignment="1">
      <alignment vertical="top"/>
    </xf>
    <xf numFmtId="0" fontId="78" fillId="0" borderId="0" xfId="0" applyFont="1"/>
    <xf numFmtId="0" fontId="7" fillId="2" borderId="4" xfId="0" applyNumberFormat="1" applyFont="1" applyFill="1" applyBorder="1" applyAlignment="1">
      <alignment horizontal="left" indent="1"/>
    </xf>
    <xf numFmtId="0" fontId="26" fillId="0" borderId="31" xfId="0" applyNumberFormat="1" applyFont="1" applyFill="1" applyBorder="1" applyAlignment="1">
      <alignment horizontal="left" indent="2"/>
    </xf>
    <xf numFmtId="37" fontId="26" fillId="0" borderId="31" xfId="0" applyNumberFormat="1" applyFont="1" applyFill="1" applyBorder="1" applyAlignment="1"/>
    <xf numFmtId="37" fontId="26" fillId="0" borderId="55" xfId="0" applyNumberFormat="1" applyFont="1" applyFill="1" applyBorder="1" applyAlignment="1"/>
    <xf numFmtId="37" fontId="26" fillId="0" borderId="56" xfId="0" applyNumberFormat="1" applyFont="1" applyFill="1" applyBorder="1" applyAlignment="1"/>
    <xf numFmtId="0" fontId="26" fillId="0" borderId="57" xfId="0" applyNumberFormat="1" applyFont="1" applyFill="1" applyBorder="1" applyAlignment="1">
      <alignment horizontal="left" indent="2"/>
    </xf>
    <xf numFmtId="37" fontId="26" fillId="0" borderId="25" xfId="0" applyNumberFormat="1" applyFont="1" applyFill="1" applyBorder="1" applyAlignment="1"/>
    <xf numFmtId="37" fontId="26" fillId="0" borderId="58" xfId="0" applyNumberFormat="1" applyFont="1" applyFill="1" applyBorder="1" applyAlignment="1"/>
    <xf numFmtId="37" fontId="26" fillId="0" borderId="59" xfId="0" applyNumberFormat="1" applyFont="1" applyFill="1" applyBorder="1" applyAlignment="1"/>
    <xf numFmtId="0" fontId="70" fillId="0" borderId="38" xfId="11" applyFont="1" applyFill="1" applyBorder="1" applyAlignment="1">
      <alignment horizontal="left" vertical="center"/>
    </xf>
    <xf numFmtId="0" fontId="70" fillId="0" borderId="22" xfId="11" applyFont="1" applyFill="1" applyBorder="1" applyAlignment="1">
      <alignment vertical="center"/>
    </xf>
    <xf numFmtId="37" fontId="6" fillId="0" borderId="23" xfId="0" applyNumberFormat="1" applyFont="1" applyBorder="1" applyAlignment="1"/>
    <xf numFmtId="37" fontId="7" fillId="2" borderId="33" xfId="0" applyNumberFormat="1" applyFont="1" applyFill="1" applyBorder="1" applyAlignment="1"/>
    <xf numFmtId="37" fontId="7" fillId="2" borderId="26" xfId="0" applyNumberFormat="1" applyFont="1" applyFill="1" applyBorder="1" applyAlignment="1"/>
    <xf numFmtId="3" fontId="15" fillId="0" borderId="0" xfId="0" applyNumberFormat="1" applyFont="1" applyAlignment="1"/>
    <xf numFmtId="165" fontId="15" fillId="0" borderId="0" xfId="0" applyNumberFormat="1" applyFont="1" applyAlignment="1"/>
    <xf numFmtId="3" fontId="29" fillId="0" borderId="0" xfId="0" applyNumberFormat="1" applyFont="1" applyAlignment="1"/>
    <xf numFmtId="165" fontId="43" fillId="0" borderId="0" xfId="0" applyNumberFormat="1" applyFont="1" applyAlignment="1"/>
    <xf numFmtId="37" fontId="6" fillId="0" borderId="9" xfId="0" applyNumberFormat="1" applyFont="1" applyFill="1" applyBorder="1" applyAlignment="1"/>
    <xf numFmtId="5" fontId="17" fillId="0" borderId="9" xfId="0" applyNumberFormat="1" applyFont="1" applyBorder="1" applyAlignment="1"/>
    <xf numFmtId="37" fontId="6" fillId="0" borderId="61" xfId="0" applyNumberFormat="1" applyFont="1" applyBorder="1" applyAlignment="1"/>
    <xf numFmtId="5" fontId="6" fillId="0" borderId="9" xfId="0" applyNumberFormat="1" applyFont="1" applyBorder="1" applyAlignment="1"/>
    <xf numFmtId="0" fontId="17" fillId="0" borderId="62" xfId="0" applyNumberFormat="1" applyFont="1" applyBorder="1" applyAlignment="1">
      <alignment horizontal="center"/>
    </xf>
    <xf numFmtId="0" fontId="17" fillId="0" borderId="28" xfId="0" applyNumberFormat="1" applyFont="1" applyBorder="1" applyAlignment="1">
      <alignment horizontal="center"/>
    </xf>
    <xf numFmtId="37" fontId="17" fillId="0" borderId="20" xfId="0" applyNumberFormat="1" applyFont="1" applyBorder="1" applyAlignment="1"/>
    <xf numFmtId="37" fontId="17" fillId="0" borderId="21" xfId="0" applyNumberFormat="1" applyFont="1" applyBorder="1" applyAlignment="1"/>
    <xf numFmtId="5" fontId="7" fillId="2" borderId="63" xfId="0" applyNumberFormat="1" applyFont="1" applyFill="1" applyBorder="1" applyAlignment="1"/>
    <xf numFmtId="5" fontId="7" fillId="2" borderId="64" xfId="0" applyNumberFormat="1" applyFont="1" applyFill="1" applyBorder="1" applyAlignment="1"/>
    <xf numFmtId="0" fontId="18" fillId="0" borderId="0" xfId="6" applyFont="1"/>
    <xf numFmtId="0" fontId="15" fillId="0" borderId="0" xfId="16"/>
    <xf numFmtId="0" fontId="0" fillId="0" borderId="65" xfId="0" applyNumberFormat="1" applyBorder="1" applyAlignment="1">
      <alignment horizontal="left" indent="4"/>
    </xf>
    <xf numFmtId="0" fontId="3" fillId="0" borderId="20" xfId="0" applyNumberFormat="1" applyFont="1" applyBorder="1" applyAlignment="1"/>
    <xf numFmtId="0" fontId="3" fillId="0" borderId="26" xfId="0" applyNumberFormat="1" applyFont="1" applyBorder="1" applyAlignment="1">
      <alignment horizontal="left" indent="4"/>
    </xf>
    <xf numFmtId="37" fontId="17" fillId="0" borderId="7" xfId="0" applyNumberFormat="1" applyFont="1" applyBorder="1" applyAlignment="1">
      <alignment horizontal="right"/>
    </xf>
    <xf numFmtId="37" fontId="6" fillId="0" borderId="24" xfId="0" applyNumberFormat="1" applyFont="1" applyBorder="1" applyAlignment="1"/>
    <xf numFmtId="0" fontId="6" fillId="0" borderId="66" xfId="0" applyNumberFormat="1" applyFont="1" applyBorder="1" applyAlignment="1"/>
    <xf numFmtId="0" fontId="0" fillId="0" borderId="67" xfId="0" applyNumberFormat="1" applyBorder="1" applyAlignment="1"/>
    <xf numFmtId="37" fontId="6" fillId="0" borderId="68" xfId="0" applyNumberFormat="1" applyFont="1" applyBorder="1" applyAlignment="1"/>
    <xf numFmtId="0" fontId="3" fillId="0" borderId="65" xfId="9" applyNumberFormat="1" applyFont="1" applyBorder="1" applyAlignment="1"/>
    <xf numFmtId="0" fontId="15" fillId="0" borderId="0" xfId="9" applyBorder="1" applyAlignment="1"/>
    <xf numFmtId="3" fontId="3" fillId="0" borderId="0" xfId="9" applyNumberFormat="1" applyFont="1" applyAlignment="1"/>
    <xf numFmtId="37" fontId="3" fillId="0" borderId="4" xfId="9" applyNumberFormat="1" applyFont="1" applyBorder="1" applyAlignment="1">
      <alignment horizontal="right"/>
    </xf>
    <xf numFmtId="37" fontId="3" fillId="0" borderId="3" xfId="9" applyNumberFormat="1" applyFont="1" applyBorder="1" applyAlignment="1">
      <alignment horizontal="right"/>
    </xf>
    <xf numFmtId="37" fontId="3" fillId="0" borderId="17" xfId="9" applyNumberFormat="1" applyFont="1" applyBorder="1" applyAlignment="1">
      <alignment horizontal="right"/>
    </xf>
    <xf numFmtId="37" fontId="3" fillId="0" borderId="16" xfId="9" applyNumberFormat="1" applyFont="1" applyBorder="1" applyAlignment="1">
      <alignment horizontal="right"/>
    </xf>
    <xf numFmtId="37" fontId="6" fillId="0" borderId="3" xfId="0" applyNumberFormat="1" applyFont="1" applyBorder="1" applyAlignment="1">
      <alignment horizontal="right"/>
    </xf>
    <xf numFmtId="37" fontId="6" fillId="0" borderId="0" xfId="0" applyNumberFormat="1" applyFont="1" applyAlignment="1">
      <alignment horizontal="right"/>
    </xf>
    <xf numFmtId="37" fontId="6" fillId="0" borderId="17" xfId="0" applyNumberFormat="1" applyFont="1" applyBorder="1" applyAlignment="1">
      <alignment horizontal="right"/>
    </xf>
    <xf numFmtId="37" fontId="17" fillId="0" borderId="17" xfId="0" applyNumberFormat="1" applyFont="1" applyBorder="1" applyAlignment="1">
      <alignment horizontal="right"/>
    </xf>
    <xf numFmtId="37" fontId="6" fillId="0" borderId="0" xfId="0" applyNumberFormat="1" applyFont="1" applyBorder="1" applyAlignment="1">
      <alignment horizontal="right"/>
    </xf>
    <xf numFmtId="37" fontId="6" fillId="0" borderId="65" xfId="0" applyNumberFormat="1" applyFont="1" applyBorder="1" applyAlignment="1">
      <alignment horizontal="right"/>
    </xf>
    <xf numFmtId="37" fontId="6" fillId="0" borderId="4" xfId="0" applyNumberFormat="1" applyFont="1" applyBorder="1" applyAlignment="1">
      <alignment horizontal="right"/>
    </xf>
    <xf numFmtId="3" fontId="6" fillId="0" borderId="2" xfId="0" applyNumberFormat="1" applyFont="1" applyBorder="1" applyAlignment="1">
      <alignment horizontal="right"/>
    </xf>
    <xf numFmtId="3" fontId="6" fillId="0" borderId="3" xfId="0" applyNumberFormat="1" applyFont="1" applyBorder="1" applyAlignment="1">
      <alignment horizontal="right"/>
    </xf>
    <xf numFmtId="37" fontId="17" fillId="0" borderId="22" xfId="0" applyNumberFormat="1" applyFont="1" applyBorder="1" applyAlignment="1">
      <alignment horizontal="right"/>
    </xf>
    <xf numFmtId="164" fontId="17" fillId="0" borderId="17" xfId="0" applyNumberFormat="1" applyFont="1" applyBorder="1" applyAlignment="1">
      <alignment horizontal="right"/>
    </xf>
    <xf numFmtId="164" fontId="17" fillId="0" borderId="32" xfId="0" applyNumberFormat="1" applyFont="1" applyBorder="1" applyAlignment="1">
      <alignment horizontal="right"/>
    </xf>
    <xf numFmtId="37" fontId="6" fillId="0" borderId="18" xfId="0" applyNumberFormat="1" applyFont="1" applyBorder="1" applyAlignment="1">
      <alignment horizontal="right"/>
    </xf>
    <xf numFmtId="3" fontId="6" fillId="0" borderId="0" xfId="0" applyNumberFormat="1" applyFont="1" applyAlignment="1">
      <alignment horizontal="right"/>
    </xf>
    <xf numFmtId="37" fontId="6" fillId="0" borderId="19" xfId="0" applyNumberFormat="1" applyFont="1" applyBorder="1" applyAlignment="1">
      <alignment horizontal="right"/>
    </xf>
    <xf numFmtId="37" fontId="6" fillId="0" borderId="16" xfId="0" applyNumberFormat="1" applyFont="1" applyBorder="1" applyAlignment="1">
      <alignment horizontal="right"/>
    </xf>
    <xf numFmtId="3" fontId="6" fillId="0" borderId="17" xfId="0" applyNumberFormat="1" applyFont="1" applyBorder="1" applyAlignment="1">
      <alignment horizontal="right"/>
    </xf>
    <xf numFmtId="37" fontId="6" fillId="0" borderId="32" xfId="0" applyNumberFormat="1" applyFont="1" applyBorder="1" applyAlignment="1">
      <alignment horizontal="right"/>
    </xf>
    <xf numFmtId="37" fontId="6" fillId="0" borderId="2" xfId="0" applyNumberFormat="1" applyFont="1" applyBorder="1" applyAlignment="1">
      <alignment horizontal="right"/>
    </xf>
    <xf numFmtId="0" fontId="7" fillId="2" borderId="61" xfId="0" applyNumberFormat="1" applyFont="1" applyFill="1" applyBorder="1" applyAlignment="1">
      <alignment horizontal="left" indent="2"/>
    </xf>
    <xf numFmtId="37" fontId="6" fillId="0" borderId="8" xfId="0" applyNumberFormat="1" applyFont="1" applyBorder="1" applyAlignment="1"/>
    <xf numFmtId="0" fontId="17" fillId="0" borderId="26" xfId="0" applyNumberFormat="1" applyFont="1" applyBorder="1" applyAlignment="1"/>
    <xf numFmtId="37" fontId="17" fillId="0" borderId="5" xfId="0" applyNumberFormat="1" applyFont="1" applyBorder="1" applyAlignment="1"/>
    <xf numFmtId="0" fontId="17" fillId="0" borderId="4" xfId="0" applyNumberFormat="1" applyFont="1" applyBorder="1" applyAlignment="1">
      <alignment horizontal="left" indent="4"/>
    </xf>
    <xf numFmtId="0" fontId="14" fillId="0" borderId="3" xfId="0" applyNumberFormat="1" applyFont="1" applyBorder="1" applyAlignment="1">
      <alignment horizontal="left" indent="4"/>
    </xf>
    <xf numFmtId="0" fontId="3" fillId="0" borderId="22" xfId="0" applyNumberFormat="1" applyFont="1" applyBorder="1" applyAlignment="1">
      <alignment horizontal="left" indent="4"/>
    </xf>
    <xf numFmtId="0" fontId="0" fillId="0" borderId="63" xfId="0" applyNumberFormat="1" applyBorder="1" applyAlignment="1">
      <alignment horizontal="left" indent="4"/>
    </xf>
    <xf numFmtId="37" fontId="17" fillId="0" borderId="61" xfId="0" applyNumberFormat="1" applyFont="1" applyBorder="1" applyAlignment="1"/>
    <xf numFmtId="0" fontId="15" fillId="0" borderId="0" xfId="9" applyBorder="1" applyAlignment="1">
      <alignment wrapText="1"/>
    </xf>
    <xf numFmtId="0" fontId="17" fillId="0" borderId="70" xfId="0" applyNumberFormat="1" applyFont="1" applyBorder="1" applyAlignment="1"/>
    <xf numFmtId="0" fontId="0" fillId="0" borderId="71" xfId="0" applyNumberFormat="1" applyBorder="1" applyAlignment="1"/>
    <xf numFmtId="0" fontId="3" fillId="0" borderId="21" xfId="0" applyNumberFormat="1" applyFont="1" applyBorder="1" applyAlignment="1"/>
    <xf numFmtId="0" fontId="17" fillId="0" borderId="65" xfId="0" applyNumberFormat="1" applyFont="1" applyBorder="1" applyAlignment="1"/>
    <xf numFmtId="3" fontId="7" fillId="2" borderId="0" xfId="0" applyNumberFormat="1" applyFont="1" applyFill="1" applyBorder="1" applyAlignment="1"/>
    <xf numFmtId="0" fontId="24" fillId="2" borderId="0" xfId="0" applyNumberFormat="1" applyFont="1" applyFill="1" applyBorder="1" applyAlignment="1">
      <alignment horizontal="right"/>
    </xf>
    <xf numFmtId="37" fontId="23" fillId="2" borderId="72" xfId="0" applyNumberFormat="1" applyFont="1" applyFill="1" applyBorder="1" applyAlignment="1"/>
    <xf numFmtId="0" fontId="23" fillId="2" borderId="73" xfId="0" applyNumberFormat="1" applyFont="1" applyFill="1" applyBorder="1" applyAlignment="1">
      <alignment horizontal="left"/>
    </xf>
    <xf numFmtId="37" fontId="23" fillId="2" borderId="74" xfId="0" applyNumberFormat="1" applyFont="1" applyFill="1" applyBorder="1" applyAlignment="1"/>
    <xf numFmtId="37" fontId="23" fillId="2" borderId="75" xfId="0" applyNumberFormat="1" applyFont="1" applyFill="1" applyBorder="1" applyAlignment="1"/>
    <xf numFmtId="37" fontId="23" fillId="2" borderId="19" xfId="0" applyNumberFormat="1" applyFont="1" applyFill="1" applyBorder="1" applyAlignment="1"/>
    <xf numFmtId="0" fontId="23" fillId="2" borderId="51" xfId="0" applyNumberFormat="1" applyFont="1" applyFill="1" applyBorder="1" applyAlignment="1">
      <alignment horizontal="left"/>
    </xf>
    <xf numFmtId="37" fontId="23" fillId="2" borderId="76" xfId="0" applyNumberFormat="1" applyFont="1" applyFill="1" applyBorder="1" applyAlignment="1"/>
    <xf numFmtId="37" fontId="23" fillId="2" borderId="60" xfId="0" applyNumberFormat="1" applyFont="1" applyFill="1" applyBorder="1" applyAlignment="1"/>
    <xf numFmtId="37" fontId="23" fillId="2" borderId="77" xfId="0" applyNumberFormat="1" applyFont="1" applyFill="1" applyBorder="1" applyAlignment="1"/>
    <xf numFmtId="0" fontId="23" fillId="2" borderId="78" xfId="0" applyNumberFormat="1" applyFont="1" applyFill="1" applyBorder="1" applyAlignment="1">
      <alignment horizontal="left"/>
    </xf>
    <xf numFmtId="37" fontId="23" fillId="2" borderId="79" xfId="0" applyNumberFormat="1" applyFont="1" applyFill="1" applyBorder="1" applyAlignment="1"/>
    <xf numFmtId="37" fontId="23" fillId="2" borderId="80" xfId="0" applyNumberFormat="1" applyFont="1" applyFill="1" applyBorder="1" applyAlignment="1"/>
    <xf numFmtId="37" fontId="23" fillId="2" borderId="81" xfId="0" applyNumberFormat="1" applyFont="1" applyFill="1" applyBorder="1" applyAlignment="1"/>
    <xf numFmtId="37" fontId="23" fillId="2" borderId="82" xfId="0" applyNumberFormat="1" applyFont="1" applyFill="1" applyBorder="1" applyAlignment="1"/>
    <xf numFmtId="37" fontId="23" fillId="2" borderId="32" xfId="0" applyNumberFormat="1" applyFont="1" applyFill="1" applyBorder="1" applyAlignment="1"/>
    <xf numFmtId="0" fontId="23" fillId="2" borderId="50" xfId="0" applyNumberFormat="1" applyFont="1" applyFill="1" applyBorder="1" applyAlignment="1">
      <alignment horizontal="left"/>
    </xf>
    <xf numFmtId="37" fontId="23" fillId="2" borderId="18" xfId="0" applyNumberFormat="1" applyFont="1" applyFill="1" applyBorder="1" applyAlignment="1"/>
    <xf numFmtId="0" fontId="23" fillId="2" borderId="6" xfId="0" applyNumberFormat="1" applyFont="1" applyFill="1" applyBorder="1" applyAlignment="1">
      <alignment horizontal="left"/>
    </xf>
    <xf numFmtId="37" fontId="23" fillId="2" borderId="83" xfId="0" applyNumberFormat="1" applyFont="1" applyFill="1" applyBorder="1" applyAlignment="1"/>
    <xf numFmtId="37" fontId="23" fillId="2" borderId="84" xfId="0" applyNumberFormat="1" applyFont="1" applyFill="1" applyBorder="1" applyAlignment="1"/>
    <xf numFmtId="170" fontId="24" fillId="2" borderId="0" xfId="0" applyNumberFormat="1" applyFont="1" applyFill="1" applyBorder="1" applyAlignment="1"/>
    <xf numFmtId="5" fontId="24" fillId="2" borderId="0" xfId="0" applyNumberFormat="1" applyFont="1" applyFill="1" applyBorder="1" applyAlignment="1"/>
    <xf numFmtId="0" fontId="43" fillId="0" borderId="0" xfId="0" applyFont="1"/>
    <xf numFmtId="0" fontId="48" fillId="0" borderId="0" xfId="13" applyFont="1"/>
    <xf numFmtId="0" fontId="16" fillId="0" borderId="0" xfId="13"/>
    <xf numFmtId="0" fontId="21" fillId="0" borderId="17" xfId="13" applyFont="1" applyBorder="1" applyAlignment="1">
      <alignment horizontal="center"/>
    </xf>
    <xf numFmtId="0" fontId="21" fillId="0" borderId="32" xfId="13" applyFont="1" applyBorder="1" applyAlignment="1">
      <alignment horizontal="center"/>
    </xf>
    <xf numFmtId="0" fontId="21" fillId="0" borderId="17" xfId="12" applyFont="1" applyBorder="1" applyAlignment="1">
      <alignment horizontal="center"/>
    </xf>
    <xf numFmtId="0" fontId="21" fillId="0" borderId="32" xfId="12" applyFont="1" applyBorder="1" applyAlignment="1">
      <alignment horizontal="center"/>
    </xf>
    <xf numFmtId="0" fontId="9" fillId="0" borderId="5" xfId="13" applyFont="1" applyBorder="1"/>
    <xf numFmtId="0" fontId="9" fillId="0" borderId="5" xfId="13" applyFont="1" applyBorder="1" applyAlignment="1">
      <alignment horizontal="center"/>
    </xf>
    <xf numFmtId="37" fontId="3" fillId="0" borderId="30" xfId="8" applyNumberFormat="1" applyFont="1" applyBorder="1"/>
    <xf numFmtId="37" fontId="3" fillId="0" borderId="85" xfId="8" applyNumberFormat="1" applyFont="1" applyBorder="1"/>
    <xf numFmtId="37" fontId="3" fillId="0" borderId="86" xfId="8" applyNumberFormat="1" applyFont="1" applyBorder="1"/>
    <xf numFmtId="37" fontId="3" fillId="0" borderId="18" xfId="0" applyNumberFormat="1" applyFont="1" applyBorder="1"/>
    <xf numFmtId="37" fontId="3" fillId="0" borderId="3" xfId="0" applyNumberFormat="1" applyFont="1" applyBorder="1"/>
    <xf numFmtId="37" fontId="3" fillId="0" borderId="2" xfId="0" applyNumberFormat="1" applyFont="1" applyBorder="1"/>
    <xf numFmtId="37" fontId="3" fillId="0" borderId="18" xfId="8" applyNumberFormat="1" applyFont="1" applyBorder="1"/>
    <xf numFmtId="37" fontId="3" fillId="0" borderId="3" xfId="8" applyNumberFormat="1" applyFont="1" applyBorder="1"/>
    <xf numFmtId="37" fontId="3" fillId="0" borderId="2" xfId="8" applyNumberFormat="1" applyFont="1" applyBorder="1"/>
    <xf numFmtId="37" fontId="9" fillId="0" borderId="2" xfId="0" applyNumberFormat="1" applyFont="1" applyBorder="1"/>
    <xf numFmtId="37" fontId="9" fillId="0" borderId="26" xfId="0" applyNumberFormat="1" applyFont="1" applyBorder="1"/>
    <xf numFmtId="37" fontId="9" fillId="0" borderId="3" xfId="0" applyNumberFormat="1" applyFont="1" applyBorder="1"/>
    <xf numFmtId="0" fontId="9" fillId="0" borderId="9" xfId="13" applyFont="1" applyBorder="1"/>
    <xf numFmtId="0" fontId="9" fillId="0" borderId="9" xfId="13" applyFont="1" applyBorder="1" applyAlignment="1">
      <alignment horizontal="center"/>
    </xf>
    <xf numFmtId="37" fontId="3" fillId="0" borderId="16" xfId="0" applyNumberFormat="1" applyFont="1" applyBorder="1"/>
    <xf numFmtId="37" fontId="3" fillId="0" borderId="17" xfId="0" applyNumberFormat="1" applyFont="1" applyBorder="1"/>
    <xf numFmtId="37" fontId="3" fillId="0" borderId="32" xfId="0" applyNumberFormat="1" applyFont="1" applyBorder="1"/>
    <xf numFmtId="37" fontId="3" fillId="0" borderId="0" xfId="0" applyNumberFormat="1" applyFont="1" applyBorder="1"/>
    <xf numFmtId="37" fontId="3" fillId="0" borderId="19" xfId="0" applyNumberFormat="1" applyFont="1" applyBorder="1"/>
    <xf numFmtId="0" fontId="9" fillId="0" borderId="16" xfId="13" applyFont="1" applyBorder="1"/>
    <xf numFmtId="0" fontId="9" fillId="0" borderId="17" xfId="13" applyFont="1" applyBorder="1"/>
    <xf numFmtId="0" fontId="9" fillId="0" borderId="32" xfId="13" applyFont="1" applyBorder="1"/>
    <xf numFmtId="0" fontId="21" fillId="0" borderId="0" xfId="12" applyFont="1" applyBorder="1" applyAlignment="1">
      <alignment horizontal="center"/>
    </xf>
    <xf numFmtId="0" fontId="21" fillId="0" borderId="19" xfId="12" applyFont="1" applyBorder="1" applyAlignment="1">
      <alignment horizontal="center"/>
    </xf>
    <xf numFmtId="0" fontId="21" fillId="0" borderId="0" xfId="13" applyFont="1" applyBorder="1" applyAlignment="1">
      <alignment horizontal="center"/>
    </xf>
    <xf numFmtId="0" fontId="21" fillId="0" borderId="19" xfId="13" applyFont="1" applyBorder="1" applyAlignment="1">
      <alignment horizontal="center"/>
    </xf>
    <xf numFmtId="0" fontId="9" fillId="0" borderId="26" xfId="13" applyFont="1" applyBorder="1"/>
    <xf numFmtId="0" fontId="16" fillId="0" borderId="23" xfId="13" applyBorder="1"/>
    <xf numFmtId="37" fontId="9" fillId="0" borderId="18" xfId="0" applyNumberFormat="1" applyFont="1" applyBorder="1"/>
    <xf numFmtId="37" fontId="9" fillId="0" borderId="30" xfId="0" applyNumberFormat="1" applyFont="1" applyBorder="1"/>
    <xf numFmtId="37" fontId="9" fillId="0" borderId="85" xfId="0" applyNumberFormat="1" applyFont="1" applyBorder="1"/>
    <xf numFmtId="37" fontId="9" fillId="0" borderId="86" xfId="0" applyNumberFormat="1" applyFont="1" applyBorder="1"/>
    <xf numFmtId="0" fontId="9" fillId="0" borderId="23" xfId="13" applyFont="1" applyBorder="1" applyAlignment="1">
      <alignment horizontal="left"/>
    </xf>
    <xf numFmtId="37" fontId="9" fillId="0" borderId="65" xfId="0" applyNumberFormat="1" applyFont="1" applyBorder="1"/>
    <xf numFmtId="0" fontId="9" fillId="0" borderId="23" xfId="13" applyFont="1" applyBorder="1"/>
    <xf numFmtId="37" fontId="9" fillId="0" borderId="16" xfId="0" applyNumberFormat="1" applyFont="1" applyBorder="1"/>
    <xf numFmtId="37" fontId="9" fillId="0" borderId="17" xfId="0" applyNumberFormat="1" applyFont="1" applyBorder="1"/>
    <xf numFmtId="37" fontId="9" fillId="0" borderId="32" xfId="0" applyNumberFormat="1" applyFont="1" applyBorder="1"/>
    <xf numFmtId="0" fontId="16" fillId="0" borderId="16" xfId="13" applyBorder="1"/>
    <xf numFmtId="0" fontId="16" fillId="0" borderId="17" xfId="13" applyBorder="1"/>
    <xf numFmtId="0" fontId="16" fillId="0" borderId="32" xfId="13" applyBorder="1"/>
    <xf numFmtId="0" fontId="21" fillId="0" borderId="61" xfId="13" applyFont="1" applyBorder="1"/>
    <xf numFmtId="37" fontId="21" fillId="0" borderId="20" xfId="13" applyNumberFormat="1" applyFont="1" applyBorder="1"/>
    <xf numFmtId="37" fontId="21" fillId="0" borderId="21" xfId="13" applyNumberFormat="1" applyFont="1" applyBorder="1"/>
    <xf numFmtId="5" fontId="21" fillId="0" borderId="21" xfId="13" applyNumberFormat="1" applyFont="1" applyBorder="1"/>
    <xf numFmtId="5" fontId="21" fillId="0" borderId="61" xfId="13" applyNumberFormat="1" applyFont="1" applyBorder="1"/>
    <xf numFmtId="0" fontId="16" fillId="0" borderId="0" xfId="13" applyFont="1" applyBorder="1"/>
    <xf numFmtId="0" fontId="16" fillId="0" borderId="0" xfId="13" applyBorder="1"/>
    <xf numFmtId="0" fontId="29" fillId="0" borderId="0" xfId="13" applyFont="1"/>
    <xf numFmtId="0" fontId="38" fillId="0" borderId="0" xfId="13" applyFont="1" applyFill="1" applyAlignment="1"/>
    <xf numFmtId="0" fontId="37" fillId="0" borderId="0" xfId="13" applyFont="1" applyFill="1" applyAlignment="1"/>
    <xf numFmtId="0" fontId="46" fillId="0" borderId="0" xfId="13" applyFont="1"/>
    <xf numFmtId="165" fontId="3" fillId="0" borderId="0" xfId="0" applyNumberFormat="1" applyFont="1" applyAlignment="1">
      <alignment horizontal="centerContinuous"/>
    </xf>
    <xf numFmtId="37" fontId="3" fillId="0" borderId="4" xfId="0" applyNumberFormat="1" applyFont="1" applyBorder="1" applyAlignment="1"/>
    <xf numFmtId="37" fontId="3" fillId="0" borderId="3" xfId="0" applyNumberFormat="1" applyFont="1" applyBorder="1" applyAlignment="1"/>
    <xf numFmtId="37" fontId="3" fillId="0" borderId="2" xfId="0" applyNumberFormat="1" applyFont="1" applyBorder="1" applyAlignment="1"/>
    <xf numFmtId="37" fontId="3" fillId="0" borderId="26" xfId="0" applyNumberFormat="1" applyFont="1" applyBorder="1" applyAlignment="1"/>
    <xf numFmtId="37" fontId="3" fillId="0" borderId="65" xfId="0" applyNumberFormat="1" applyFont="1" applyBorder="1" applyAlignment="1"/>
    <xf numFmtId="37" fontId="3" fillId="0" borderId="69" xfId="0" applyNumberFormat="1" applyFont="1" applyBorder="1" applyAlignment="1"/>
    <xf numFmtId="37" fontId="3" fillId="0" borderId="22" xfId="0" applyNumberFormat="1" applyFont="1" applyFill="1" applyBorder="1" applyAlignment="1"/>
    <xf numFmtId="37" fontId="3" fillId="0" borderId="63" xfId="0" applyNumberFormat="1" applyFont="1" applyFill="1" applyBorder="1" applyAlignment="1"/>
    <xf numFmtId="37" fontId="3" fillId="0" borderId="64" xfId="0" applyNumberFormat="1" applyFont="1" applyFill="1" applyBorder="1" applyAlignment="1"/>
    <xf numFmtId="0" fontId="24" fillId="2" borderId="21" xfId="0" applyNumberFormat="1" applyFont="1" applyFill="1" applyBorder="1" applyAlignment="1">
      <alignment horizontal="center" wrapText="1"/>
    </xf>
    <xf numFmtId="37" fontId="23" fillId="2" borderId="78" xfId="0" applyNumberFormat="1" applyFont="1" applyFill="1" applyBorder="1" applyAlignment="1"/>
    <xf numFmtId="37" fontId="23" fillId="2" borderId="50" xfId="0" applyNumberFormat="1" applyFont="1" applyFill="1" applyBorder="1" applyAlignment="1"/>
    <xf numFmtId="37" fontId="23" fillId="2" borderId="9" xfId="0" applyNumberFormat="1" applyFont="1" applyFill="1" applyBorder="1" applyAlignment="1"/>
    <xf numFmtId="0" fontId="16" fillId="0" borderId="9" xfId="13" applyBorder="1"/>
    <xf numFmtId="37" fontId="9" fillId="0" borderId="69" xfId="0" applyNumberFormat="1" applyFont="1" applyBorder="1"/>
    <xf numFmtId="165" fontId="48" fillId="0" borderId="0" xfId="6" applyNumberFormat="1" applyFont="1"/>
    <xf numFmtId="165" fontId="15" fillId="0" borderId="0" xfId="6" applyNumberFormat="1"/>
    <xf numFmtId="0" fontId="7" fillId="2" borderId="87" xfId="6" applyNumberFormat="1" applyFont="1" applyFill="1" applyBorder="1" applyAlignment="1"/>
    <xf numFmtId="37" fontId="7" fillId="2" borderId="1" xfId="6" applyNumberFormat="1" applyFont="1" applyFill="1" applyBorder="1" applyAlignment="1"/>
    <xf numFmtId="0" fontId="7" fillId="2" borderId="88" xfId="6" applyNumberFormat="1" applyFont="1" applyFill="1" applyBorder="1" applyAlignment="1">
      <alignment horizontal="left"/>
    </xf>
    <xf numFmtId="0" fontId="9" fillId="0" borderId="88" xfId="6" applyNumberFormat="1" applyFont="1" applyBorder="1" applyAlignment="1"/>
    <xf numFmtId="0" fontId="7" fillId="2" borderId="89" xfId="6" applyNumberFormat="1" applyFont="1" applyFill="1" applyBorder="1" applyAlignment="1">
      <alignment horizontal="left"/>
    </xf>
    <xf numFmtId="0" fontId="27" fillId="2" borderId="90" xfId="6" applyNumberFormat="1" applyFont="1" applyFill="1" applyBorder="1" applyAlignment="1">
      <alignment horizontal="left" indent="5"/>
    </xf>
    <xf numFmtId="37" fontId="27" fillId="2" borderId="91" xfId="6" applyNumberFormat="1" applyFont="1" applyFill="1" applyBorder="1" applyAlignment="1"/>
    <xf numFmtId="37" fontId="27" fillId="2" borderId="1" xfId="6" applyNumberFormat="1" applyFont="1" applyFill="1" applyBorder="1" applyAlignment="1"/>
    <xf numFmtId="37" fontId="27" fillId="2" borderId="92" xfId="6" applyNumberFormat="1" applyFont="1" applyFill="1" applyBorder="1" applyAlignment="1"/>
    <xf numFmtId="165" fontId="48" fillId="0" borderId="0" xfId="6" applyNumberFormat="1" applyFont="1" applyBorder="1"/>
    <xf numFmtId="0" fontId="7" fillId="2" borderId="93" xfId="6" applyNumberFormat="1" applyFont="1" applyFill="1" applyBorder="1" applyAlignment="1">
      <alignment horizontal="left"/>
    </xf>
    <xf numFmtId="37" fontId="9" fillId="0" borderId="94" xfId="6" applyNumberFormat="1" applyFont="1" applyBorder="1"/>
    <xf numFmtId="37" fontId="9" fillId="0" borderId="95" xfId="6" applyNumberFormat="1" applyFont="1" applyBorder="1"/>
    <xf numFmtId="37" fontId="7" fillId="2" borderId="94" xfId="6" applyNumberFormat="1" applyFont="1" applyFill="1" applyBorder="1" applyAlignment="1"/>
    <xf numFmtId="37" fontId="7" fillId="0" borderId="94" xfId="6" applyNumberFormat="1" applyFont="1" applyFill="1" applyBorder="1" applyAlignment="1"/>
    <xf numFmtId="0" fontId="7" fillId="2" borderId="96" xfId="6" applyNumberFormat="1" applyFont="1" applyFill="1" applyBorder="1" applyAlignment="1">
      <alignment horizontal="left"/>
    </xf>
    <xf numFmtId="37" fontId="9" fillId="0" borderId="39" xfId="6" applyNumberFormat="1" applyFont="1" applyBorder="1"/>
    <xf numFmtId="37" fontId="9" fillId="0" borderId="48" xfId="6" applyNumberFormat="1" applyFont="1" applyBorder="1"/>
    <xf numFmtId="37" fontId="7" fillId="2" borderId="42" xfId="6" applyNumberFormat="1" applyFont="1" applyFill="1" applyBorder="1" applyAlignment="1"/>
    <xf numFmtId="37" fontId="7" fillId="0" borderId="42" xfId="6" applyNumberFormat="1" applyFont="1" applyFill="1" applyBorder="1" applyAlignment="1"/>
    <xf numFmtId="0" fontId="7" fillId="2" borderId="97" xfId="6" applyNumberFormat="1" applyFont="1" applyFill="1" applyBorder="1" applyAlignment="1">
      <alignment horizontal="left"/>
    </xf>
    <xf numFmtId="37" fontId="9" fillId="0" borderId="98" xfId="6" applyNumberFormat="1" applyFont="1" applyFill="1" applyBorder="1"/>
    <xf numFmtId="37" fontId="9" fillId="0" borderId="99" xfId="6" applyNumberFormat="1" applyFont="1" applyBorder="1"/>
    <xf numFmtId="37" fontId="9" fillId="0" borderId="98" xfId="6" applyNumberFormat="1" applyFont="1" applyBorder="1"/>
    <xf numFmtId="37" fontId="7" fillId="2" borderId="98" xfId="6" applyNumberFormat="1" applyFont="1" applyFill="1" applyBorder="1" applyAlignment="1"/>
    <xf numFmtId="37" fontId="7" fillId="0" borderId="98" xfId="6" applyNumberFormat="1" applyFont="1" applyFill="1" applyBorder="1" applyAlignment="1"/>
    <xf numFmtId="0" fontId="27" fillId="2" borderId="100" xfId="6" applyNumberFormat="1" applyFont="1" applyFill="1" applyBorder="1" applyAlignment="1">
      <alignment horizontal="left" indent="5"/>
    </xf>
    <xf numFmtId="37" fontId="28" fillId="0" borderId="101" xfId="6" applyNumberFormat="1" applyFont="1" applyBorder="1"/>
    <xf numFmtId="37" fontId="28" fillId="0" borderId="102" xfId="6" applyNumberFormat="1" applyFont="1" applyBorder="1"/>
    <xf numFmtId="37" fontId="28" fillId="0" borderId="33" xfId="6" applyNumberFormat="1" applyFont="1" applyBorder="1"/>
    <xf numFmtId="165" fontId="15" fillId="0" borderId="0" xfId="6" applyNumberFormat="1" applyBorder="1"/>
    <xf numFmtId="165" fontId="51" fillId="0" borderId="0" xfId="6" applyNumberFormat="1" applyFont="1" applyAlignment="1"/>
    <xf numFmtId="165" fontId="3" fillId="0" borderId="0" xfId="6" applyNumberFormat="1" applyFont="1" applyAlignment="1"/>
    <xf numFmtId="0" fontId="24" fillId="2" borderId="27" xfId="6" applyNumberFormat="1" applyFont="1" applyFill="1" applyBorder="1" applyAlignment="1">
      <alignment horizontal="right"/>
    </xf>
    <xf numFmtId="0" fontId="24" fillId="2" borderId="28" xfId="6" applyNumberFormat="1" applyFont="1" applyFill="1" applyBorder="1" applyAlignment="1">
      <alignment horizontal="right"/>
    </xf>
    <xf numFmtId="0" fontId="24" fillId="2" borderId="29" xfId="6" applyNumberFormat="1" applyFont="1" applyFill="1" applyBorder="1" applyAlignment="1">
      <alignment horizontal="right"/>
    </xf>
    <xf numFmtId="0" fontId="23" fillId="0" borderId="4" xfId="6" applyNumberFormat="1" applyFont="1" applyFill="1" applyBorder="1" applyAlignment="1">
      <alignment horizontal="left"/>
    </xf>
    <xf numFmtId="37" fontId="23" fillId="2" borderId="4" xfId="6" applyNumberFormat="1" applyFont="1" applyFill="1" applyBorder="1" applyAlignment="1"/>
    <xf numFmtId="37" fontId="23" fillId="2" borderId="3" xfId="6" applyNumberFormat="1" applyFont="1" applyFill="1" applyBorder="1" applyAlignment="1"/>
    <xf numFmtId="0" fontId="23" fillId="2" borderId="4" xfId="6" applyNumberFormat="1" applyFont="1" applyFill="1" applyBorder="1" applyAlignment="1">
      <alignment horizontal="left"/>
    </xf>
    <xf numFmtId="37" fontId="23" fillId="2" borderId="26" xfId="6" applyNumberFormat="1" applyFont="1" applyFill="1" applyBorder="1" applyAlignment="1"/>
    <xf numFmtId="37" fontId="23" fillId="2" borderId="16" xfId="6" applyNumberFormat="1" applyFont="1" applyFill="1" applyBorder="1" applyAlignment="1"/>
    <xf numFmtId="37" fontId="23" fillId="2" borderId="17" xfId="6" applyNumberFormat="1" applyFont="1" applyFill="1" applyBorder="1" applyAlignment="1"/>
    <xf numFmtId="0" fontId="24" fillId="2" borderId="20" xfId="6" applyNumberFormat="1" applyFont="1" applyFill="1" applyBorder="1" applyAlignment="1">
      <alignment horizontal="left"/>
    </xf>
    <xf numFmtId="37" fontId="24" fillId="2" borderId="20" xfId="6" applyNumberFormat="1" applyFont="1" applyFill="1" applyBorder="1" applyAlignment="1"/>
    <xf numFmtId="37" fontId="24" fillId="2" borderId="21" xfId="6" applyNumberFormat="1" applyFont="1" applyFill="1" applyBorder="1" applyAlignment="1"/>
    <xf numFmtId="0" fontId="24" fillId="2" borderId="4" xfId="6" applyNumberFormat="1" applyFont="1" applyFill="1" applyBorder="1" applyAlignment="1">
      <alignment horizontal="left"/>
    </xf>
    <xf numFmtId="4" fontId="23" fillId="2" borderId="4" xfId="6" applyNumberFormat="1" applyFont="1" applyFill="1" applyBorder="1" applyAlignment="1"/>
    <xf numFmtId="164" fontId="24" fillId="2" borderId="3" xfId="6" applyNumberFormat="1" applyFont="1" applyFill="1" applyBorder="1" applyAlignment="1"/>
    <xf numFmtId="4" fontId="3" fillId="0" borderId="4" xfId="6" applyNumberFormat="1" applyFont="1" applyBorder="1" applyAlignment="1"/>
    <xf numFmtId="4" fontId="23" fillId="2" borderId="4" xfId="6" applyNumberFormat="1" applyFont="1" applyFill="1" applyBorder="1" applyAlignment="1">
      <alignment horizontal="right"/>
    </xf>
    <xf numFmtId="165" fontId="29" fillId="0" borderId="0" xfId="6" applyNumberFormat="1" applyFont="1" applyAlignment="1"/>
    <xf numFmtId="37" fontId="6" fillId="0" borderId="103" xfId="0" applyNumberFormat="1" applyFont="1" applyBorder="1" applyAlignment="1"/>
    <xf numFmtId="37" fontId="6" fillId="0" borderId="104" xfId="0" applyNumberFormat="1" applyFont="1" applyBorder="1" applyAlignment="1"/>
    <xf numFmtId="37" fontId="6" fillId="0" borderId="105" xfId="0" applyNumberFormat="1" applyFont="1" applyBorder="1" applyAlignment="1"/>
    <xf numFmtId="37" fontId="6" fillId="0" borderId="106" xfId="0" applyNumberFormat="1" applyFont="1" applyBorder="1" applyAlignment="1"/>
    <xf numFmtId="0" fontId="3" fillId="0" borderId="0" xfId="0" applyFont="1" applyBorder="1" applyAlignment="1">
      <alignment horizontal="left" vertical="top" wrapText="1"/>
    </xf>
    <xf numFmtId="3" fontId="6" fillId="0" borderId="0" xfId="0" applyNumberFormat="1" applyFont="1" applyAlignment="1">
      <alignment horizontal="center"/>
    </xf>
    <xf numFmtId="0" fontId="56" fillId="0" borderId="0" xfId="0" applyFont="1" applyAlignment="1">
      <alignment horizontal="center"/>
    </xf>
    <xf numFmtId="0" fontId="57" fillId="0" borderId="0" xfId="0" applyFont="1" applyAlignment="1"/>
    <xf numFmtId="0" fontId="56" fillId="0" borderId="0" xfId="8" applyFont="1" applyBorder="1" applyAlignment="1">
      <alignment horizontal="center"/>
    </xf>
    <xf numFmtId="165" fontId="9" fillId="0" borderId="0" xfId="0" applyNumberFormat="1" applyFont="1" applyAlignment="1">
      <alignment horizontal="center"/>
    </xf>
    <xf numFmtId="0" fontId="6" fillId="0" borderId="0" xfId="0" applyFont="1" applyBorder="1" applyAlignment="1">
      <alignment horizontal="center"/>
    </xf>
    <xf numFmtId="0" fontId="17" fillId="0" borderId="27" xfId="0" applyNumberFormat="1" applyFont="1" applyBorder="1" applyAlignment="1">
      <alignment horizontal="center"/>
    </xf>
    <xf numFmtId="0" fontId="3" fillId="0" borderId="0" xfId="0" applyNumberFormat="1" applyFont="1" applyAlignment="1"/>
    <xf numFmtId="0" fontId="10" fillId="0" borderId="0" xfId="0" applyNumberFormat="1" applyFont="1" applyAlignment="1">
      <alignment horizontal="center"/>
    </xf>
    <xf numFmtId="0" fontId="12" fillId="0" borderId="0" xfId="0" applyNumberFormat="1" applyFont="1" applyAlignment="1">
      <alignment horizontal="center"/>
    </xf>
    <xf numFmtId="0" fontId="0" fillId="0" borderId="0" xfId="0" applyNumberFormat="1" applyBorder="1" applyAlignment="1"/>
    <xf numFmtId="37" fontId="30" fillId="0" borderId="0" xfId="9" applyNumberFormat="1" applyFont="1" applyBorder="1" applyAlignment="1">
      <alignment horizontal="right" vertical="top" wrapText="1"/>
    </xf>
    <xf numFmtId="5" fontId="30" fillId="0" borderId="0" xfId="9" applyNumberFormat="1" applyFont="1" applyBorder="1" applyAlignment="1">
      <alignment horizontal="right" vertical="top" wrapText="1"/>
    </xf>
    <xf numFmtId="0" fontId="48" fillId="0" borderId="0" xfId="9" applyFont="1"/>
    <xf numFmtId="0" fontId="30" fillId="0" borderId="0" xfId="9" applyFont="1" applyBorder="1" applyAlignment="1">
      <alignment horizontal="center"/>
    </xf>
    <xf numFmtId="0" fontId="15" fillId="0" borderId="0" xfId="9" applyAlignment="1">
      <alignment vertical="top"/>
    </xf>
    <xf numFmtId="0" fontId="30" fillId="0" borderId="0" xfId="9" applyFont="1" applyBorder="1" applyAlignment="1">
      <alignment horizontal="center" vertical="top"/>
    </xf>
    <xf numFmtId="37" fontId="30" fillId="0" borderId="0" xfId="9" applyNumberFormat="1" applyFont="1" applyBorder="1" applyAlignment="1">
      <alignment horizontal="right" vertical="top"/>
    </xf>
    <xf numFmtId="0" fontId="36" fillId="0" borderId="0" xfId="9" applyFont="1" applyBorder="1" applyAlignment="1">
      <alignment horizontal="center" vertical="top" wrapText="1"/>
    </xf>
    <xf numFmtId="0" fontId="65" fillId="0" borderId="0" xfId="9" applyFont="1" applyBorder="1" applyAlignment="1">
      <alignment vertical="top" wrapText="1"/>
    </xf>
    <xf numFmtId="37" fontId="65" fillId="0" borderId="0" xfId="9" applyNumberFormat="1" applyFont="1" applyBorder="1" applyAlignment="1">
      <alignment horizontal="right" vertical="top" wrapText="1"/>
    </xf>
    <xf numFmtId="5" fontId="65" fillId="0" borderId="0" xfId="9" applyNumberFormat="1" applyFont="1" applyBorder="1" applyAlignment="1">
      <alignment horizontal="right" vertical="top" wrapText="1"/>
    </xf>
    <xf numFmtId="0" fontId="48" fillId="0" borderId="0" xfId="9" applyFont="1" applyAlignment="1"/>
    <xf numFmtId="0" fontId="15" fillId="0" borderId="0" xfId="9"/>
    <xf numFmtId="0" fontId="66" fillId="0" borderId="0" xfId="9" applyFont="1" applyBorder="1" applyAlignment="1">
      <alignment horizontal="center"/>
    </xf>
    <xf numFmtId="37" fontId="30" fillId="0" borderId="0" xfId="0" applyNumberFormat="1" applyFont="1" applyBorder="1" applyAlignment="1">
      <alignment vertical="top"/>
    </xf>
    <xf numFmtId="37" fontId="30" fillId="0" borderId="17" xfId="0" applyNumberFormat="1" applyFont="1" applyBorder="1" applyAlignment="1">
      <alignment vertical="top"/>
    </xf>
    <xf numFmtId="37" fontId="30" fillId="0" borderId="0" xfId="0" applyNumberFormat="1" applyFont="1" applyAlignment="1">
      <alignment vertical="top"/>
    </xf>
    <xf numFmtId="37" fontId="30" fillId="0" borderId="0" xfId="9" applyNumberFormat="1" applyFont="1" applyBorder="1" applyAlignment="1">
      <alignment vertical="top" wrapText="1"/>
    </xf>
    <xf numFmtId="5" fontId="48" fillId="0" borderId="0" xfId="9" applyNumberFormat="1" applyFont="1"/>
    <xf numFmtId="37" fontId="30" fillId="0" borderId="0" xfId="9" applyNumberFormat="1" applyFont="1" applyBorder="1" applyAlignment="1">
      <alignment horizontal="center" vertical="top"/>
    </xf>
    <xf numFmtId="37" fontId="30" fillId="0" borderId="0" xfId="0" applyNumberFormat="1" applyFont="1" applyBorder="1" applyAlignment="1">
      <alignment vertical="top" wrapText="1"/>
    </xf>
    <xf numFmtId="0" fontId="26" fillId="0" borderId="22" xfId="0" applyNumberFormat="1" applyFont="1" applyFill="1" applyBorder="1" applyAlignment="1">
      <alignment horizontal="left" indent="2"/>
    </xf>
    <xf numFmtId="37" fontId="26" fillId="0" borderId="22" xfId="0" applyNumberFormat="1" applyFont="1" applyFill="1" applyBorder="1" applyAlignment="1"/>
    <xf numFmtId="37" fontId="26" fillId="0" borderId="63" xfId="0" applyNumberFormat="1" applyFont="1" applyFill="1" applyBorder="1" applyAlignment="1"/>
    <xf numFmtId="37" fontId="26" fillId="0" borderId="64" xfId="0" applyNumberFormat="1" applyFont="1" applyFill="1" applyBorder="1" applyAlignment="1"/>
    <xf numFmtId="5" fontId="23" fillId="2" borderId="59" xfId="6" applyNumberFormat="1" applyFont="1" applyFill="1" applyBorder="1" applyAlignment="1"/>
    <xf numFmtId="5" fontId="23" fillId="2" borderId="69" xfId="6" applyNumberFormat="1" applyFont="1" applyFill="1" applyBorder="1" applyAlignment="1"/>
    <xf numFmtId="5" fontId="23" fillId="2" borderId="64" xfId="6" applyNumberFormat="1" applyFont="1" applyFill="1" applyBorder="1" applyAlignment="1"/>
    <xf numFmtId="5" fontId="24" fillId="2" borderId="33" xfId="6" applyNumberFormat="1" applyFont="1" applyFill="1" applyBorder="1" applyAlignment="1"/>
    <xf numFmtId="5" fontId="23" fillId="2" borderId="86" xfId="6" applyNumberFormat="1" applyFont="1" applyFill="1" applyBorder="1" applyAlignment="1"/>
    <xf numFmtId="0" fontId="24" fillId="2" borderId="22" xfId="6" applyNumberFormat="1" applyFont="1" applyFill="1" applyBorder="1" applyAlignment="1">
      <alignment horizontal="left"/>
    </xf>
    <xf numFmtId="4" fontId="23" fillId="2" borderId="22" xfId="6" applyNumberFormat="1" applyFont="1" applyFill="1" applyBorder="1" applyAlignment="1">
      <alignment horizontal="right"/>
    </xf>
    <xf numFmtId="3" fontId="24" fillId="2" borderId="63" xfId="6" applyNumberFormat="1" applyFont="1" applyFill="1" applyBorder="1" applyAlignment="1"/>
    <xf numFmtId="4" fontId="23" fillId="2" borderId="22" xfId="6" applyNumberFormat="1" applyFont="1" applyFill="1" applyBorder="1" applyAlignment="1"/>
    <xf numFmtId="37" fontId="23" fillId="2" borderId="22" xfId="6" applyNumberFormat="1" applyFont="1" applyFill="1" applyBorder="1" applyAlignment="1"/>
    <xf numFmtId="0" fontId="46" fillId="0" borderId="0" xfId="15" applyFont="1"/>
    <xf numFmtId="0" fontId="16" fillId="0" borderId="0" xfId="15"/>
    <xf numFmtId="0" fontId="9" fillId="0" borderId="0" xfId="15" applyFont="1"/>
    <xf numFmtId="0" fontId="9" fillId="0" borderId="0" xfId="15" applyFont="1" applyFill="1" applyAlignment="1">
      <alignment vertical="center"/>
    </xf>
    <xf numFmtId="0" fontId="9" fillId="0" borderId="18" xfId="15" applyFont="1" applyFill="1" applyBorder="1" applyAlignment="1">
      <alignment horizontal="center"/>
    </xf>
    <xf numFmtId="0" fontId="9" fillId="0" borderId="19" xfId="15" applyFont="1" applyFill="1" applyBorder="1" applyAlignment="1">
      <alignment horizontal="center"/>
    </xf>
    <xf numFmtId="0" fontId="9" fillId="0" borderId="0" xfId="15" applyFont="1" applyFill="1"/>
    <xf numFmtId="0" fontId="9" fillId="0" borderId="0" xfId="15" applyFont="1" applyFill="1" applyBorder="1" applyAlignment="1">
      <alignment horizontal="center"/>
    </xf>
    <xf numFmtId="0" fontId="9" fillId="0" borderId="16" xfId="15" applyFont="1" applyFill="1" applyBorder="1" applyAlignment="1">
      <alignment horizontal="center" wrapText="1"/>
    </xf>
    <xf numFmtId="0" fontId="9" fillId="0" borderId="32" xfId="15" applyFont="1" applyFill="1" applyBorder="1" applyAlignment="1">
      <alignment horizontal="center" wrapText="1"/>
    </xf>
    <xf numFmtId="37" fontId="9" fillId="0" borderId="18" xfId="15" applyNumberFormat="1" applyFont="1" applyBorder="1"/>
    <xf numFmtId="37" fontId="9" fillId="0" borderId="19" xfId="15" applyNumberFormat="1" applyFont="1" applyBorder="1"/>
    <xf numFmtId="3" fontId="9" fillId="0" borderId="0" xfId="15" applyNumberFormat="1" applyFont="1"/>
    <xf numFmtId="37" fontId="9" fillId="0" borderId="0" xfId="15" applyNumberFormat="1" applyFont="1" applyBorder="1"/>
    <xf numFmtId="0" fontId="21" fillId="0" borderId="51" xfId="15" applyFont="1" applyBorder="1"/>
    <xf numFmtId="37" fontId="9" fillId="0" borderId="19" xfId="5" applyNumberFormat="1" applyFont="1" applyBorder="1"/>
    <xf numFmtId="0" fontId="21" fillId="0" borderId="9" xfId="15" applyFont="1" applyBorder="1"/>
    <xf numFmtId="3" fontId="21" fillId="0" borderId="18" xfId="2" applyNumberFormat="1" applyFont="1" applyBorder="1"/>
    <xf numFmtId="3" fontId="21" fillId="0" borderId="51" xfId="2" applyNumberFormat="1" applyFont="1" applyBorder="1"/>
    <xf numFmtId="0" fontId="21" fillId="0" borderId="51" xfId="15" applyFont="1" applyBorder="1" applyAlignment="1">
      <alignment wrapText="1"/>
    </xf>
    <xf numFmtId="37" fontId="9" fillId="0" borderId="0" xfId="15" applyNumberFormat="1" applyFont="1"/>
    <xf numFmtId="0" fontId="21" fillId="0" borderId="53" xfId="15" applyFont="1" applyBorder="1" applyAlignment="1">
      <alignment horizontal="left"/>
    </xf>
    <xf numFmtId="0" fontId="21" fillId="0" borderId="54" xfId="15" applyFont="1" applyBorder="1" applyAlignment="1">
      <alignment horizontal="left"/>
    </xf>
    <xf numFmtId="0" fontId="75" fillId="0" borderId="0" xfId="15" applyFont="1" applyAlignment="1">
      <alignment horizontal="left"/>
    </xf>
    <xf numFmtId="0" fontId="9" fillId="0" borderId="9" xfId="0" applyFont="1" applyBorder="1" applyAlignment="1">
      <alignment wrapText="1"/>
    </xf>
    <xf numFmtId="37" fontId="9" fillId="0" borderId="16" xfId="15" applyNumberFormat="1" applyFont="1" applyBorder="1"/>
    <xf numFmtId="37" fontId="9" fillId="0" borderId="32" xfId="15" applyNumberFormat="1" applyFont="1" applyBorder="1"/>
    <xf numFmtId="37" fontId="9" fillId="0" borderId="17" xfId="15" applyNumberFormat="1" applyFont="1" applyBorder="1"/>
    <xf numFmtId="0" fontId="75" fillId="0" borderId="0" xfId="15" applyFont="1" applyBorder="1" applyAlignment="1">
      <alignment horizontal="left"/>
    </xf>
    <xf numFmtId="37" fontId="21" fillId="0" borderId="16" xfId="2" applyNumberFormat="1" applyFont="1" applyBorder="1"/>
    <xf numFmtId="37" fontId="21" fillId="0" borderId="32" xfId="2" applyNumberFormat="1" applyFont="1" applyBorder="1"/>
    <xf numFmtId="37" fontId="21" fillId="0" borderId="17" xfId="2" applyNumberFormat="1" applyFont="1" applyBorder="1"/>
    <xf numFmtId="0" fontId="16" fillId="0" borderId="0" xfId="15" applyBorder="1" applyAlignment="1">
      <alignment horizontal="centerContinuous"/>
    </xf>
    <xf numFmtId="0" fontId="16" fillId="0" borderId="0" xfId="15" applyBorder="1"/>
    <xf numFmtId="0" fontId="21" fillId="0" borderId="0" xfId="15" applyFont="1" applyBorder="1" applyAlignment="1">
      <alignment horizontal="left"/>
    </xf>
    <xf numFmtId="37" fontId="21" fillId="0" borderId="0" xfId="15" applyNumberFormat="1" applyFont="1" applyBorder="1" applyAlignment="1">
      <alignment horizontal="left"/>
    </xf>
    <xf numFmtId="5" fontId="21" fillId="0" borderId="0" xfId="5" applyNumberFormat="1" applyFont="1" applyBorder="1" applyAlignment="1">
      <alignment horizontal="left"/>
    </xf>
    <xf numFmtId="37" fontId="9" fillId="0" borderId="19" xfId="4" applyNumberFormat="1" applyFont="1" applyBorder="1" applyAlignment="1"/>
    <xf numFmtId="37" fontId="9" fillId="0" borderId="0" xfId="14" applyNumberFormat="1" applyFont="1" applyAlignment="1"/>
    <xf numFmtId="37" fontId="9" fillId="0" borderId="0" xfId="14" applyNumberFormat="1" applyFont="1" applyBorder="1" applyAlignment="1"/>
    <xf numFmtId="37" fontId="21" fillId="0" borderId="18" xfId="1" applyNumberFormat="1" applyFont="1" applyBorder="1" applyAlignment="1"/>
    <xf numFmtId="37" fontId="21" fillId="0" borderId="51" xfId="1" applyNumberFormat="1" applyFont="1" applyBorder="1" applyAlignment="1"/>
    <xf numFmtId="37" fontId="21" fillId="0" borderId="0" xfId="14" applyNumberFormat="1" applyFont="1" applyBorder="1" applyAlignment="1">
      <alignment horizontal="left"/>
    </xf>
    <xf numFmtId="37" fontId="21" fillId="0" borderId="0" xfId="4" applyNumberFormat="1" applyFont="1" applyBorder="1" applyAlignment="1">
      <alignment horizontal="left"/>
    </xf>
    <xf numFmtId="37" fontId="21" fillId="0" borderId="0" xfId="14" applyNumberFormat="1" applyFont="1" applyAlignment="1">
      <alignment horizontal="left"/>
    </xf>
    <xf numFmtId="37" fontId="21" fillId="0" borderId="107" xfId="14" applyNumberFormat="1" applyFont="1" applyBorder="1" applyAlignment="1">
      <alignment horizontal="right"/>
    </xf>
    <xf numFmtId="37" fontId="21" fillId="0" borderId="108" xfId="4" applyNumberFormat="1" applyFont="1" applyBorder="1" applyAlignment="1">
      <alignment horizontal="right"/>
    </xf>
    <xf numFmtId="37" fontId="21" fillId="0" borderId="54" xfId="14" applyNumberFormat="1" applyFont="1" applyBorder="1" applyAlignment="1">
      <alignment horizontal="right"/>
    </xf>
    <xf numFmtId="37" fontId="21" fillId="0" borderId="0" xfId="14" applyNumberFormat="1" applyFont="1" applyBorder="1" applyAlignment="1">
      <alignment horizontal="right"/>
    </xf>
    <xf numFmtId="37" fontId="21" fillId="0" borderId="0" xfId="4" applyNumberFormat="1" applyFont="1" applyBorder="1" applyAlignment="1">
      <alignment horizontal="right"/>
    </xf>
    <xf numFmtId="37" fontId="21" fillId="0" borderId="0" xfId="14" applyNumberFormat="1" applyFont="1" applyAlignment="1">
      <alignment horizontal="right"/>
    </xf>
    <xf numFmtId="0" fontId="21" fillId="0" borderId="61" xfId="14" applyFont="1" applyBorder="1"/>
    <xf numFmtId="37" fontId="21" fillId="0" borderId="20" xfId="1" applyNumberFormat="1" applyFont="1" applyBorder="1" applyAlignment="1"/>
    <xf numFmtId="37" fontId="21" fillId="0" borderId="33" xfId="1" applyNumberFormat="1" applyFont="1" applyBorder="1" applyAlignment="1"/>
    <xf numFmtId="0" fontId="24" fillId="2" borderId="109" xfId="0" applyNumberFormat="1" applyFont="1" applyFill="1" applyBorder="1" applyAlignment="1">
      <alignment horizontal="center"/>
    </xf>
    <xf numFmtId="0" fontId="24" fillId="2" borderId="110" xfId="0" applyNumberFormat="1" applyFont="1" applyFill="1" applyBorder="1" applyAlignment="1">
      <alignment horizontal="center"/>
    </xf>
    <xf numFmtId="0" fontId="24" fillId="2" borderId="111" xfId="0" applyNumberFormat="1" applyFont="1" applyFill="1" applyBorder="1" applyAlignment="1">
      <alignment horizontal="center"/>
    </xf>
    <xf numFmtId="0" fontId="24" fillId="2" borderId="112" xfId="0" applyNumberFormat="1" applyFont="1" applyFill="1" applyBorder="1" applyAlignment="1">
      <alignment horizontal="center"/>
    </xf>
    <xf numFmtId="37" fontId="23" fillId="2" borderId="51" xfId="0" applyNumberFormat="1" applyFont="1" applyFill="1" applyBorder="1" applyAlignment="1"/>
    <xf numFmtId="37" fontId="23" fillId="2" borderId="73" xfId="0" applyNumberFormat="1" applyFont="1" applyFill="1" applyBorder="1" applyAlignment="1"/>
    <xf numFmtId="0" fontId="17" fillId="0" borderId="61" xfId="0" applyFont="1" applyBorder="1" applyAlignment="1">
      <alignment horizontal="center" wrapText="1"/>
    </xf>
    <xf numFmtId="0" fontId="24" fillId="2" borderId="61" xfId="0" applyNumberFormat="1" applyFont="1" applyFill="1" applyBorder="1" applyAlignment="1">
      <alignment horizontal="center" wrapText="1"/>
    </xf>
    <xf numFmtId="0" fontId="24" fillId="2" borderId="62" xfId="0" applyNumberFormat="1" applyFont="1" applyFill="1" applyBorder="1" applyAlignment="1">
      <alignment horizontal="left"/>
    </xf>
    <xf numFmtId="5" fontId="24" fillId="2" borderId="112" xfId="0" applyNumberFormat="1" applyFont="1" applyFill="1" applyBorder="1" applyAlignment="1"/>
    <xf numFmtId="37" fontId="24" fillId="2" borderId="113" xfId="0" applyNumberFormat="1" applyFont="1" applyFill="1" applyBorder="1" applyAlignment="1"/>
    <xf numFmtId="37" fontId="23" fillId="2" borderId="114" xfId="0" applyNumberFormat="1" applyFont="1" applyFill="1" applyBorder="1" applyAlignment="1"/>
    <xf numFmtId="0" fontId="23" fillId="2" borderId="115" xfId="0" applyNumberFormat="1" applyFont="1" applyFill="1" applyBorder="1" applyAlignment="1">
      <alignment horizontal="left"/>
    </xf>
    <xf numFmtId="37" fontId="23" fillId="2" borderId="116" xfId="0" applyNumberFormat="1" applyFont="1" applyFill="1" applyBorder="1" applyAlignment="1"/>
    <xf numFmtId="0" fontId="24" fillId="2" borderId="109" xfId="0" applyNumberFormat="1" applyFont="1" applyFill="1" applyBorder="1" applyAlignment="1">
      <alignment horizontal="left"/>
    </xf>
    <xf numFmtId="170" fontId="24" fillId="2" borderId="109" xfId="0" applyNumberFormat="1" applyFont="1" applyFill="1" applyBorder="1" applyAlignment="1"/>
    <xf numFmtId="5" fontId="24" fillId="2" borderId="109" xfId="0" applyNumberFormat="1" applyFont="1" applyFill="1" applyBorder="1" applyAlignment="1"/>
    <xf numFmtId="37" fontId="24" fillId="2" borderId="109" xfId="0" applyNumberFormat="1" applyFont="1" applyFill="1" applyBorder="1" applyAlignment="1"/>
    <xf numFmtId="37" fontId="23" fillId="2" borderId="65" xfId="0" applyNumberFormat="1" applyFont="1" applyFill="1" applyBorder="1" applyAlignment="1"/>
    <xf numFmtId="5" fontId="24" fillId="2" borderId="110" xfId="0" applyNumberFormat="1" applyFont="1" applyFill="1" applyBorder="1" applyAlignment="1"/>
    <xf numFmtId="37" fontId="23" fillId="2" borderId="117" xfId="0" applyNumberFormat="1" applyFont="1" applyFill="1" applyBorder="1" applyAlignment="1"/>
    <xf numFmtId="37" fontId="23" fillId="2" borderId="23" xfId="0" applyNumberFormat="1" applyFont="1" applyFill="1" applyBorder="1" applyAlignment="1"/>
    <xf numFmtId="37" fontId="23" fillId="2" borderId="10" xfId="0" applyNumberFormat="1" applyFont="1" applyFill="1" applyBorder="1" applyAlignment="1"/>
    <xf numFmtId="0" fontId="48" fillId="0" borderId="0" xfId="13" applyFont="1" applyBorder="1"/>
    <xf numFmtId="0" fontId="21" fillId="0" borderId="16" xfId="13" applyFont="1" applyBorder="1" applyAlignment="1">
      <alignment horizontal="center"/>
    </xf>
    <xf numFmtId="0" fontId="21" fillId="0" borderId="109" xfId="13" applyFont="1" applyBorder="1"/>
    <xf numFmtId="37" fontId="21" fillId="0" borderId="118" xfId="13" applyNumberFormat="1" applyFont="1" applyBorder="1"/>
    <xf numFmtId="37" fontId="21" fillId="0" borderId="52" xfId="13" applyNumberFormat="1" applyFont="1" applyBorder="1"/>
    <xf numFmtId="5" fontId="21" fillId="0" borderId="52" xfId="13" applyNumberFormat="1" applyFont="1" applyBorder="1"/>
    <xf numFmtId="5" fontId="21" fillId="0" borderId="109" xfId="13" applyNumberFormat="1" applyFont="1" applyBorder="1"/>
    <xf numFmtId="0" fontId="16" fillId="0" borderId="109" xfId="13" applyBorder="1"/>
    <xf numFmtId="5" fontId="21" fillId="0" borderId="33" xfId="13" applyNumberFormat="1" applyFont="1" applyBorder="1"/>
    <xf numFmtId="0" fontId="21" fillId="0" borderId="18" xfId="12" applyFont="1" applyBorder="1" applyAlignment="1">
      <alignment horizontal="center"/>
    </xf>
    <xf numFmtId="0" fontId="16" fillId="0" borderId="61" xfId="13" applyBorder="1"/>
    <xf numFmtId="0" fontId="21" fillId="0" borderId="20" xfId="13" applyFont="1" applyBorder="1" applyAlignment="1">
      <alignment horizontal="left"/>
    </xf>
    <xf numFmtId="0" fontId="21" fillId="0" borderId="61" xfId="13" applyFont="1" applyBorder="1" applyAlignment="1">
      <alignment horizontal="center"/>
    </xf>
    <xf numFmtId="0" fontId="18" fillId="0" borderId="0" xfId="0" applyNumberFormat="1" applyFont="1" applyBorder="1" applyAlignment="1"/>
    <xf numFmtId="0" fontId="17" fillId="0" borderId="29" xfId="0" applyNumberFormat="1" applyFont="1" applyBorder="1" applyAlignment="1">
      <alignment horizontal="center"/>
    </xf>
    <xf numFmtId="0" fontId="17" fillId="0" borderId="61" xfId="0" applyNumberFormat="1" applyFont="1" applyBorder="1" applyAlignment="1">
      <alignment horizontal="left" indent="3"/>
    </xf>
    <xf numFmtId="37" fontId="7" fillId="2" borderId="119" xfId="6" applyNumberFormat="1" applyFont="1" applyFill="1" applyBorder="1" applyAlignment="1"/>
    <xf numFmtId="0" fontId="9" fillId="0" borderId="88" xfId="6" applyNumberFormat="1" applyFont="1" applyFill="1" applyBorder="1" applyAlignment="1"/>
    <xf numFmtId="37" fontId="9" fillId="0" borderId="120" xfId="6" applyNumberFormat="1" applyFont="1" applyFill="1" applyBorder="1"/>
    <xf numFmtId="37" fontId="9" fillId="0" borderId="49" xfId="6" applyNumberFormat="1" applyFont="1" applyFill="1" applyBorder="1"/>
    <xf numFmtId="37" fontId="9" fillId="0" borderId="121" xfId="6" applyNumberFormat="1" applyFont="1" applyBorder="1"/>
    <xf numFmtId="5" fontId="24" fillId="2" borderId="111" xfId="0" applyNumberFormat="1" applyFont="1" applyFill="1" applyBorder="1" applyAlignment="1"/>
    <xf numFmtId="5" fontId="24" fillId="2" borderId="122" xfId="0" applyNumberFormat="1" applyFont="1" applyFill="1" applyBorder="1" applyAlignment="1"/>
    <xf numFmtId="0" fontId="24" fillId="2" borderId="123" xfId="0" applyNumberFormat="1" applyFont="1" applyFill="1" applyBorder="1" applyAlignment="1">
      <alignment horizontal="right"/>
    </xf>
    <xf numFmtId="170" fontId="24" fillId="2" borderId="110" xfId="0" applyNumberFormat="1" applyFont="1" applyFill="1" applyBorder="1" applyAlignment="1"/>
    <xf numFmtId="0" fontId="21" fillId="0" borderId="0" xfId="14" applyFont="1" applyBorder="1"/>
    <xf numFmtId="0" fontId="3" fillId="0" borderId="57" xfId="0" applyNumberFormat="1" applyFont="1" applyBorder="1" applyAlignment="1">
      <alignment horizontal="left"/>
    </xf>
    <xf numFmtId="37" fontId="6" fillId="0" borderId="20" xfId="0" applyNumberFormat="1" applyFont="1" applyBorder="1" applyAlignment="1">
      <alignment horizontal="right"/>
    </xf>
    <xf numFmtId="37" fontId="6" fillId="0" borderId="21" xfId="0" applyNumberFormat="1" applyFont="1" applyBorder="1" applyAlignment="1">
      <alignment horizontal="right"/>
    </xf>
    <xf numFmtId="3" fontId="6" fillId="0" borderId="21" xfId="0" applyNumberFormat="1" applyFont="1" applyBorder="1" applyAlignment="1">
      <alignment horizontal="right"/>
    </xf>
    <xf numFmtId="37" fontId="6" fillId="0" borderId="33" xfId="0" applyNumberFormat="1" applyFont="1" applyBorder="1" applyAlignment="1">
      <alignment horizontal="right"/>
    </xf>
    <xf numFmtId="0" fontId="3" fillId="0" borderId="0" xfId="0" applyFont="1" applyBorder="1" applyAlignment="1">
      <alignment vertical="top" wrapText="1"/>
    </xf>
    <xf numFmtId="0" fontId="17" fillId="0" borderId="28" xfId="0" applyNumberFormat="1" applyFont="1" applyBorder="1" applyAlignment="1">
      <alignment horizontal="center" wrapText="1"/>
    </xf>
    <xf numFmtId="37" fontId="23" fillId="2" borderId="124" xfId="0" applyNumberFormat="1" applyFont="1" applyFill="1" applyBorder="1" applyAlignment="1"/>
    <xf numFmtId="0" fontId="14" fillId="0" borderId="17" xfId="0" applyNumberFormat="1" applyFont="1" applyBorder="1" applyAlignment="1">
      <alignment horizontal="left" indent="4"/>
    </xf>
    <xf numFmtId="0" fontId="9" fillId="0" borderId="17" xfId="14" applyFont="1" applyFill="1" applyBorder="1" applyAlignment="1"/>
    <xf numFmtId="0" fontId="6" fillId="0" borderId="22" xfId="0" applyNumberFormat="1" applyFont="1" applyBorder="1" applyAlignment="1"/>
    <xf numFmtId="0" fontId="17" fillId="0" borderId="63" xfId="0" applyNumberFormat="1" applyFont="1" applyBorder="1" applyAlignment="1"/>
    <xf numFmtId="37" fontId="17" fillId="0" borderId="63" xfId="0" applyNumberFormat="1" applyFont="1" applyBorder="1" applyAlignment="1">
      <alignment horizontal="right"/>
    </xf>
    <xf numFmtId="164" fontId="17" fillId="0" borderId="63" xfId="0" applyNumberFormat="1" applyFont="1" applyBorder="1" applyAlignment="1">
      <alignment horizontal="right"/>
    </xf>
    <xf numFmtId="5" fontId="17" fillId="0" borderId="63" xfId="0" applyNumberFormat="1" applyFont="1" applyBorder="1" applyAlignment="1">
      <alignment horizontal="right"/>
    </xf>
    <xf numFmtId="164" fontId="17" fillId="0" borderId="64" xfId="0" applyNumberFormat="1" applyFont="1" applyBorder="1" applyAlignment="1">
      <alignment horizontal="right"/>
    </xf>
    <xf numFmtId="0" fontId="3" fillId="0" borderId="25" xfId="0" applyNumberFormat="1" applyFont="1" applyBorder="1" applyAlignment="1">
      <alignment horizontal="left"/>
    </xf>
    <xf numFmtId="5" fontId="17" fillId="0" borderId="17" xfId="0" applyNumberFormat="1" applyFont="1" applyBorder="1" applyAlignment="1">
      <alignment horizontal="right"/>
    </xf>
    <xf numFmtId="0" fontId="0" fillId="0" borderId="0" xfId="0"/>
    <xf numFmtId="0" fontId="0" fillId="0" borderId="0" xfId="0"/>
    <xf numFmtId="0" fontId="0" fillId="0" borderId="0" xfId="0" applyBorder="1"/>
    <xf numFmtId="0" fontId="23" fillId="2" borderId="9" xfId="0" applyNumberFormat="1" applyFont="1" applyFill="1" applyBorder="1" applyAlignment="1">
      <alignment horizontal="left"/>
    </xf>
    <xf numFmtId="0" fontId="23" fillId="2" borderId="109" xfId="0" applyNumberFormat="1" applyFont="1" applyFill="1" applyBorder="1" applyAlignment="1">
      <alignment horizontal="left"/>
    </xf>
    <xf numFmtId="3" fontId="3" fillId="0" borderId="0" xfId="9" applyNumberFormat="1" applyFont="1" applyBorder="1" applyAlignment="1">
      <alignment horizontal="left" wrapText="1"/>
    </xf>
    <xf numFmtId="0" fontId="3" fillId="0" borderId="26" xfId="0" applyNumberFormat="1" applyFont="1" applyBorder="1" applyAlignment="1">
      <alignment horizontal="left" indent="4"/>
    </xf>
    <xf numFmtId="0" fontId="0" fillId="0" borderId="65" xfId="0" applyNumberFormat="1" applyBorder="1" applyAlignment="1">
      <alignment horizontal="left" indent="4"/>
    </xf>
    <xf numFmtId="0" fontId="3" fillId="0" borderId="65" xfId="0" applyNumberFormat="1" applyFont="1" applyBorder="1" applyAlignment="1">
      <alignment horizontal="left" indent="4"/>
    </xf>
    <xf numFmtId="0" fontId="17" fillId="0" borderId="30" xfId="0" applyNumberFormat="1" applyFont="1" applyBorder="1" applyAlignment="1"/>
    <xf numFmtId="0" fontId="55" fillId="0" borderId="125" xfId="0" applyNumberFormat="1" applyFont="1" applyBorder="1" applyAlignment="1"/>
    <xf numFmtId="0" fontId="55" fillId="0" borderId="18" xfId="0" applyNumberFormat="1" applyFont="1" applyBorder="1" applyAlignment="1"/>
    <xf numFmtId="0" fontId="55" fillId="0" borderId="0" xfId="0" applyNumberFormat="1" applyFont="1" applyBorder="1" applyAlignment="1"/>
    <xf numFmtId="0" fontId="55" fillId="0" borderId="27" xfId="0" applyNumberFormat="1" applyFont="1" applyBorder="1" applyAlignment="1"/>
    <xf numFmtId="0" fontId="55" fillId="0" borderId="28" xfId="0" applyNumberFormat="1" applyFont="1" applyBorder="1" applyAlignment="1"/>
    <xf numFmtId="0" fontId="32" fillId="0" borderId="0" xfId="0" applyNumberFormat="1" applyFont="1" applyAlignment="1">
      <alignment horizontal="center"/>
    </xf>
    <xf numFmtId="0" fontId="0" fillId="0" borderId="0" xfId="0" applyNumberFormat="1" applyAlignment="1">
      <alignment horizontal="center"/>
    </xf>
    <xf numFmtId="0" fontId="0" fillId="0" borderId="0" xfId="0" applyNumberFormat="1" applyBorder="1" applyAlignment="1">
      <alignment horizontal="center"/>
    </xf>
    <xf numFmtId="0" fontId="31" fillId="0" borderId="0" xfId="0" applyNumberFormat="1" applyFont="1" applyAlignment="1">
      <alignment horizontal="center"/>
    </xf>
    <xf numFmtId="0" fontId="3" fillId="0" borderId="30" xfId="0" applyNumberFormat="1" applyFont="1" applyBorder="1" applyAlignment="1">
      <alignment horizontal="center" vertical="center" wrapText="1"/>
    </xf>
    <xf numFmtId="0" fontId="55" fillId="0" borderId="125" xfId="0" applyNumberFormat="1" applyFont="1" applyBorder="1" applyAlignment="1">
      <alignment horizontal="center" vertical="center" wrapText="1"/>
    </xf>
    <xf numFmtId="0" fontId="55" fillId="0" borderId="60" xfId="0" applyNumberFormat="1" applyFont="1" applyBorder="1" applyAlignment="1">
      <alignment horizontal="center" vertical="center" wrapText="1"/>
    </xf>
    <xf numFmtId="0" fontId="55" fillId="0" borderId="16" xfId="0" applyNumberFormat="1" applyFont="1" applyBorder="1" applyAlignment="1">
      <alignment horizontal="center" vertical="center" wrapText="1"/>
    </xf>
    <xf numFmtId="0" fontId="55" fillId="0" borderId="17" xfId="0" applyNumberFormat="1" applyFont="1" applyBorder="1" applyAlignment="1">
      <alignment horizontal="center" vertical="center" wrapText="1"/>
    </xf>
    <xf numFmtId="0" fontId="55" fillId="0" borderId="32" xfId="0" applyNumberFormat="1" applyFont="1" applyBorder="1" applyAlignment="1">
      <alignment horizontal="center" vertical="center" wrapText="1"/>
    </xf>
    <xf numFmtId="0" fontId="3" fillId="0" borderId="30" xfId="0" applyNumberFormat="1" applyFont="1" applyBorder="1" applyAlignment="1">
      <alignment horizontal="center" vertical="center"/>
    </xf>
    <xf numFmtId="0" fontId="55" fillId="0" borderId="125" xfId="0" applyNumberFormat="1" applyFont="1" applyBorder="1" applyAlignment="1">
      <alignment vertical="center"/>
    </xf>
    <xf numFmtId="0" fontId="55" fillId="0" borderId="60" xfId="0" applyNumberFormat="1" applyFont="1" applyBorder="1" applyAlignment="1">
      <alignment vertical="center"/>
    </xf>
    <xf numFmtId="0" fontId="55" fillId="0" borderId="16" xfId="0" applyNumberFormat="1" applyFont="1" applyBorder="1" applyAlignment="1">
      <alignment vertical="center"/>
    </xf>
    <xf numFmtId="0" fontId="55" fillId="0" borderId="17" xfId="0" applyNumberFormat="1" applyFont="1" applyBorder="1" applyAlignment="1">
      <alignment vertical="center"/>
    </xf>
    <xf numFmtId="0" fontId="55" fillId="0" borderId="32" xfId="0" applyNumberFormat="1" applyFont="1" applyBorder="1" applyAlignment="1">
      <alignment vertical="center"/>
    </xf>
    <xf numFmtId="0" fontId="6" fillId="0" borderId="30" xfId="0" applyNumberFormat="1" applyFont="1" applyBorder="1" applyAlignment="1">
      <alignment horizontal="center" vertical="center" wrapText="1"/>
    </xf>
    <xf numFmtId="0" fontId="3" fillId="0" borderId="22" xfId="0" applyNumberFormat="1" applyFont="1" applyBorder="1" applyAlignment="1">
      <alignment horizontal="left" indent="4"/>
    </xf>
    <xf numFmtId="0" fontId="0" fillId="0" borderId="63" xfId="0" applyNumberFormat="1" applyBorder="1" applyAlignment="1">
      <alignment horizontal="left" indent="4"/>
    </xf>
    <xf numFmtId="0" fontId="6" fillId="0" borderId="26" xfId="0" applyNumberFormat="1" applyFont="1" applyBorder="1" applyAlignment="1">
      <alignment horizontal="left" indent="4"/>
    </xf>
    <xf numFmtId="0" fontId="3" fillId="0" borderId="26" xfId="0" applyNumberFormat="1" applyFont="1" applyBorder="1" applyAlignment="1">
      <alignment horizontal="left" indent="2"/>
    </xf>
    <xf numFmtId="0" fontId="0" fillId="0" borderId="65" xfId="0" applyNumberFormat="1" applyBorder="1" applyAlignment="1">
      <alignment horizontal="left" indent="2"/>
    </xf>
    <xf numFmtId="0" fontId="6" fillId="0" borderId="26" xfId="0" applyNumberFormat="1" applyFont="1" applyBorder="1" applyAlignment="1">
      <alignment horizontal="left" indent="2"/>
    </xf>
    <xf numFmtId="0" fontId="6" fillId="0" borderId="26" xfId="0" applyNumberFormat="1" applyFont="1" applyBorder="1" applyAlignment="1"/>
    <xf numFmtId="0" fontId="0" fillId="0" borderId="65" xfId="0" applyNumberFormat="1" applyBorder="1" applyAlignment="1"/>
    <xf numFmtId="0" fontId="6" fillId="0" borderId="125" xfId="0" applyNumberFormat="1" applyFont="1" applyBorder="1" applyAlignment="1">
      <alignment horizontal="center"/>
    </xf>
    <xf numFmtId="0" fontId="6" fillId="0" borderId="60" xfId="0" applyNumberFormat="1" applyFont="1" applyBorder="1" applyAlignment="1">
      <alignment horizontal="center"/>
    </xf>
    <xf numFmtId="0" fontId="3" fillId="0" borderId="17" xfId="0" applyNumberFormat="1" applyFont="1" applyBorder="1" applyAlignment="1">
      <alignment horizontal="left"/>
    </xf>
    <xf numFmtId="0" fontId="6" fillId="0" borderId="32" xfId="0" applyNumberFormat="1" applyFont="1" applyBorder="1" applyAlignment="1">
      <alignment horizontal="left"/>
    </xf>
    <xf numFmtId="0" fontId="3" fillId="0" borderId="65" xfId="9" applyNumberFormat="1" applyFont="1" applyBorder="1" applyAlignment="1"/>
    <xf numFmtId="0" fontId="3" fillId="0" borderId="69" xfId="9" applyNumberFormat="1" applyFont="1" applyBorder="1" applyAlignment="1"/>
    <xf numFmtId="0" fontId="6" fillId="0" borderId="3" xfId="0" applyNumberFormat="1" applyFont="1" applyBorder="1" applyAlignment="1">
      <alignment horizontal="left"/>
    </xf>
    <xf numFmtId="0" fontId="6" fillId="0" borderId="2" xfId="0" applyNumberFormat="1" applyFont="1" applyBorder="1" applyAlignment="1">
      <alignment horizontal="left"/>
    </xf>
    <xf numFmtId="0" fontId="0" fillId="0" borderId="0" xfId="0"/>
    <xf numFmtId="0" fontId="55" fillId="0" borderId="125" xfId="0" applyNumberFormat="1" applyFont="1" applyBorder="1" applyAlignment="1">
      <alignment vertical="center" wrapText="1"/>
    </xf>
    <xf numFmtId="0" fontId="55" fillId="0" borderId="16" xfId="0" applyNumberFormat="1" applyFont="1" applyBorder="1" applyAlignment="1">
      <alignment vertical="center" wrapText="1"/>
    </xf>
    <xf numFmtId="0" fontId="55" fillId="0" borderId="17" xfId="0" applyNumberFormat="1" applyFont="1" applyBorder="1" applyAlignment="1">
      <alignment vertical="center" wrapText="1"/>
    </xf>
    <xf numFmtId="0" fontId="6" fillId="0" borderId="21" xfId="0" applyNumberFormat="1" applyFont="1" applyBorder="1" applyAlignment="1">
      <alignment horizontal="left"/>
    </xf>
    <xf numFmtId="0" fontId="6" fillId="0" borderId="33" xfId="0" applyNumberFormat="1" applyFont="1" applyBorder="1" applyAlignment="1">
      <alignment horizontal="left"/>
    </xf>
    <xf numFmtId="0" fontId="6" fillId="0" borderId="55" xfId="0" applyNumberFormat="1" applyFont="1" applyBorder="1" applyAlignment="1">
      <alignment horizontal="center"/>
    </xf>
    <xf numFmtId="0" fontId="6" fillId="0" borderId="56" xfId="0" applyNumberFormat="1" applyFont="1" applyBorder="1" applyAlignment="1">
      <alignment horizontal="center"/>
    </xf>
    <xf numFmtId="0" fontId="3" fillId="0" borderId="58" xfId="9" applyNumberFormat="1" applyFont="1" applyBorder="1" applyAlignment="1"/>
    <xf numFmtId="0" fontId="3" fillId="0" borderId="59" xfId="9" applyNumberFormat="1" applyFont="1" applyBorder="1" applyAlignment="1"/>
    <xf numFmtId="0" fontId="3" fillId="0" borderId="26" xfId="0" applyNumberFormat="1" applyFont="1" applyFill="1" applyBorder="1" applyAlignment="1">
      <alignment horizontal="left" indent="4"/>
    </xf>
    <xf numFmtId="0" fontId="6" fillId="0" borderId="26" xfId="0" applyNumberFormat="1" applyFont="1" applyFill="1" applyBorder="1" applyAlignment="1">
      <alignment horizontal="left" indent="4"/>
    </xf>
    <xf numFmtId="3" fontId="9" fillId="0" borderId="0" xfId="0" applyNumberFormat="1" applyFont="1" applyAlignment="1">
      <alignment horizontal="center"/>
    </xf>
    <xf numFmtId="3" fontId="9" fillId="0" borderId="28" xfId="0" applyNumberFormat="1" applyFont="1" applyBorder="1" applyAlignment="1">
      <alignment horizontal="center"/>
    </xf>
    <xf numFmtId="165" fontId="17" fillId="0" borderId="50" xfId="0" applyNumberFormat="1" applyFont="1" applyBorder="1" applyAlignment="1">
      <alignment horizontal="right"/>
    </xf>
    <xf numFmtId="0" fontId="0" fillId="0" borderId="62" xfId="0" applyBorder="1" applyAlignment="1"/>
    <xf numFmtId="0" fontId="17" fillId="0" borderId="66" xfId="0" applyNumberFormat="1" applyFont="1" applyBorder="1" applyAlignment="1">
      <alignment horizontal="left" indent="2"/>
    </xf>
    <xf numFmtId="0" fontId="0" fillId="0" borderId="67" xfId="0" applyNumberFormat="1" applyBorder="1" applyAlignment="1">
      <alignment horizontal="left" indent="2"/>
    </xf>
    <xf numFmtId="0" fontId="6" fillId="0" borderId="4" xfId="0" applyNumberFormat="1" applyFont="1" applyBorder="1" applyAlignment="1">
      <alignment horizontal="left" indent="4"/>
    </xf>
    <xf numFmtId="0" fontId="0" fillId="0" borderId="3" xfId="0" applyNumberFormat="1" applyBorder="1" applyAlignment="1">
      <alignment horizontal="left" indent="4"/>
    </xf>
    <xf numFmtId="0" fontId="6" fillId="0" borderId="88" xfId="0" applyNumberFormat="1" applyFont="1" applyBorder="1" applyAlignment="1"/>
    <xf numFmtId="0" fontId="0" fillId="0" borderId="128" xfId="0" applyNumberFormat="1" applyBorder="1" applyAlignment="1"/>
    <xf numFmtId="165" fontId="17" fillId="0" borderId="50" xfId="0" applyNumberFormat="1" applyFont="1" applyBorder="1" applyAlignment="1">
      <alignment horizontal="center" wrapText="1"/>
    </xf>
    <xf numFmtId="0" fontId="0" fillId="0" borderId="62" xfId="0" applyBorder="1" applyAlignment="1">
      <alignment horizontal="center" wrapText="1"/>
    </xf>
    <xf numFmtId="165" fontId="17" fillId="0" borderId="50" xfId="0" applyNumberFormat="1" applyFont="1" applyBorder="1" applyAlignment="1">
      <alignment horizontal="center"/>
    </xf>
    <xf numFmtId="0" fontId="17" fillId="0" borderId="129" xfId="0" applyNumberFormat="1" applyFont="1" applyBorder="1" applyAlignment="1"/>
    <xf numFmtId="0" fontId="0" fillId="0" borderId="130" xfId="0" applyNumberFormat="1" applyBorder="1" applyAlignment="1"/>
    <xf numFmtId="0" fontId="17" fillId="0" borderId="126" xfId="0" applyNumberFormat="1" applyFont="1" applyBorder="1" applyAlignment="1">
      <alignment horizontal="left" indent="2"/>
    </xf>
    <xf numFmtId="0" fontId="0" fillId="0" borderId="127" xfId="0" applyNumberFormat="1" applyBorder="1" applyAlignment="1">
      <alignment horizontal="left" indent="2"/>
    </xf>
    <xf numFmtId="165" fontId="17" fillId="0" borderId="20" xfId="0" applyNumberFormat="1" applyFont="1" applyBorder="1" applyAlignment="1">
      <alignment horizontal="center"/>
    </xf>
    <xf numFmtId="165" fontId="17" fillId="0" borderId="21" xfId="0" applyNumberFormat="1" applyFont="1" applyBorder="1" applyAlignment="1">
      <alignment horizontal="center"/>
    </xf>
    <xf numFmtId="165" fontId="17" fillId="0" borderId="33" xfId="0" applyNumberFormat="1" applyFont="1" applyBorder="1" applyAlignment="1">
      <alignment horizontal="center"/>
    </xf>
    <xf numFmtId="3" fontId="32" fillId="0" borderId="0" xfId="0" applyNumberFormat="1" applyFont="1" applyAlignment="1">
      <alignment horizontal="center"/>
    </xf>
    <xf numFmtId="0" fontId="18" fillId="0" borderId="0" xfId="0" applyNumberFormat="1" applyFont="1" applyAlignment="1"/>
    <xf numFmtId="0" fontId="57" fillId="0" borderId="0" xfId="0" applyNumberFormat="1" applyFont="1" applyAlignment="1"/>
    <xf numFmtId="3" fontId="6" fillId="0" borderId="0" xfId="0" applyNumberFormat="1" applyFont="1" applyAlignment="1">
      <alignment horizontal="center"/>
    </xf>
    <xf numFmtId="3" fontId="9" fillId="0" borderId="19" xfId="0" applyNumberFormat="1" applyFont="1" applyBorder="1" applyAlignment="1">
      <alignment horizontal="center"/>
    </xf>
    <xf numFmtId="3" fontId="9" fillId="0" borderId="29" xfId="0" applyNumberFormat="1" applyFont="1" applyBorder="1" applyAlignment="1">
      <alignment horizontal="center"/>
    </xf>
    <xf numFmtId="3" fontId="3" fillId="0" borderId="0" xfId="0" applyNumberFormat="1" applyFont="1" applyBorder="1" applyAlignment="1">
      <alignment wrapText="1"/>
    </xf>
    <xf numFmtId="0" fontId="0" fillId="0" borderId="0" xfId="0" applyAlignment="1">
      <alignment wrapText="1"/>
    </xf>
    <xf numFmtId="0" fontId="6" fillId="0" borderId="66" xfId="0" applyNumberFormat="1" applyFont="1" applyBorder="1" applyAlignment="1"/>
    <xf numFmtId="0" fontId="0" fillId="0" borderId="67" xfId="0" applyNumberFormat="1" applyBorder="1" applyAlignment="1"/>
    <xf numFmtId="0" fontId="17" fillId="0" borderId="26" xfId="0" applyNumberFormat="1" applyFont="1" applyBorder="1" applyAlignment="1">
      <alignment horizontal="left"/>
    </xf>
    <xf numFmtId="0" fontId="17" fillId="0" borderId="65" xfId="0" applyNumberFormat="1" applyFont="1" applyBorder="1" applyAlignment="1">
      <alignment horizontal="left"/>
    </xf>
    <xf numFmtId="0" fontId="17" fillId="0" borderId="69" xfId="0" applyNumberFormat="1" applyFont="1" applyBorder="1" applyAlignment="1">
      <alignment horizontal="left"/>
    </xf>
    <xf numFmtId="0" fontId="3" fillId="0" borderId="58" xfId="0" applyNumberFormat="1" applyFont="1" applyBorder="1" applyAlignment="1"/>
    <xf numFmtId="0" fontId="3" fillId="0" borderId="59" xfId="0" applyNumberFormat="1" applyFont="1" applyBorder="1" applyAlignment="1"/>
    <xf numFmtId="0" fontId="3" fillId="0" borderId="20" xfId="0" applyNumberFormat="1" applyFont="1" applyBorder="1" applyAlignment="1"/>
    <xf numFmtId="0" fontId="0" fillId="0" borderId="21" xfId="0" applyNumberFormat="1" applyBorder="1" applyAlignment="1"/>
    <xf numFmtId="0" fontId="21" fillId="0" borderId="20" xfId="12" applyFont="1" applyBorder="1" applyAlignment="1">
      <alignment horizontal="center" wrapText="1"/>
    </xf>
    <xf numFmtId="0" fontId="0" fillId="0" borderId="21" xfId="0" applyBorder="1" applyAlignment="1">
      <alignment wrapText="1"/>
    </xf>
    <xf numFmtId="0" fontId="0" fillId="0" borderId="33" xfId="0" applyBorder="1" applyAlignment="1">
      <alignment wrapText="1"/>
    </xf>
    <xf numFmtId="0" fontId="21" fillId="0" borderId="51" xfId="13" applyFont="1" applyBorder="1" applyAlignment="1">
      <alignment horizontal="center" wrapText="1"/>
    </xf>
    <xf numFmtId="0" fontId="0" fillId="0" borderId="32" xfId="0" applyBorder="1" applyAlignment="1">
      <alignment horizontal="center" wrapText="1"/>
    </xf>
    <xf numFmtId="0" fontId="21" fillId="0" borderId="50" xfId="13" applyFont="1" applyBorder="1" applyAlignment="1">
      <alignment wrapText="1"/>
    </xf>
    <xf numFmtId="0" fontId="0" fillId="0" borderId="51" xfId="0" applyBorder="1" applyAlignment="1">
      <alignment wrapText="1"/>
    </xf>
    <xf numFmtId="0" fontId="21" fillId="0" borderId="20" xfId="13" applyFont="1" applyBorder="1" applyAlignment="1">
      <alignment horizontal="center"/>
    </xf>
    <xf numFmtId="0" fontId="21" fillId="0" borderId="21" xfId="13" applyFont="1" applyBorder="1" applyAlignment="1">
      <alignment horizontal="center"/>
    </xf>
    <xf numFmtId="0" fontId="21" fillId="0" borderId="33" xfId="13" applyFont="1" applyBorder="1" applyAlignment="1">
      <alignment horizontal="center"/>
    </xf>
    <xf numFmtId="0" fontId="21" fillId="0" borderId="50" xfId="13" applyFont="1" applyBorder="1" applyAlignment="1">
      <alignment horizontal="center" wrapText="1"/>
    </xf>
    <xf numFmtId="0" fontId="0" fillId="0" borderId="9" xfId="0" applyBorder="1" applyAlignment="1">
      <alignment horizontal="center" wrapText="1"/>
    </xf>
    <xf numFmtId="0" fontId="21" fillId="0" borderId="50" xfId="13" applyFont="1" applyBorder="1" applyAlignment="1"/>
    <xf numFmtId="0" fontId="0" fillId="0" borderId="9" xfId="0" applyBorder="1" applyAlignment="1"/>
    <xf numFmtId="3" fontId="18" fillId="0" borderId="0" xfId="0" applyNumberFormat="1" applyFont="1" applyAlignment="1"/>
    <xf numFmtId="0" fontId="57" fillId="0" borderId="0" xfId="0" applyFont="1" applyAlignment="1"/>
    <xf numFmtId="3" fontId="18" fillId="0" borderId="0" xfId="0" applyNumberFormat="1" applyFont="1" applyAlignment="1">
      <alignment horizontal="center"/>
    </xf>
    <xf numFmtId="0" fontId="16" fillId="0" borderId="0" xfId="13" applyAlignment="1">
      <alignment horizontal="center"/>
    </xf>
    <xf numFmtId="0" fontId="31" fillId="0" borderId="0" xfId="13" applyFont="1" applyAlignment="1">
      <alignment horizontal="center"/>
    </xf>
    <xf numFmtId="0" fontId="56" fillId="0" borderId="0" xfId="0" applyFont="1" applyAlignment="1">
      <alignment horizontal="center"/>
    </xf>
    <xf numFmtId="3" fontId="32" fillId="0" borderId="0" xfId="12" applyNumberFormat="1" applyFont="1" applyAlignment="1">
      <alignment horizontal="center"/>
    </xf>
    <xf numFmtId="0" fontId="56" fillId="0" borderId="0" xfId="8" applyFont="1" applyBorder="1" applyAlignment="1">
      <alignment horizontal="center"/>
    </xf>
    <xf numFmtId="0" fontId="73" fillId="0" borderId="0" xfId="13" applyFont="1" applyAlignment="1">
      <alignment horizontal="center"/>
    </xf>
    <xf numFmtId="0" fontId="57" fillId="0" borderId="0" xfId="0" applyFont="1" applyAlignment="1">
      <alignment horizontal="center"/>
    </xf>
    <xf numFmtId="0" fontId="16" fillId="0" borderId="0" xfId="13" applyFont="1" applyAlignment="1">
      <alignment horizontal="center"/>
    </xf>
    <xf numFmtId="0" fontId="21" fillId="0" borderId="21" xfId="12" applyFont="1" applyBorder="1" applyAlignment="1">
      <alignment horizontal="center" wrapText="1"/>
    </xf>
    <xf numFmtId="0" fontId="21" fillId="0" borderId="33" xfId="12" applyFont="1" applyBorder="1" applyAlignment="1">
      <alignment horizontal="center" wrapText="1"/>
    </xf>
    <xf numFmtId="0" fontId="16" fillId="0" borderId="17" xfId="13" applyBorder="1" applyAlignment="1">
      <alignment horizontal="center"/>
    </xf>
    <xf numFmtId="0" fontId="45" fillId="0" borderId="0" xfId="13" applyFont="1" applyBorder="1" applyAlignment="1">
      <alignment horizontal="center"/>
    </xf>
    <xf numFmtId="0" fontId="43" fillId="0" borderId="0" xfId="0" applyFont="1" applyBorder="1" applyAlignment="1">
      <alignment horizontal="center"/>
    </xf>
    <xf numFmtId="3" fontId="73" fillId="0" borderId="0" xfId="12" applyNumberFormat="1" applyFont="1" applyAlignment="1">
      <alignment horizontal="center"/>
    </xf>
    <xf numFmtId="0" fontId="16" fillId="0" borderId="0" xfId="13" applyBorder="1" applyAlignment="1">
      <alignment horizontal="center"/>
    </xf>
    <xf numFmtId="0" fontId="21" fillId="0" borderId="20" xfId="15" applyFont="1" applyFill="1" applyBorder="1" applyAlignment="1">
      <alignment horizontal="center"/>
    </xf>
    <xf numFmtId="0" fontId="0" fillId="0" borderId="33" xfId="0" applyBorder="1" applyAlignment="1">
      <alignment horizontal="center"/>
    </xf>
    <xf numFmtId="0" fontId="18" fillId="0" borderId="0" xfId="14" applyFont="1" applyAlignment="1"/>
    <xf numFmtId="0" fontId="73" fillId="0" borderId="0" xfId="0" applyFont="1" applyBorder="1" applyAlignment="1"/>
    <xf numFmtId="0" fontId="17" fillId="0" borderId="0" xfId="14" applyFont="1" applyAlignment="1">
      <alignment horizontal="center"/>
    </xf>
    <xf numFmtId="0" fontId="0" fillId="0" borderId="0" xfId="0" applyBorder="1" applyAlignment="1">
      <alignment horizontal="center"/>
    </xf>
    <xf numFmtId="3" fontId="17" fillId="0" borderId="0" xfId="14" applyNumberFormat="1" applyFont="1" applyAlignment="1">
      <alignment horizontal="center"/>
    </xf>
    <xf numFmtId="0" fontId="9" fillId="0" borderId="0" xfId="14" applyFont="1" applyAlignment="1">
      <alignment horizontal="center"/>
    </xf>
    <xf numFmtId="0" fontId="65" fillId="0" borderId="131" xfId="14" applyFont="1" applyFill="1" applyBorder="1" applyAlignment="1">
      <alignment horizontal="center" vertical="center" wrapText="1"/>
    </xf>
    <xf numFmtId="0" fontId="0" fillId="0" borderId="132" xfId="0" applyBorder="1" applyAlignment="1">
      <alignment horizontal="center" vertical="center" wrapText="1"/>
    </xf>
    <xf numFmtId="0" fontId="0" fillId="0" borderId="16" xfId="0" applyBorder="1" applyAlignment="1">
      <alignment vertical="center" wrapText="1"/>
    </xf>
    <xf numFmtId="0" fontId="0" fillId="0" borderId="32" xfId="0" applyBorder="1" applyAlignment="1">
      <alignment vertical="center" wrapText="1"/>
    </xf>
    <xf numFmtId="0" fontId="21" fillId="0" borderId="20" xfId="14" applyFont="1" applyFill="1" applyBorder="1" applyAlignment="1">
      <alignment horizontal="center"/>
    </xf>
    <xf numFmtId="0" fontId="0" fillId="0" borderId="16" xfId="0" applyBorder="1" applyAlignment="1">
      <alignment horizontal="center" vertical="center" wrapText="1"/>
    </xf>
    <xf numFmtId="0" fontId="0" fillId="0" borderId="32" xfId="0" applyBorder="1" applyAlignment="1">
      <alignment horizontal="center" vertical="center" wrapText="1"/>
    </xf>
    <xf numFmtId="1" fontId="21" fillId="0" borderId="131" xfId="14" applyNumberFormat="1" applyFont="1" applyFill="1" applyBorder="1" applyAlignment="1">
      <alignment horizontal="center" vertical="center" wrapText="1"/>
    </xf>
    <xf numFmtId="1" fontId="21" fillId="0" borderId="103" xfId="14" applyNumberFormat="1" applyFont="1" applyFill="1" applyBorder="1" applyAlignment="1">
      <alignment horizontal="center" vertical="center" wrapText="1"/>
    </xf>
    <xf numFmtId="0" fontId="0" fillId="0" borderId="104" xfId="0" applyBorder="1" applyAlignment="1">
      <alignment horizontal="center" vertical="center" wrapText="1"/>
    </xf>
    <xf numFmtId="0" fontId="0" fillId="0" borderId="106" xfId="0" applyBorder="1" applyAlignment="1">
      <alignment horizontal="center" vertical="center" wrapText="1"/>
    </xf>
    <xf numFmtId="0" fontId="76"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wrapText="1"/>
    </xf>
    <xf numFmtId="0" fontId="21" fillId="0" borderId="16" xfId="14" applyFont="1" applyFill="1" applyBorder="1" applyAlignment="1">
      <alignment horizontal="center"/>
    </xf>
    <xf numFmtId="0" fontId="21" fillId="0" borderId="32" xfId="14" applyFont="1" applyFill="1" applyBorder="1" applyAlignment="1">
      <alignment horizontal="center"/>
    </xf>
    <xf numFmtId="0" fontId="21" fillId="0" borderId="0" xfId="15" applyFont="1" applyFill="1" applyBorder="1" applyAlignment="1"/>
    <xf numFmtId="0" fontId="9" fillId="0" borderId="17" xfId="15" applyFont="1" applyFill="1" applyBorder="1" applyAlignment="1"/>
    <xf numFmtId="3" fontId="9" fillId="0" borderId="0" xfId="9" applyNumberFormat="1" applyFont="1" applyBorder="1" applyAlignment="1">
      <alignment horizontal="left" wrapText="1"/>
    </xf>
    <xf numFmtId="0" fontId="17" fillId="0" borderId="0" xfId="15" applyFont="1" applyAlignment="1">
      <alignment horizontal="center"/>
    </xf>
    <xf numFmtId="3" fontId="17" fillId="0" borderId="0" xfId="15" applyNumberFormat="1" applyFont="1" applyAlignment="1">
      <alignment horizontal="center"/>
    </xf>
    <xf numFmtId="0" fontId="9" fillId="0" borderId="0" xfId="15" applyFont="1" applyAlignment="1">
      <alignment horizontal="center"/>
    </xf>
    <xf numFmtId="0" fontId="65" fillId="0" borderId="131" xfId="15" applyFont="1" applyFill="1" applyBorder="1" applyAlignment="1">
      <alignment horizontal="center" vertical="center" wrapText="1"/>
    </xf>
    <xf numFmtId="1" fontId="21" fillId="0" borderId="131" xfId="15" applyNumberFormat="1" applyFont="1" applyFill="1" applyBorder="1" applyAlignment="1">
      <alignment horizontal="center" vertical="center" wrapText="1"/>
    </xf>
    <xf numFmtId="1" fontId="21" fillId="0" borderId="103" xfId="15" applyNumberFormat="1" applyFont="1" applyFill="1" applyBorder="1" applyAlignment="1">
      <alignment horizontal="center" vertical="center" wrapText="1"/>
    </xf>
    <xf numFmtId="0" fontId="21" fillId="0" borderId="16" xfId="15" applyFont="1" applyFill="1" applyBorder="1" applyAlignment="1">
      <alignment horizontal="center"/>
    </xf>
    <xf numFmtId="0" fontId="21" fillId="0" borderId="32" xfId="15" applyFont="1" applyFill="1" applyBorder="1" applyAlignment="1">
      <alignment horizontal="center"/>
    </xf>
    <xf numFmtId="0" fontId="36" fillId="0" borderId="0" xfId="9" applyNumberFormat="1" applyFont="1" applyBorder="1" applyAlignment="1">
      <alignment vertical="top" wrapText="1"/>
    </xf>
    <xf numFmtId="0" fontId="15" fillId="0" borderId="0" xfId="9" applyAlignment="1">
      <alignment vertical="top" wrapText="1"/>
    </xf>
    <xf numFmtId="0" fontId="30" fillId="0" borderId="0" xfId="0" applyFont="1" applyBorder="1" applyAlignment="1">
      <alignment horizontal="center" vertical="top" wrapText="1"/>
    </xf>
    <xf numFmtId="0" fontId="30" fillId="0" borderId="17" xfId="0" applyFont="1" applyBorder="1" applyAlignment="1">
      <alignment horizontal="center" vertical="top" wrapText="1"/>
    </xf>
    <xf numFmtId="0" fontId="36" fillId="0" borderId="0" xfId="9" applyFont="1" applyBorder="1" applyAlignment="1">
      <alignment vertical="top" wrapText="1"/>
    </xf>
    <xf numFmtId="0" fontId="15" fillId="0" borderId="0" xfId="9" applyBorder="1" applyAlignment="1">
      <alignment vertical="top" wrapText="1"/>
    </xf>
    <xf numFmtId="0" fontId="40" fillId="0" borderId="0" xfId="9" applyFont="1" applyBorder="1" applyAlignment="1">
      <alignment vertical="top" wrapText="1"/>
    </xf>
    <xf numFmtId="0" fontId="30" fillId="0" borderId="0" xfId="14" applyFont="1" applyBorder="1" applyAlignment="1">
      <alignment horizontal="center"/>
    </xf>
    <xf numFmtId="0" fontId="36" fillId="0" borderId="0" xfId="9" applyFont="1" applyFill="1" applyBorder="1" applyAlignment="1">
      <alignment vertical="top" wrapText="1"/>
    </xf>
    <xf numFmtId="0" fontId="18" fillId="0" borderId="0" xfId="14" applyFont="1" applyAlignment="1">
      <alignment horizontal="left"/>
    </xf>
    <xf numFmtId="0" fontId="0" fillId="0" borderId="0" xfId="0" applyBorder="1" applyAlignment="1">
      <alignment horizontal="left"/>
    </xf>
    <xf numFmtId="0" fontId="6" fillId="0" borderId="0" xfId="14" applyFont="1" applyAlignment="1">
      <alignment horizontal="center"/>
    </xf>
    <xf numFmtId="0" fontId="6" fillId="0" borderId="0" xfId="14" applyFont="1" applyBorder="1" applyAlignment="1">
      <alignment horizontal="center"/>
    </xf>
    <xf numFmtId="0" fontId="36" fillId="0" borderId="0" xfId="9" applyFont="1" applyBorder="1" applyAlignment="1">
      <alignment horizontal="center"/>
    </xf>
    <xf numFmtId="0" fontId="15" fillId="0" borderId="0" xfId="9" applyBorder="1" applyAlignment="1">
      <alignment horizontal="center"/>
    </xf>
    <xf numFmtId="0" fontId="36" fillId="0" borderId="0" xfId="0" applyFont="1" applyBorder="1" applyAlignment="1">
      <alignment vertical="top" wrapText="1"/>
    </xf>
    <xf numFmtId="0" fontId="0" fillId="0" borderId="0" xfId="0" applyBorder="1" applyAlignment="1">
      <alignment vertical="top" wrapText="1"/>
    </xf>
    <xf numFmtId="0" fontId="36" fillId="0" borderId="0" xfId="0" applyFont="1" applyBorder="1" applyAlignment="1">
      <alignment horizontal="center" vertical="top"/>
    </xf>
    <xf numFmtId="0" fontId="0" fillId="0" borderId="0" xfId="0" applyBorder="1" applyAlignment="1">
      <alignment horizontal="center" vertical="top"/>
    </xf>
    <xf numFmtId="165" fontId="9" fillId="0" borderId="0" xfId="0" applyNumberFormat="1" applyFont="1" applyAlignment="1">
      <alignment horizontal="center"/>
    </xf>
    <xf numFmtId="0" fontId="6" fillId="0" borderId="0" xfId="0" applyFont="1" applyBorder="1" applyAlignment="1">
      <alignment horizontal="center"/>
    </xf>
    <xf numFmtId="0" fontId="3" fillId="0" borderId="0" xfId="0" applyFont="1" applyBorder="1" applyAlignment="1">
      <alignment horizontal="left" vertical="top" wrapText="1"/>
    </xf>
    <xf numFmtId="165" fontId="10" fillId="0" borderId="0" xfId="0" applyNumberFormat="1" applyFont="1" applyAlignment="1">
      <alignment horizontal="center"/>
    </xf>
    <xf numFmtId="0" fontId="6" fillId="0" borderId="0" xfId="0" applyFont="1" applyAlignment="1">
      <alignment horizontal="center"/>
    </xf>
    <xf numFmtId="165" fontId="12" fillId="0" borderId="0" xfId="0" applyNumberFormat="1" applyFont="1" applyAlignment="1">
      <alignment horizontal="center"/>
    </xf>
    <xf numFmtId="165" fontId="6" fillId="0" borderId="0" xfId="0" applyNumberFormat="1" applyFont="1" applyAlignment="1">
      <alignment horizontal="center"/>
    </xf>
    <xf numFmtId="0" fontId="17" fillId="0" borderId="50" xfId="0" applyNumberFormat="1" applyFont="1" applyBorder="1" applyAlignment="1">
      <alignment horizontal="center" vertical="center" wrapText="1"/>
    </xf>
    <xf numFmtId="0" fontId="17" fillId="0" borderId="51" xfId="0" applyNumberFormat="1" applyFont="1" applyBorder="1" applyAlignment="1">
      <alignment horizontal="center" vertical="center" wrapText="1"/>
    </xf>
    <xf numFmtId="165" fontId="6" fillId="0" borderId="17" xfId="0" applyNumberFormat="1" applyFont="1" applyBorder="1" applyAlignment="1">
      <alignment horizontal="center"/>
    </xf>
    <xf numFmtId="0" fontId="17" fillId="0" borderId="30" xfId="0" applyNumberFormat="1" applyFont="1" applyBorder="1" applyAlignment="1">
      <alignment horizontal="center" vertical="center"/>
    </xf>
    <xf numFmtId="0" fontId="6" fillId="0" borderId="125" xfId="0" applyNumberFormat="1" applyFont="1" applyBorder="1" applyAlignment="1">
      <alignment horizontal="center" vertical="center"/>
    </xf>
    <xf numFmtId="0" fontId="6" fillId="0" borderId="60" xfId="0" applyNumberFormat="1" applyFont="1" applyBorder="1" applyAlignment="1">
      <alignment horizontal="center" vertical="center"/>
    </xf>
    <xf numFmtId="0" fontId="6" fillId="0" borderId="18"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19" xfId="0" applyNumberFormat="1" applyFont="1" applyBorder="1" applyAlignment="1">
      <alignment horizontal="center" vertical="center"/>
    </xf>
    <xf numFmtId="0" fontId="17" fillId="0" borderId="30" xfId="0" applyNumberFormat="1" applyFont="1" applyBorder="1" applyAlignment="1">
      <alignment horizontal="center" vertical="center" wrapText="1"/>
    </xf>
    <xf numFmtId="0" fontId="6" fillId="0" borderId="125" xfId="0" applyNumberFormat="1" applyFont="1" applyBorder="1" applyAlignment="1">
      <alignment horizontal="center" vertical="center" wrapText="1"/>
    </xf>
    <xf numFmtId="0" fontId="6" fillId="0" borderId="60" xfId="0" applyNumberFormat="1" applyFont="1" applyBorder="1" applyAlignment="1">
      <alignment horizontal="center" vertical="center" wrapText="1"/>
    </xf>
    <xf numFmtId="0" fontId="6" fillId="0" borderId="18"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19" xfId="0" applyNumberFormat="1" applyFont="1" applyBorder="1" applyAlignment="1">
      <alignment horizontal="center" vertical="center" wrapText="1"/>
    </xf>
    <xf numFmtId="0" fontId="17" fillId="0" borderId="30" xfId="0" applyNumberFormat="1" applyFont="1" applyBorder="1" applyAlignment="1">
      <alignment horizontal="center"/>
    </xf>
    <xf numFmtId="0" fontId="17" fillId="0" borderId="18" xfId="0" applyNumberFormat="1" applyFont="1" applyBorder="1" applyAlignment="1">
      <alignment horizontal="center"/>
    </xf>
    <xf numFmtId="0" fontId="17" fillId="0" borderId="27" xfId="0" applyNumberFormat="1" applyFont="1" applyBorder="1" applyAlignment="1">
      <alignment horizontal="center"/>
    </xf>
    <xf numFmtId="0" fontId="17" fillId="0" borderId="50" xfId="0" applyNumberFormat="1" applyFont="1" applyBorder="1" applyAlignment="1">
      <alignment horizontal="center"/>
    </xf>
    <xf numFmtId="0" fontId="17" fillId="0" borderId="51" xfId="0" applyNumberFormat="1" applyFont="1" applyBorder="1" applyAlignment="1">
      <alignment horizontal="center"/>
    </xf>
    <xf numFmtId="0" fontId="17" fillId="0" borderId="62" xfId="0" applyNumberFormat="1" applyFont="1" applyBorder="1" applyAlignment="1">
      <alignment horizontal="center"/>
    </xf>
    <xf numFmtId="0" fontId="17" fillId="0" borderId="60" xfId="0" applyNumberFormat="1" applyFont="1" applyBorder="1" applyAlignment="1">
      <alignment horizontal="center" vertical="center" wrapText="1"/>
    </xf>
    <xf numFmtId="0" fontId="17" fillId="0" borderId="19" xfId="0" applyNumberFormat="1" applyFont="1" applyBorder="1" applyAlignment="1">
      <alignment horizontal="center" vertical="center" wrapText="1"/>
    </xf>
    <xf numFmtId="0" fontId="10" fillId="0" borderId="0" xfId="0" applyNumberFormat="1" applyFont="1" applyAlignment="1">
      <alignment horizontal="center"/>
    </xf>
    <xf numFmtId="0" fontId="3" fillId="0" borderId="0" xfId="0" applyNumberFormat="1" applyFont="1" applyAlignment="1">
      <alignment horizontal="center"/>
    </xf>
    <xf numFmtId="0" fontId="12" fillId="0" borderId="0" xfId="0" applyNumberFormat="1" applyFont="1" applyAlignment="1">
      <alignment horizontal="center"/>
    </xf>
    <xf numFmtId="0" fontId="3" fillId="0" borderId="0" xfId="0" applyNumberFormat="1" applyFont="1" applyBorder="1" applyAlignment="1">
      <alignment horizontal="center"/>
    </xf>
    <xf numFmtId="0" fontId="9" fillId="0" borderId="0" xfId="0" applyNumberFormat="1" applyFont="1" applyAlignment="1">
      <alignment horizontal="center"/>
    </xf>
    <xf numFmtId="0" fontId="3" fillId="0" borderId="60" xfId="0" applyNumberFormat="1" applyFont="1" applyBorder="1" applyAlignment="1"/>
    <xf numFmtId="0" fontId="3" fillId="0" borderId="27" xfId="0" applyNumberFormat="1" applyFont="1" applyBorder="1" applyAlignment="1"/>
    <xf numFmtId="0" fontId="3" fillId="0" borderId="29" xfId="0" applyNumberFormat="1" applyFont="1" applyBorder="1" applyAlignment="1"/>
    <xf numFmtId="0" fontId="17" fillId="0" borderId="20" xfId="0" applyNumberFormat="1" applyFont="1" applyBorder="1" applyAlignment="1">
      <alignment horizontal="center"/>
    </xf>
    <xf numFmtId="0" fontId="3" fillId="0" borderId="21" xfId="0" applyNumberFormat="1" applyFont="1" applyBorder="1" applyAlignment="1">
      <alignment horizontal="center"/>
    </xf>
    <xf numFmtId="0" fontId="3" fillId="0" borderId="33" xfId="0" applyNumberFormat="1" applyFont="1" applyBorder="1" applyAlignment="1">
      <alignment horizontal="center"/>
    </xf>
    <xf numFmtId="0" fontId="3" fillId="0" borderId="25" xfId="0" applyNumberFormat="1" applyFont="1" applyBorder="1" applyAlignment="1">
      <alignment horizontal="left"/>
    </xf>
    <xf numFmtId="0" fontId="3" fillId="0" borderId="59" xfId="0" applyNumberFormat="1" applyFont="1" applyBorder="1" applyAlignment="1">
      <alignment horizontal="left"/>
    </xf>
    <xf numFmtId="0" fontId="3" fillId="0" borderId="26" xfId="0" applyNumberFormat="1" applyFont="1" applyBorder="1" applyAlignment="1">
      <alignment horizontal="left"/>
    </xf>
    <xf numFmtId="0" fontId="3" fillId="0" borderId="69" xfId="0" applyNumberFormat="1" applyFont="1" applyBorder="1" applyAlignment="1">
      <alignment horizontal="left"/>
    </xf>
    <xf numFmtId="0" fontId="3" fillId="0" borderId="30" xfId="0" applyNumberFormat="1" applyFont="1" applyBorder="1" applyAlignment="1">
      <alignment horizontal="center"/>
    </xf>
    <xf numFmtId="0" fontId="3" fillId="0" borderId="60" xfId="0" applyNumberFormat="1" applyFont="1" applyBorder="1" applyAlignment="1">
      <alignment horizontal="center"/>
    </xf>
    <xf numFmtId="0" fontId="17" fillId="0" borderId="16" xfId="0" applyNumberFormat="1" applyFont="1" applyBorder="1" applyAlignment="1">
      <alignment horizontal="left" indent="5"/>
    </xf>
    <xf numFmtId="0" fontId="17" fillId="0" borderId="32" xfId="0" applyNumberFormat="1" applyFont="1" applyBorder="1" applyAlignment="1">
      <alignment horizontal="left" indent="5"/>
    </xf>
    <xf numFmtId="165" fontId="44" fillId="0" borderId="0" xfId="0" applyNumberFormat="1" applyFont="1" applyAlignment="1">
      <alignment horizontal="center"/>
    </xf>
    <xf numFmtId="0" fontId="44" fillId="0" borderId="0" xfId="0" applyFont="1" applyBorder="1" applyAlignment="1">
      <alignment horizontal="center"/>
    </xf>
    <xf numFmtId="0" fontId="3" fillId="0" borderId="125" xfId="0" applyFont="1" applyBorder="1" applyAlignment="1">
      <alignment vertical="top" wrapText="1"/>
    </xf>
    <xf numFmtId="0" fontId="12" fillId="0" borderId="0" xfId="6" applyNumberFormat="1" applyFont="1" applyBorder="1" applyAlignment="1">
      <alignment horizontal="center"/>
    </xf>
    <xf numFmtId="0" fontId="3" fillId="0" borderId="0" xfId="6" applyNumberFormat="1" applyFont="1" applyBorder="1" applyAlignment="1">
      <alignment horizontal="center"/>
    </xf>
    <xf numFmtId="165" fontId="3" fillId="0" borderId="0" xfId="6" applyNumberFormat="1" applyFont="1" applyBorder="1" applyAlignment="1">
      <alignment horizontal="center"/>
    </xf>
    <xf numFmtId="165" fontId="7" fillId="2" borderId="0" xfId="6" applyNumberFormat="1" applyFont="1" applyFill="1" applyBorder="1" applyAlignment="1">
      <alignment horizontal="center"/>
    </xf>
    <xf numFmtId="0" fontId="18" fillId="0" borderId="0" xfId="6" applyNumberFormat="1" applyFont="1" applyAlignment="1"/>
    <xf numFmtId="0" fontId="3" fillId="0" borderId="0" xfId="6" applyNumberFormat="1" applyFont="1" applyBorder="1" applyAlignment="1"/>
    <xf numFmtId="3" fontId="18" fillId="0" borderId="0" xfId="6" applyNumberFormat="1" applyFont="1" applyAlignment="1">
      <alignment horizontal="center"/>
    </xf>
    <xf numFmtId="3" fontId="18" fillId="0" borderId="0" xfId="6" applyNumberFormat="1" applyFont="1" applyBorder="1" applyAlignment="1">
      <alignment horizontal="center"/>
    </xf>
    <xf numFmtId="0" fontId="10" fillId="0" borderId="0" xfId="6" applyNumberFormat="1" applyFont="1" applyAlignment="1">
      <alignment horizontal="center"/>
    </xf>
    <xf numFmtId="0" fontId="12" fillId="0" borderId="0" xfId="6" applyNumberFormat="1" applyFont="1" applyAlignment="1">
      <alignment horizontal="center"/>
    </xf>
    <xf numFmtId="165" fontId="43" fillId="0" borderId="125" xfId="6" applyNumberFormat="1" applyFont="1" applyBorder="1" applyAlignment="1">
      <alignment horizontal="center"/>
    </xf>
    <xf numFmtId="0" fontId="26" fillId="2" borderId="133" xfId="6" applyNumberFormat="1" applyFont="1" applyFill="1" applyBorder="1" applyAlignment="1">
      <alignment horizontal="center" wrapText="1"/>
    </xf>
    <xf numFmtId="0" fontId="26" fillId="2" borderId="139" xfId="6" applyNumberFormat="1" applyFont="1" applyFill="1" applyBorder="1" applyAlignment="1">
      <alignment horizontal="center" wrapText="1"/>
    </xf>
    <xf numFmtId="0" fontId="26" fillId="2" borderId="124" xfId="6" applyNumberFormat="1" applyFont="1" applyFill="1" applyBorder="1" applyAlignment="1">
      <alignment horizontal="center" wrapText="1"/>
    </xf>
    <xf numFmtId="0" fontId="3" fillId="0" borderId="6" xfId="6" applyNumberFormat="1" applyFont="1" applyBorder="1" applyAlignment="1">
      <alignment horizontal="center" wrapText="1"/>
    </xf>
    <xf numFmtId="0" fontId="26" fillId="2" borderId="140" xfId="6" applyNumberFormat="1" applyFont="1" applyFill="1" applyBorder="1" applyAlignment="1">
      <alignment horizontal="center" wrapText="1"/>
    </xf>
    <xf numFmtId="0" fontId="3" fillId="0" borderId="141" xfId="6" applyNumberFormat="1" applyFont="1" applyBorder="1" applyAlignment="1">
      <alignment horizontal="center" wrapText="1"/>
    </xf>
    <xf numFmtId="0" fontId="26" fillId="2" borderId="30" xfId="6" applyNumberFormat="1" applyFont="1" applyFill="1" applyBorder="1" applyAlignment="1">
      <alignment horizontal="center" wrapText="1"/>
    </xf>
    <xf numFmtId="0" fontId="3" fillId="0" borderId="18" xfId="6" applyNumberFormat="1" applyFont="1" applyBorder="1" applyAlignment="1">
      <alignment wrapText="1"/>
    </xf>
    <xf numFmtId="0" fontId="3" fillId="0" borderId="126" xfId="6" applyNumberFormat="1" applyFont="1" applyBorder="1" applyAlignment="1">
      <alignment wrapText="1"/>
    </xf>
    <xf numFmtId="0" fontId="26" fillId="2" borderId="142" xfId="6" applyNumberFormat="1" applyFont="1" applyFill="1" applyBorder="1" applyAlignment="1">
      <alignment horizontal="center" vertical="center" wrapText="1"/>
    </xf>
    <xf numFmtId="0" fontId="3" fillId="0" borderId="143" xfId="6" applyNumberFormat="1" applyFont="1" applyBorder="1" applyAlignment="1">
      <alignment horizontal="center" vertical="center" wrapText="1"/>
    </xf>
    <xf numFmtId="0" fontId="26" fillId="2" borderId="144" xfId="6" applyNumberFormat="1" applyFont="1" applyFill="1" applyBorder="1" applyAlignment="1">
      <alignment horizontal="center" vertical="center"/>
    </xf>
    <xf numFmtId="0" fontId="26" fillId="2" borderId="145" xfId="6" applyNumberFormat="1" applyFont="1" applyFill="1" applyBorder="1" applyAlignment="1">
      <alignment horizontal="center" vertical="center"/>
    </xf>
    <xf numFmtId="0" fontId="26" fillId="2" borderId="146" xfId="6" applyNumberFormat="1" applyFont="1" applyFill="1" applyBorder="1" applyAlignment="1">
      <alignment horizontal="center" vertical="center"/>
    </xf>
    <xf numFmtId="0" fontId="3" fillId="0" borderId="134" xfId="6" applyNumberFormat="1" applyFont="1" applyBorder="1" applyAlignment="1">
      <alignment horizontal="center" wrapText="1"/>
    </xf>
    <xf numFmtId="0" fontId="26" fillId="2" borderId="135" xfId="6" applyNumberFormat="1" applyFont="1" applyFill="1" applyBorder="1" applyAlignment="1">
      <alignment horizontal="center" wrapText="1"/>
    </xf>
    <xf numFmtId="0" fontId="3" fillId="0" borderId="136" xfId="6" applyNumberFormat="1" applyFont="1" applyBorder="1" applyAlignment="1">
      <alignment horizontal="center" wrapText="1"/>
    </xf>
    <xf numFmtId="0" fontId="26" fillId="2" borderId="137" xfId="6" applyNumberFormat="1" applyFont="1" applyFill="1" applyBorder="1" applyAlignment="1">
      <alignment horizontal="center" wrapText="1"/>
    </xf>
    <xf numFmtId="0" fontId="3" fillId="0" borderId="138" xfId="6" applyNumberFormat="1" applyFont="1" applyBorder="1" applyAlignment="1">
      <alignment horizontal="center" wrapText="1"/>
    </xf>
    <xf numFmtId="0" fontId="24" fillId="2" borderId="50" xfId="0" applyNumberFormat="1" applyFont="1" applyFill="1" applyBorder="1" applyAlignment="1">
      <alignment wrapText="1"/>
    </xf>
    <xf numFmtId="0" fontId="24" fillId="2" borderId="51" xfId="0" applyNumberFormat="1" applyFont="1" applyFill="1" applyBorder="1" applyAlignment="1">
      <alignment wrapText="1"/>
    </xf>
    <xf numFmtId="0" fontId="24" fillId="2" borderId="62" xfId="0" applyNumberFormat="1" applyFont="1" applyFill="1" applyBorder="1" applyAlignment="1">
      <alignment wrapText="1"/>
    </xf>
    <xf numFmtId="0" fontId="24" fillId="2" borderId="20" xfId="0" applyNumberFormat="1" applyFont="1" applyFill="1" applyBorder="1" applyAlignment="1">
      <alignment horizontal="center" wrapText="1"/>
    </xf>
    <xf numFmtId="0" fontId="24" fillId="2" borderId="33" xfId="0" applyNumberFormat="1" applyFont="1" applyFill="1" applyBorder="1" applyAlignment="1">
      <alignment horizontal="center" wrapText="1"/>
    </xf>
    <xf numFmtId="0" fontId="24" fillId="2" borderId="21" xfId="0" applyNumberFormat="1" applyFont="1" applyFill="1" applyBorder="1" applyAlignment="1">
      <alignment horizontal="center" wrapText="1"/>
    </xf>
    <xf numFmtId="0" fontId="24" fillId="2" borderId="143" xfId="0" applyNumberFormat="1" applyFont="1" applyFill="1" applyBorder="1" applyAlignment="1">
      <alignment horizontal="center" wrapText="1"/>
    </xf>
    <xf numFmtId="0" fontId="24" fillId="2" borderId="0" xfId="0" applyNumberFormat="1" applyFont="1" applyFill="1" applyBorder="1" applyAlignment="1">
      <alignment horizontal="center" wrapText="1"/>
    </xf>
    <xf numFmtId="0" fontId="24" fillId="2" borderId="0" xfId="0" applyNumberFormat="1" applyFont="1" applyFill="1" applyBorder="1" applyAlignment="1">
      <alignment horizontal="center"/>
    </xf>
    <xf numFmtId="0" fontId="17" fillId="0" borderId="20" xfId="0" applyNumberFormat="1" applyFont="1" applyBorder="1" applyAlignment="1">
      <alignment horizontal="center" wrapText="1"/>
    </xf>
    <xf numFmtId="0" fontId="17" fillId="0" borderId="21" xfId="0" applyNumberFormat="1" applyFont="1" applyBorder="1" applyAlignment="1">
      <alignment horizontal="center" wrapText="1"/>
    </xf>
    <xf numFmtId="0" fontId="17" fillId="0" borderId="33" xfId="0" applyNumberFormat="1" applyFont="1" applyBorder="1" applyAlignment="1">
      <alignment horizontal="center" wrapText="1"/>
    </xf>
    <xf numFmtId="0" fontId="24" fillId="2" borderId="125" xfId="0" applyNumberFormat="1" applyFont="1" applyFill="1" applyBorder="1" applyAlignment="1">
      <alignment horizontal="center" wrapText="1"/>
    </xf>
    <xf numFmtId="0" fontId="24" fillId="2" borderId="60" xfId="0" applyNumberFormat="1" applyFont="1" applyFill="1" applyBorder="1" applyAlignment="1">
      <alignment horizontal="center" wrapText="1"/>
    </xf>
    <xf numFmtId="0" fontId="24" fillId="2" borderId="127" xfId="0" applyNumberFormat="1" applyFont="1" applyFill="1" applyBorder="1" applyAlignment="1">
      <alignment horizontal="center" wrapText="1"/>
    </xf>
    <xf numFmtId="0" fontId="24" fillId="2" borderId="82" xfId="0" applyNumberFormat="1" applyFont="1" applyFill="1" applyBorder="1" applyAlignment="1">
      <alignment horizontal="center" wrapText="1"/>
    </xf>
    <xf numFmtId="3" fontId="7" fillId="2" borderId="17" xfId="0" applyNumberFormat="1" applyFont="1" applyFill="1" applyBorder="1" applyAlignment="1">
      <alignment horizontal="center"/>
    </xf>
    <xf numFmtId="3" fontId="7" fillId="2" borderId="0" xfId="0" applyNumberFormat="1" applyFont="1" applyFill="1" applyAlignment="1">
      <alignment horizontal="center"/>
    </xf>
    <xf numFmtId="3" fontId="7" fillId="2" borderId="0" xfId="0" applyNumberFormat="1" applyFont="1" applyFill="1" applyBorder="1" applyAlignment="1">
      <alignment horizontal="center"/>
    </xf>
    <xf numFmtId="3" fontId="47" fillId="2" borderId="0" xfId="0" applyNumberFormat="1" applyFont="1" applyFill="1" applyBorder="1" applyAlignment="1">
      <alignment horizontal="center"/>
    </xf>
    <xf numFmtId="0" fontId="24" fillId="2" borderId="9" xfId="0" applyNumberFormat="1" applyFont="1" applyFill="1" applyBorder="1" applyAlignment="1">
      <alignment wrapText="1"/>
    </xf>
    <xf numFmtId="0" fontId="34" fillId="2" borderId="0" xfId="6" applyNumberFormat="1" applyFont="1" applyFill="1" applyBorder="1" applyAlignment="1"/>
    <xf numFmtId="165" fontId="33" fillId="2" borderId="0" xfId="6" applyNumberFormat="1" applyFont="1" applyFill="1" applyBorder="1" applyAlignment="1">
      <alignment horizontal="center"/>
    </xf>
    <xf numFmtId="0" fontId="34" fillId="2" borderId="0" xfId="6" applyNumberFormat="1" applyFont="1" applyFill="1" applyBorder="1" applyAlignment="1">
      <alignment horizontal="center"/>
    </xf>
    <xf numFmtId="0" fontId="35" fillId="2" borderId="0" xfId="6" applyNumberFormat="1" applyFont="1" applyFill="1" applyBorder="1" applyAlignment="1">
      <alignment horizontal="center"/>
    </xf>
    <xf numFmtId="165" fontId="45" fillId="2" borderId="0" xfId="6" applyNumberFormat="1" applyFont="1" applyFill="1" applyAlignment="1">
      <alignment horizontal="center"/>
    </xf>
    <xf numFmtId="0" fontId="44" fillId="0" borderId="0" xfId="6" applyFont="1" applyBorder="1" applyAlignment="1">
      <alignment horizontal="center"/>
    </xf>
    <xf numFmtId="0" fontId="24" fillId="2" borderId="50" xfId="6" applyNumberFormat="1" applyFont="1" applyFill="1" applyBorder="1" applyAlignment="1">
      <alignment wrapText="1"/>
    </xf>
    <xf numFmtId="0" fontId="3" fillId="0" borderId="51" xfId="6" applyNumberFormat="1" applyFont="1" applyBorder="1" applyAlignment="1">
      <alignment wrapText="1"/>
    </xf>
    <xf numFmtId="0" fontId="3" fillId="0" borderId="62" xfId="6" applyNumberFormat="1" applyFont="1" applyBorder="1" applyAlignment="1">
      <alignment wrapText="1"/>
    </xf>
    <xf numFmtId="0" fontId="24" fillId="2" borderId="30" xfId="6" applyNumberFormat="1" applyFont="1" applyFill="1" applyBorder="1" applyAlignment="1">
      <alignment horizontal="center" wrapText="1"/>
    </xf>
    <xf numFmtId="0" fontId="3" fillId="0" borderId="60" xfId="6" applyNumberFormat="1" applyFont="1" applyBorder="1" applyAlignment="1">
      <alignment horizontal="center" wrapText="1"/>
    </xf>
    <xf numFmtId="0" fontId="3" fillId="0" borderId="16" xfId="6" applyNumberFormat="1" applyFont="1" applyBorder="1" applyAlignment="1">
      <alignment horizontal="center" wrapText="1"/>
    </xf>
    <xf numFmtId="0" fontId="3" fillId="0" borderId="32" xfId="6" applyNumberFormat="1" applyFont="1" applyBorder="1" applyAlignment="1">
      <alignment horizontal="center" wrapText="1"/>
    </xf>
    <xf numFmtId="0" fontId="24" fillId="2" borderId="30" xfId="6" applyNumberFormat="1" applyFont="1" applyFill="1" applyBorder="1" applyAlignment="1">
      <alignment horizontal="center" vertical="center" wrapText="1"/>
    </xf>
    <xf numFmtId="0" fontId="3" fillId="0" borderId="60" xfId="6" applyNumberFormat="1" applyFont="1" applyBorder="1" applyAlignment="1">
      <alignment horizontal="center" vertical="center" wrapText="1"/>
    </xf>
    <xf numFmtId="0" fontId="3" fillId="0" borderId="16" xfId="6" applyNumberFormat="1" applyFont="1" applyBorder="1" applyAlignment="1">
      <alignment horizontal="center" vertical="center" wrapText="1"/>
    </xf>
    <xf numFmtId="0" fontId="3" fillId="0" borderId="32" xfId="6" applyNumberFormat="1" applyFont="1" applyBorder="1" applyAlignment="1">
      <alignment horizontal="center" vertical="center" wrapText="1"/>
    </xf>
    <xf numFmtId="0" fontId="0" fillId="0" borderId="0" xfId="0" applyNumberFormat="1" applyBorder="1" applyAlignment="1"/>
    <xf numFmtId="3" fontId="18" fillId="0" borderId="0" xfId="0" applyNumberFormat="1" applyFont="1" applyBorder="1" applyAlignment="1"/>
    <xf numFmtId="0" fontId="0" fillId="0" borderId="0" xfId="0" applyBorder="1" applyAlignment="1"/>
    <xf numFmtId="0" fontId="10" fillId="0" borderId="0" xfId="0" applyNumberFormat="1" applyFont="1" applyBorder="1" applyAlignment="1">
      <alignment horizontal="center"/>
    </xf>
    <xf numFmtId="0" fontId="12" fillId="0" borderId="0" xfId="0" applyNumberFormat="1" applyFont="1" applyBorder="1" applyAlignment="1">
      <alignment horizontal="center"/>
    </xf>
    <xf numFmtId="0" fontId="26" fillId="2" borderId="20" xfId="0" applyNumberFormat="1" applyFont="1" applyFill="1" applyBorder="1" applyAlignment="1">
      <alignment horizontal="center" vertical="center" wrapText="1"/>
    </xf>
    <xf numFmtId="0" fontId="0" fillId="0" borderId="21" xfId="0" applyNumberFormat="1" applyBorder="1" applyAlignment="1">
      <alignment horizontal="center" vertical="center" wrapText="1"/>
    </xf>
    <xf numFmtId="165" fontId="6" fillId="0" borderId="0" xfId="0" applyNumberFormat="1" applyFont="1" applyBorder="1" applyAlignment="1">
      <alignment horizontal="center"/>
    </xf>
    <xf numFmtId="0" fontId="7" fillId="2" borderId="30" xfId="0" applyNumberFormat="1" applyFont="1" applyFill="1" applyBorder="1" applyAlignment="1"/>
    <xf numFmtId="0" fontId="0" fillId="0" borderId="27" xfId="0" applyNumberFormat="1" applyBorder="1" applyAlignment="1"/>
    <xf numFmtId="0" fontId="9" fillId="0" borderId="0" xfId="0" applyNumberFormat="1" applyFont="1" applyBorder="1" applyAlignment="1">
      <alignment horizontal="center"/>
    </xf>
    <xf numFmtId="165" fontId="9" fillId="0" borderId="125" xfId="0" applyNumberFormat="1" applyFont="1" applyBorder="1" applyAlignment="1">
      <alignment wrapText="1"/>
    </xf>
    <xf numFmtId="165" fontId="9" fillId="0" borderId="125" xfId="0" quotePrefix="1" applyNumberFormat="1" applyFont="1" applyBorder="1" applyAlignment="1">
      <alignment wrapText="1"/>
    </xf>
    <xf numFmtId="0" fontId="0" fillId="3" borderId="0" xfId="0" applyFill="1" applyBorder="1" applyAlignment="1">
      <alignment vertical="top" wrapText="1"/>
    </xf>
    <xf numFmtId="165" fontId="44" fillId="0" borderId="0" xfId="0" applyNumberFormat="1" applyFont="1" applyBorder="1" applyAlignment="1">
      <alignment horizontal="center"/>
    </xf>
    <xf numFmtId="0" fontId="26" fillId="2" borderId="20" xfId="0" applyNumberFormat="1" applyFont="1" applyFill="1" applyBorder="1" applyAlignment="1">
      <alignment horizontal="center" vertical="center"/>
    </xf>
    <xf numFmtId="0" fontId="0" fillId="0" borderId="33" xfId="0" applyNumberFormat="1" applyBorder="1" applyAlignment="1">
      <alignment horizontal="center" vertical="center"/>
    </xf>
    <xf numFmtId="0" fontId="26" fillId="2" borderId="33" xfId="0" applyNumberFormat="1" applyFont="1" applyFill="1" applyBorder="1" applyAlignment="1">
      <alignment horizontal="center" vertical="center"/>
    </xf>
    <xf numFmtId="0" fontId="21" fillId="0" borderId="20" xfId="0" applyNumberFormat="1" applyFont="1" applyBorder="1" applyAlignment="1">
      <alignment horizontal="center" vertical="center" wrapText="1"/>
    </xf>
    <xf numFmtId="0" fontId="21" fillId="0" borderId="33" xfId="0" applyNumberFormat="1" applyFont="1" applyBorder="1" applyAlignment="1">
      <alignment horizontal="center" vertical="center" wrapText="1"/>
    </xf>
    <xf numFmtId="0" fontId="18" fillId="0" borderId="0" xfId="0" applyNumberFormat="1" applyFont="1" applyBorder="1" applyAlignment="1"/>
    <xf numFmtId="166" fontId="6" fillId="0" borderId="0" xfId="11" applyNumberFormat="1" applyFont="1" applyAlignment="1">
      <alignment horizontal="center"/>
    </xf>
    <xf numFmtId="3" fontId="17" fillId="0" borderId="0" xfId="11" applyNumberFormat="1" applyFont="1" applyAlignment="1">
      <alignment horizontal="left"/>
    </xf>
    <xf numFmtId="166" fontId="17" fillId="0" borderId="0" xfId="11" applyNumberFormat="1" applyFont="1" applyAlignment="1">
      <alignment horizontal="center"/>
    </xf>
    <xf numFmtId="167" fontId="67" fillId="0" borderId="0" xfId="1" applyNumberFormat="1" applyFont="1" applyAlignment="1">
      <alignment horizontal="center" vertical="center"/>
    </xf>
    <xf numFmtId="0" fontId="9" fillId="0" borderId="17" xfId="11" applyNumberFormat="1" applyFont="1" applyFill="1" applyBorder="1" applyAlignment="1" applyProtection="1">
      <alignment horizontal="center"/>
    </xf>
    <xf numFmtId="167" fontId="9" fillId="0" borderId="0" xfId="1" applyNumberFormat="1" applyFont="1" applyFill="1" applyBorder="1" applyAlignment="1" applyProtection="1">
      <alignment horizontal="center"/>
    </xf>
    <xf numFmtId="166" fontId="9" fillId="3" borderId="0" xfId="0" applyNumberFormat="1" applyFont="1" applyFill="1" applyBorder="1" applyAlignment="1">
      <alignment vertical="top" wrapText="1"/>
    </xf>
    <xf numFmtId="0" fontId="0" fillId="0" borderId="0" xfId="0" applyAlignment="1">
      <alignment vertical="top" wrapText="1"/>
    </xf>
    <xf numFmtId="0" fontId="69" fillId="0" borderId="30" xfId="11" applyNumberFormat="1" applyFont="1" applyFill="1" applyBorder="1" applyAlignment="1" applyProtection="1"/>
    <xf numFmtId="0" fontId="69" fillId="0" borderId="125" xfId="11" applyNumberFormat="1" applyFont="1" applyFill="1" applyBorder="1" applyAlignment="1" applyProtection="1"/>
    <xf numFmtId="0" fontId="69" fillId="0" borderId="16" xfId="11" applyNumberFormat="1" applyFont="1" applyFill="1" applyBorder="1" applyAlignment="1" applyProtection="1"/>
    <xf numFmtId="0" fontId="69" fillId="0" borderId="17" xfId="11" applyNumberFormat="1" applyFont="1" applyFill="1" applyBorder="1" applyAlignment="1" applyProtection="1"/>
    <xf numFmtId="166" fontId="60" fillId="3" borderId="0" xfId="0" applyNumberFormat="1" applyFont="1" applyFill="1" applyBorder="1" applyAlignment="1">
      <alignment horizontal="center"/>
    </xf>
    <xf numFmtId="166" fontId="9" fillId="3" borderId="0" xfId="0" applyNumberFormat="1" applyFont="1" applyFill="1" applyBorder="1" applyAlignment="1">
      <alignment horizontal="left" wrapText="1"/>
    </xf>
    <xf numFmtId="0" fontId="9" fillId="3" borderId="0" xfId="0" applyFont="1" applyFill="1" applyBorder="1" applyAlignment="1">
      <alignment vertical="top" wrapText="1"/>
    </xf>
    <xf numFmtId="167" fontId="69" fillId="0" borderId="60" xfId="1" applyNumberFormat="1" applyFont="1" applyFill="1" applyBorder="1" applyAlignment="1">
      <alignment horizontal="center" vertical="top" wrapText="1"/>
    </xf>
    <xf numFmtId="167" fontId="69" fillId="0" borderId="32" xfId="1" applyNumberFormat="1" applyFont="1" applyFill="1" applyBorder="1" applyAlignment="1">
      <alignment horizontal="center" vertical="top" wrapText="1"/>
    </xf>
    <xf numFmtId="167" fontId="69" fillId="0" borderId="125" xfId="1" applyNumberFormat="1" applyFont="1" applyFill="1" applyBorder="1" applyAlignment="1">
      <alignment horizontal="center" vertical="top" wrapText="1"/>
    </xf>
    <xf numFmtId="167" fontId="69" fillId="0" borderId="17" xfId="1" applyNumberFormat="1" applyFont="1" applyFill="1" applyBorder="1" applyAlignment="1">
      <alignment horizontal="center" vertical="top" wrapText="1"/>
    </xf>
    <xf numFmtId="167" fontId="69" fillId="0" borderId="30" xfId="1" applyNumberFormat="1" applyFont="1" applyFill="1" applyBorder="1" applyAlignment="1">
      <alignment horizontal="center" vertical="top" wrapText="1"/>
    </xf>
    <xf numFmtId="167" fontId="69" fillId="0" borderId="16" xfId="1" applyNumberFormat="1" applyFont="1" applyFill="1" applyBorder="1" applyAlignment="1">
      <alignment horizontal="center" vertical="top" wrapText="1"/>
    </xf>
    <xf numFmtId="0" fontId="0" fillId="0" borderId="0" xfId="0" applyBorder="1" applyAlignment="1">
      <alignment wrapText="1"/>
    </xf>
    <xf numFmtId="0" fontId="70" fillId="0" borderId="20" xfId="11" applyFont="1" applyFill="1" applyBorder="1" applyAlignment="1">
      <alignment horizontal="left" vertical="center"/>
    </xf>
    <xf numFmtId="0" fontId="70" fillId="0" borderId="21" xfId="11" applyFont="1" applyFill="1" applyBorder="1" applyAlignment="1">
      <alignment horizontal="left" vertical="center"/>
    </xf>
    <xf numFmtId="167" fontId="24" fillId="0" borderId="0" xfId="1" applyNumberFormat="1" applyFont="1" applyAlignment="1">
      <alignment horizontal="center" vertical="center"/>
    </xf>
    <xf numFmtId="0" fontId="68" fillId="0" borderId="17" xfId="11" applyFont="1" applyBorder="1" applyAlignment="1">
      <alignment horizontal="center" vertical="center"/>
    </xf>
    <xf numFmtId="0" fontId="20" fillId="0" borderId="0" xfId="0" applyFont="1" applyBorder="1" applyAlignment="1">
      <alignment vertical="top" wrapText="1"/>
    </xf>
    <xf numFmtId="0" fontId="20" fillId="0" borderId="0" xfId="0" applyFont="1" applyBorder="1" applyAlignment="1">
      <alignment horizontal="center"/>
    </xf>
    <xf numFmtId="0" fontId="20" fillId="0" borderId="0" xfId="0" applyFont="1" applyBorder="1" applyAlignment="1">
      <alignment wrapText="1"/>
    </xf>
    <xf numFmtId="0" fontId="0" fillId="0" borderId="0" xfId="0" applyBorder="1"/>
    <xf numFmtId="0" fontId="9" fillId="0" borderId="0" xfId="0" applyFont="1" applyFill="1" applyBorder="1" applyAlignment="1">
      <alignment vertical="top" wrapText="1"/>
    </xf>
    <xf numFmtId="0" fontId="0" fillId="0" borderId="0" xfId="0" applyFill="1" applyBorder="1"/>
    <xf numFmtId="166" fontId="9" fillId="0" borderId="0" xfId="0" applyNumberFormat="1" applyFont="1" applyFill="1" applyBorder="1" applyAlignment="1">
      <alignment vertical="top" wrapText="1"/>
    </xf>
    <xf numFmtId="0" fontId="6" fillId="0" borderId="0" xfId="10" applyFont="1" applyAlignment="1">
      <alignment horizontal="center" vertical="top"/>
    </xf>
    <xf numFmtId="0" fontId="6" fillId="0" borderId="0" xfId="0" applyFont="1" applyBorder="1" applyAlignment="1">
      <alignment horizontal="left"/>
    </xf>
    <xf numFmtId="0" fontId="17" fillId="0" borderId="0" xfId="0" applyFont="1" applyBorder="1" applyAlignment="1">
      <alignment horizontal="left"/>
    </xf>
    <xf numFmtId="3" fontId="6" fillId="0" borderId="0" xfId="0" applyNumberFormat="1" applyFont="1" applyBorder="1" applyAlignment="1">
      <alignment horizontal="center"/>
    </xf>
    <xf numFmtId="0" fontId="17" fillId="0" borderId="0" xfId="0" applyFont="1" applyBorder="1" applyAlignment="1">
      <alignment horizontal="center"/>
    </xf>
  </cellXfs>
  <cellStyles count="18">
    <cellStyle name="Comma" xfId="1" builtinId="3"/>
    <cellStyle name="Comma 2" xfId="2"/>
    <cellStyle name="Comma 3" xfId="3"/>
    <cellStyle name="Currency" xfId="4" builtinId="4"/>
    <cellStyle name="Currency 2" xfId="5"/>
    <cellStyle name="Normal" xfId="0" builtinId="0"/>
    <cellStyle name="Normal 2" xfId="6"/>
    <cellStyle name="Normal 3" xfId="7"/>
    <cellStyle name="Normal 3 2" xfId="8"/>
    <cellStyle name="Normal 4" xfId="9"/>
    <cellStyle name="Normal_FY 2011 Qs for IT Requests 04-16-09" xfId="10"/>
    <cellStyle name="Normal_FY2009 Cost Mod Prototype - Update 03-05-07" xfId="11"/>
    <cellStyle name="Normal_Improve by DU 2 2" xfId="12"/>
    <cellStyle name="Normal_Improve by DU 3" xfId="13"/>
    <cellStyle name="Normal_Rsrcs_X_ DOJ Goal  Obj" xfId="14"/>
    <cellStyle name="Normal_Rsrcs_X_ DOJ Goal  Obj 2" xfId="15"/>
    <cellStyle name="Normal_USMS FY 2011_012110_FINALafterJMDedits" xfId="16"/>
    <cellStyle name="Percent" xfId="17"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28575</xdr:rowOff>
    </xdr:from>
    <xdr:to>
      <xdr:col>10</xdr:col>
      <xdr:colOff>561975</xdr:colOff>
      <xdr:row>40</xdr:row>
      <xdr:rowOff>161925</xdr:rowOff>
    </xdr:to>
    <xdr:pic>
      <xdr:nvPicPr>
        <xdr:cNvPr id="836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9050" y="476250"/>
          <a:ext cx="8162925" cy="737235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debjones\Temporary%20Internet%20Files\OLKD\2006%20Perf%20Budget%20Cong%20Submission%20Exhibits%20Templat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udget_Staff\napostolides\FY06%20Formulation\05%20OMB%20Budget%20-%20char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jhampton\Local%20Settings\Temporary%20Internet%20Files\Content.Outlook\I968KP21\FY12%20Exhibit%20I%20%20K%20-%20CJ%20Submission%20-%20c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STRUCTIONS"/>
      <sheetName val="A. Organization Chart"/>
      <sheetName val="B. Summary of Requirements_S&amp;E "/>
      <sheetName val="B. Summary of Requirements_Cons"/>
      <sheetName val="(C) Increases Offsets"/>
      <sheetName val="D. Strategic Goals &amp; Objectives"/>
      <sheetName val="E. ATB Justification"/>
      <sheetName val="F. 2010 Crosswalk"/>
      <sheetName val="G. 2011 Crosswalk"/>
      <sheetName val="(H) Reimbursable Resources"/>
      <sheetName val="I. Permanent Positions"/>
      <sheetName val="(J) Financial Analysis"/>
      <sheetName val="K. Summary by Grade"/>
      <sheetName val="L. Summary by Object Class_S&amp;E"/>
      <sheetName val="L. Summary by Object Class_ Con"/>
      <sheetName val="(M) Studies"/>
      <sheetName val="P. ATB by Decision Unit"/>
      <sheetName val="(N-2) Domestic Agent"/>
      <sheetName val="(N-3) Domestic Attorney"/>
      <sheetName val="(N-4) Domestic Prof Sup"/>
      <sheetName val="(N-5) Domestic Clerical"/>
      <sheetName val="(P) IT"/>
    </sheetNames>
    <sheetDataSet>
      <sheetData sheetId="0" refreshError="1"/>
      <sheetData sheetId="1" refreshError="1"/>
      <sheetData sheetId="2">
        <row r="5">
          <cell r="A5" t="str">
            <v>United States Marshals Service</v>
          </cell>
        </row>
        <row r="6">
          <cell r="A6" t="str">
            <v>Salaries and Expenses</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4" Type="http://schemas.openxmlformats.org/officeDocument/2006/relationships/comments" Target="../comments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4" Type="http://schemas.openxmlformats.org/officeDocument/2006/relationships/comments" Target="../comments4.xm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sheetPr>
    <pageSetUpPr fitToPage="1"/>
  </sheetPr>
  <dimension ref="A1"/>
  <sheetViews>
    <sheetView tabSelected="1" view="pageBreakPreview" zoomScale="60" zoomScaleNormal="100" workbookViewId="0">
      <selection activeCell="J2" sqref="J2"/>
    </sheetView>
  </sheetViews>
  <sheetFormatPr defaultRowHeight="15"/>
  <cols>
    <col min="1" max="10" width="8.88671875" style="350"/>
    <col min="11" max="11" width="8.88671875" style="350" customWidth="1"/>
    <col min="12" max="16384" width="8.88671875" style="350"/>
  </cols>
  <sheetData>
    <row r="1" spans="1:1" ht="20.25">
      <c r="A1" s="349" t="s">
        <v>267</v>
      </c>
    </row>
  </sheetData>
  <customSheetViews>
    <customSheetView guid="{9A28834D-6BE2-4884-BE97-BE00946B08BB}" scale="60" showPageBreaks="1" fitToPage="1" printArea="1" view="pageBreakPreview">
      <selection activeCell="M40" sqref="M40"/>
      <pageMargins left="0.25" right="0.25" top="1" bottom="0.75" header="0.5" footer="0.5"/>
      <printOptions horizontalCentered="1"/>
      <pageSetup scale="79" orientation="landscape" r:id="rId1"/>
      <headerFooter alignWithMargins="0">
        <oddFooter>&amp;C&amp;"Times New Roman,Regular"Exhibit A - Organizational Chart</oddFooter>
      </headerFooter>
    </customSheetView>
  </customSheetViews>
  <printOptions horizontalCentered="1"/>
  <pageMargins left="0.25" right="0.25" top="1" bottom="0.75" header="0.5" footer="0.5"/>
  <pageSetup scale="79" orientation="landscape" r:id="rId2"/>
  <headerFooter alignWithMargins="0">
    <oddFooter>&amp;C&amp;"Times New Roman,Regular"Exhibit A - Organizational Chart</oddFooter>
  </headerFooter>
  <drawing r:id="rId3"/>
</worksheet>
</file>

<file path=xl/worksheets/sheet10.xml><?xml version="1.0" encoding="utf-8"?>
<worksheet xmlns="http://schemas.openxmlformats.org/spreadsheetml/2006/main" xmlns:r="http://schemas.openxmlformats.org/officeDocument/2006/relationships">
  <sheetPr>
    <pageSetUpPr fitToPage="1"/>
  </sheetPr>
  <dimension ref="A1:T23"/>
  <sheetViews>
    <sheetView view="pageBreakPreview" zoomScale="70" zoomScaleNormal="100" zoomScaleSheetLayoutView="70" workbookViewId="0">
      <selection activeCell="V29" sqref="V29"/>
    </sheetView>
  </sheetViews>
  <sheetFormatPr defaultRowHeight="15.75"/>
  <cols>
    <col min="1" max="1" width="35.21875" customWidth="1"/>
    <col min="2" max="3" width="0" hidden="1" customWidth="1"/>
    <col min="4" max="4" width="13.5546875" customWidth="1"/>
    <col min="5" max="8" width="0" hidden="1" customWidth="1"/>
    <col min="9" max="9" width="0" style="320" hidden="1" customWidth="1"/>
    <col min="10" max="10" width="0" hidden="1" customWidth="1"/>
    <col min="14" max="14" width="11.33203125" style="8" customWidth="1"/>
    <col min="15" max="15" width="12.21875" style="8" customWidth="1"/>
    <col min="16" max="17" width="0" hidden="1" customWidth="1"/>
    <col min="18" max="18" width="14.44140625" customWidth="1"/>
  </cols>
  <sheetData>
    <row r="1" spans="1:20" ht="20.25">
      <c r="A1" s="837" t="s">
        <v>416</v>
      </c>
      <c r="B1" s="838"/>
      <c r="C1" s="838"/>
      <c r="D1" s="838"/>
      <c r="E1" s="838"/>
      <c r="F1" s="838"/>
      <c r="G1" s="838"/>
      <c r="H1" s="838"/>
      <c r="I1" s="838"/>
      <c r="J1" s="838"/>
      <c r="K1" s="838"/>
      <c r="L1" s="838"/>
      <c r="M1" s="838"/>
      <c r="N1" s="838"/>
      <c r="O1" s="838"/>
      <c r="P1" s="838"/>
      <c r="Q1" s="838"/>
      <c r="R1" s="838"/>
      <c r="S1" s="47" t="s">
        <v>0</v>
      </c>
      <c r="T1" s="8"/>
    </row>
    <row r="2" spans="1:20" ht="20.25">
      <c r="A2" s="17"/>
      <c r="B2" s="561"/>
      <c r="C2" s="561"/>
      <c r="D2" s="561"/>
      <c r="E2" s="561"/>
      <c r="F2" s="561"/>
      <c r="G2" s="561"/>
      <c r="H2" s="561"/>
      <c r="I2" s="561"/>
      <c r="J2" s="561"/>
      <c r="K2" s="561"/>
      <c r="L2" s="561"/>
      <c r="M2" s="561"/>
      <c r="N2" s="561"/>
      <c r="O2" s="561"/>
      <c r="P2" s="561"/>
      <c r="Q2" s="561"/>
      <c r="R2" s="561"/>
      <c r="S2" s="47"/>
      <c r="T2" s="8"/>
    </row>
    <row r="3" spans="1:20" ht="20.25">
      <c r="A3" s="17"/>
      <c r="B3" s="561"/>
      <c r="C3" s="561"/>
      <c r="D3" s="561"/>
      <c r="E3" s="561"/>
      <c r="F3" s="561"/>
      <c r="G3" s="561"/>
      <c r="H3" s="561"/>
      <c r="I3" s="561"/>
      <c r="J3" s="561"/>
      <c r="K3" s="561"/>
      <c r="L3" s="561"/>
      <c r="M3" s="561"/>
      <c r="N3" s="561"/>
      <c r="O3" s="561"/>
      <c r="P3" s="561"/>
      <c r="Q3" s="561"/>
      <c r="R3" s="561"/>
      <c r="S3" s="47"/>
      <c r="T3" s="8"/>
    </row>
    <row r="4" spans="1:20">
      <c r="A4" s="915"/>
      <c r="B4" s="915"/>
      <c r="C4" s="915"/>
      <c r="D4" s="915"/>
      <c r="E4" s="915"/>
      <c r="F4" s="915"/>
      <c r="G4" s="915"/>
      <c r="H4" s="915"/>
      <c r="I4" s="915"/>
      <c r="J4" s="915"/>
      <c r="K4" s="915"/>
      <c r="L4" s="915"/>
      <c r="M4" s="915"/>
      <c r="N4" s="915"/>
      <c r="O4" s="915"/>
      <c r="P4" s="915"/>
      <c r="Q4" s="915"/>
      <c r="R4" s="915"/>
      <c r="S4" s="47" t="s">
        <v>0</v>
      </c>
      <c r="T4" s="8"/>
    </row>
    <row r="5" spans="1:20" ht="18.75">
      <c r="A5" s="912" t="s">
        <v>325</v>
      </c>
      <c r="B5" s="913"/>
      <c r="C5" s="913"/>
      <c r="D5" s="913"/>
      <c r="E5" s="913"/>
      <c r="F5" s="913"/>
      <c r="G5" s="913"/>
      <c r="H5" s="913"/>
      <c r="I5" s="913"/>
      <c r="J5" s="913"/>
      <c r="K5" s="913"/>
      <c r="L5" s="913"/>
      <c r="M5" s="913"/>
      <c r="N5" s="913"/>
      <c r="O5" s="913"/>
      <c r="P5" s="913"/>
      <c r="Q5" s="913"/>
      <c r="R5" s="913"/>
      <c r="S5" s="47" t="s">
        <v>0</v>
      </c>
      <c r="T5" s="8"/>
    </row>
    <row r="6" spans="1:20" ht="16.5">
      <c r="A6" s="914" t="str">
        <f ca="1">+'B. Summary of Requirements_S&amp;E '!A5</f>
        <v>United States Marshals Service</v>
      </c>
      <c r="B6" s="910"/>
      <c r="C6" s="910"/>
      <c r="D6" s="910"/>
      <c r="E6" s="910"/>
      <c r="F6" s="910"/>
      <c r="G6" s="910"/>
      <c r="H6" s="910"/>
      <c r="I6" s="910"/>
      <c r="J6" s="910"/>
      <c r="K6" s="910"/>
      <c r="L6" s="910"/>
      <c r="M6" s="910"/>
      <c r="N6" s="910"/>
      <c r="O6" s="910"/>
      <c r="P6" s="910"/>
      <c r="Q6" s="910"/>
      <c r="R6" s="910"/>
      <c r="S6" s="47" t="s">
        <v>0</v>
      </c>
      <c r="T6" s="8"/>
    </row>
    <row r="7" spans="1:20" ht="16.5">
      <c r="A7" s="914" t="str">
        <f ca="1">+'B. Summary of Requirements_Cons'!A8:X8</f>
        <v>Construction</v>
      </c>
      <c r="B7" s="913"/>
      <c r="C7" s="913"/>
      <c r="D7" s="913"/>
      <c r="E7" s="913"/>
      <c r="F7" s="913"/>
      <c r="G7" s="913"/>
      <c r="H7" s="913"/>
      <c r="I7" s="913"/>
      <c r="J7" s="913"/>
      <c r="K7" s="913"/>
      <c r="L7" s="913"/>
      <c r="M7" s="913"/>
      <c r="N7" s="913"/>
      <c r="O7" s="913"/>
      <c r="P7" s="913"/>
      <c r="Q7" s="913"/>
      <c r="R7" s="913"/>
      <c r="S7" s="47" t="s">
        <v>0</v>
      </c>
      <c r="T7" s="8"/>
    </row>
    <row r="8" spans="1:20">
      <c r="A8" s="909" t="s">
        <v>265</v>
      </c>
      <c r="B8" s="910"/>
      <c r="C8" s="910"/>
      <c r="D8" s="910"/>
      <c r="E8" s="910"/>
      <c r="F8" s="910"/>
      <c r="G8" s="910"/>
      <c r="H8" s="910"/>
      <c r="I8" s="910"/>
      <c r="J8" s="910"/>
      <c r="K8" s="910"/>
      <c r="L8" s="910"/>
      <c r="M8" s="910"/>
      <c r="N8" s="910"/>
      <c r="O8" s="910"/>
      <c r="P8" s="910"/>
      <c r="Q8" s="910"/>
      <c r="R8" s="910"/>
      <c r="S8" s="47" t="s">
        <v>0</v>
      </c>
      <c r="T8" s="8"/>
    </row>
    <row r="9" spans="1:20">
      <c r="A9" s="915"/>
      <c r="B9" s="915"/>
      <c r="C9" s="915"/>
      <c r="D9" s="915"/>
      <c r="E9" s="915"/>
      <c r="F9" s="915"/>
      <c r="G9" s="915"/>
      <c r="H9" s="915"/>
      <c r="I9" s="915"/>
      <c r="J9" s="915"/>
      <c r="K9" s="915"/>
      <c r="L9" s="915"/>
      <c r="M9" s="915"/>
      <c r="N9" s="915"/>
      <c r="O9" s="915"/>
      <c r="P9" s="915"/>
      <c r="Q9" s="915"/>
      <c r="R9" s="915"/>
      <c r="S9" s="47" t="s">
        <v>0</v>
      </c>
      <c r="T9" s="8"/>
    </row>
    <row r="10" spans="1:20">
      <c r="A10" s="918"/>
      <c r="B10" s="918"/>
      <c r="C10" s="918"/>
      <c r="D10" s="918"/>
      <c r="E10" s="918"/>
      <c r="F10" s="918"/>
      <c r="G10" s="918"/>
      <c r="H10" s="918"/>
      <c r="I10" s="918"/>
      <c r="J10" s="918"/>
      <c r="K10" s="918"/>
      <c r="L10" s="918"/>
      <c r="M10" s="918"/>
      <c r="N10" s="918"/>
      <c r="O10" s="918"/>
      <c r="P10" s="918"/>
      <c r="Q10" s="918"/>
      <c r="R10" s="918"/>
      <c r="S10" s="47" t="s">
        <v>0</v>
      </c>
      <c r="T10" s="8"/>
    </row>
    <row r="11" spans="1:20" ht="15.75" customHeight="1">
      <c r="A11" s="931" t="s">
        <v>47</v>
      </c>
      <c r="B11" s="925" t="s">
        <v>334</v>
      </c>
      <c r="C11" s="926"/>
      <c r="D11" s="927"/>
      <c r="E11" s="919" t="s">
        <v>279</v>
      </c>
      <c r="F11" s="920"/>
      <c r="G11" s="921"/>
      <c r="H11" s="919" t="s">
        <v>280</v>
      </c>
      <c r="I11" s="920"/>
      <c r="J11" s="921"/>
      <c r="K11" s="925" t="s">
        <v>22</v>
      </c>
      <c r="L11" s="926"/>
      <c r="M11" s="927"/>
      <c r="N11" s="916" t="s">
        <v>331</v>
      </c>
      <c r="O11" s="916" t="s">
        <v>332</v>
      </c>
      <c r="P11" s="925" t="s">
        <v>326</v>
      </c>
      <c r="Q11" s="926"/>
      <c r="R11" s="927"/>
      <c r="S11" s="47" t="s">
        <v>0</v>
      </c>
      <c r="T11" s="8"/>
    </row>
    <row r="12" spans="1:20" ht="39" customHeight="1">
      <c r="A12" s="932"/>
      <c r="B12" s="928"/>
      <c r="C12" s="929"/>
      <c r="D12" s="930"/>
      <c r="E12" s="922"/>
      <c r="F12" s="923"/>
      <c r="G12" s="924"/>
      <c r="H12" s="922"/>
      <c r="I12" s="923"/>
      <c r="J12" s="924"/>
      <c r="K12" s="928"/>
      <c r="L12" s="929"/>
      <c r="M12" s="930"/>
      <c r="N12" s="917"/>
      <c r="O12" s="917"/>
      <c r="P12" s="928"/>
      <c r="Q12" s="929"/>
      <c r="R12" s="930"/>
      <c r="S12" s="47" t="s">
        <v>0</v>
      </c>
      <c r="T12" s="8"/>
    </row>
    <row r="13" spans="1:20" ht="16.5" thickBot="1">
      <c r="A13" s="933"/>
      <c r="B13" s="186" t="s">
        <v>287</v>
      </c>
      <c r="C13" s="187" t="s">
        <v>51</v>
      </c>
      <c r="D13" s="344" t="s">
        <v>289</v>
      </c>
      <c r="E13" s="565" t="s">
        <v>287</v>
      </c>
      <c r="F13" s="344" t="s">
        <v>51</v>
      </c>
      <c r="G13" s="344" t="s">
        <v>289</v>
      </c>
      <c r="H13" s="565" t="s">
        <v>287</v>
      </c>
      <c r="I13" s="344" t="s">
        <v>51</v>
      </c>
      <c r="J13" s="344" t="s">
        <v>289</v>
      </c>
      <c r="K13" s="565" t="s">
        <v>287</v>
      </c>
      <c r="L13" s="344" t="s">
        <v>51</v>
      </c>
      <c r="M13" s="344" t="s">
        <v>289</v>
      </c>
      <c r="N13" s="343" t="s">
        <v>289</v>
      </c>
      <c r="O13" s="343" t="s">
        <v>289</v>
      </c>
      <c r="P13" s="565" t="s">
        <v>287</v>
      </c>
      <c r="Q13" s="344" t="s">
        <v>51</v>
      </c>
      <c r="R13" s="696" t="s">
        <v>289</v>
      </c>
      <c r="S13" s="47" t="s">
        <v>0</v>
      </c>
      <c r="T13" s="8"/>
    </row>
    <row r="14" spans="1:20">
      <c r="A14" s="724" t="s">
        <v>338</v>
      </c>
      <c r="B14" s="554">
        <v>0</v>
      </c>
      <c r="C14" s="555">
        <v>0</v>
      </c>
      <c r="D14" s="555">
        <v>26625</v>
      </c>
      <c r="E14" s="554"/>
      <c r="F14" s="555"/>
      <c r="G14" s="555"/>
      <c r="H14" s="554">
        <v>0</v>
      </c>
      <c r="I14" s="555">
        <v>0</v>
      </c>
      <c r="J14" s="555">
        <v>0</v>
      </c>
      <c r="K14" s="554">
        <v>0</v>
      </c>
      <c r="L14" s="555">
        <v>0</v>
      </c>
      <c r="M14" s="555">
        <v>0</v>
      </c>
      <c r="N14" s="556">
        <f>2054+8000</f>
        <v>10054</v>
      </c>
      <c r="O14" s="556">
        <v>101</v>
      </c>
      <c r="P14" s="554">
        <f>B14+E14+H14+K14</f>
        <v>0</v>
      </c>
      <c r="Q14" s="555">
        <f>C14+F14+I14+L14</f>
        <v>0</v>
      </c>
      <c r="R14" s="557">
        <f>D14+G14+J14+M14+N14+O14</f>
        <v>36780</v>
      </c>
      <c r="S14" s="47" t="s">
        <v>0</v>
      </c>
      <c r="T14" s="8"/>
    </row>
    <row r="15" spans="1:20">
      <c r="A15" s="195" t="s">
        <v>296</v>
      </c>
      <c r="B15" s="196">
        <f t="shared" ref="B15:R15" si="0">SUM(B14:B14)</f>
        <v>0</v>
      </c>
      <c r="C15" s="197">
        <f t="shared" si="0"/>
        <v>0</v>
      </c>
      <c r="D15" s="198">
        <f t="shared" si="0"/>
        <v>26625</v>
      </c>
      <c r="E15" s="196">
        <f t="shared" si="0"/>
        <v>0</v>
      </c>
      <c r="F15" s="197">
        <f t="shared" si="0"/>
        <v>0</v>
      </c>
      <c r="G15" s="198">
        <f t="shared" si="0"/>
        <v>0</v>
      </c>
      <c r="H15" s="196">
        <f t="shared" si="0"/>
        <v>0</v>
      </c>
      <c r="I15" s="197">
        <f t="shared" si="0"/>
        <v>0</v>
      </c>
      <c r="J15" s="198">
        <f t="shared" si="0"/>
        <v>0</v>
      </c>
      <c r="K15" s="196">
        <f t="shared" si="0"/>
        <v>0</v>
      </c>
      <c r="L15" s="197">
        <f t="shared" si="0"/>
        <v>0</v>
      </c>
      <c r="M15" s="198">
        <f t="shared" si="0"/>
        <v>0</v>
      </c>
      <c r="N15" s="340">
        <f t="shared" si="0"/>
        <v>10054</v>
      </c>
      <c r="O15" s="340">
        <f t="shared" si="0"/>
        <v>101</v>
      </c>
      <c r="P15" s="196">
        <f t="shared" si="0"/>
        <v>0</v>
      </c>
      <c r="Q15" s="197">
        <f t="shared" si="0"/>
        <v>0</v>
      </c>
      <c r="R15" s="200">
        <f t="shared" si="0"/>
        <v>36780</v>
      </c>
      <c r="S15" s="47" t="s">
        <v>0</v>
      </c>
      <c r="T15" s="8"/>
    </row>
    <row r="16" spans="1:20">
      <c r="A16" s="8"/>
      <c r="B16" s="1"/>
      <c r="C16" s="1"/>
      <c r="D16" s="1"/>
      <c r="E16" s="1"/>
      <c r="F16" s="1"/>
      <c r="G16" s="1"/>
      <c r="H16" s="1"/>
      <c r="I16" s="1"/>
      <c r="J16" s="1"/>
      <c r="K16" s="1"/>
      <c r="L16" s="1"/>
      <c r="M16" s="1"/>
      <c r="N16" s="1"/>
      <c r="O16" s="1"/>
      <c r="P16" s="1"/>
      <c r="Q16" s="1"/>
      <c r="R16" s="1"/>
      <c r="S16" s="47" t="s">
        <v>0</v>
      </c>
      <c r="T16" s="8"/>
    </row>
    <row r="17" spans="1:20" s="18" customFormat="1" ht="33.75" customHeight="1">
      <c r="A17" s="911" t="s">
        <v>421</v>
      </c>
      <c r="B17" s="911"/>
      <c r="C17" s="911"/>
      <c r="D17" s="911"/>
      <c r="E17" s="911"/>
      <c r="F17" s="911"/>
      <c r="G17" s="911"/>
      <c r="H17" s="911"/>
      <c r="I17" s="911"/>
      <c r="J17" s="911"/>
      <c r="K17" s="911"/>
      <c r="L17" s="911"/>
      <c r="M17" s="911"/>
      <c r="N17" s="911"/>
      <c r="O17" s="911"/>
      <c r="P17" s="911"/>
      <c r="Q17" s="911"/>
      <c r="R17" s="911"/>
      <c r="S17" s="47" t="s">
        <v>0</v>
      </c>
      <c r="T17" s="214"/>
    </row>
    <row r="18" spans="1:20" s="18" customFormat="1" ht="9" customHeight="1">
      <c r="S18" s="47" t="s">
        <v>0</v>
      </c>
      <c r="T18" s="214"/>
    </row>
    <row r="19" spans="1:20" s="18" customFormat="1" ht="14.45" customHeight="1">
      <c r="A19" s="911" t="s">
        <v>420</v>
      </c>
      <c r="B19" s="911"/>
      <c r="C19" s="911"/>
      <c r="D19" s="911"/>
      <c r="E19" s="911"/>
      <c r="F19" s="911"/>
      <c r="G19" s="911"/>
      <c r="H19" s="911"/>
      <c r="I19" s="911"/>
      <c r="J19" s="911"/>
      <c r="K19" s="911"/>
      <c r="L19" s="911"/>
      <c r="M19" s="911"/>
      <c r="N19" s="911"/>
      <c r="O19" s="911"/>
      <c r="P19" s="911"/>
      <c r="Q19" s="911"/>
      <c r="R19" s="911"/>
      <c r="S19" s="214" t="s">
        <v>23</v>
      </c>
      <c r="T19" s="214"/>
    </row>
    <row r="20" spans="1:20">
      <c r="A20" s="1"/>
      <c r="B20" s="21"/>
      <c r="C20" s="21"/>
      <c r="D20" s="21"/>
      <c r="E20" s="21"/>
      <c r="F20" s="21"/>
      <c r="G20" s="21"/>
      <c r="H20" s="21"/>
      <c r="I20" s="21"/>
      <c r="J20" s="21"/>
      <c r="K20" s="21"/>
      <c r="L20" s="21"/>
      <c r="M20" s="21"/>
      <c r="N20" s="21"/>
      <c r="O20" s="21"/>
      <c r="P20" s="1"/>
      <c r="Q20" s="1"/>
      <c r="R20" s="1"/>
      <c r="S20" s="47"/>
      <c r="T20" s="8"/>
    </row>
    <row r="21" spans="1:20">
      <c r="A21" s="173"/>
      <c r="B21" s="1"/>
      <c r="C21" s="1"/>
      <c r="D21" s="1"/>
      <c r="E21" s="1"/>
      <c r="F21" s="1"/>
      <c r="G21" s="1"/>
      <c r="H21" s="1"/>
      <c r="I21" s="1"/>
      <c r="J21" s="2"/>
      <c r="K21" s="1"/>
      <c r="L21" s="1"/>
      <c r="M21" s="1"/>
      <c r="N21" s="1"/>
      <c r="O21" s="1"/>
      <c r="P21" s="1"/>
      <c r="Q21" s="1"/>
      <c r="R21" s="1"/>
      <c r="S21" s="48"/>
      <c r="T21" s="8"/>
    </row>
    <row r="22" spans="1:20">
      <c r="A22" s="23"/>
      <c r="B22" s="23"/>
      <c r="C22" s="23"/>
      <c r="D22" s="23"/>
      <c r="E22" s="23"/>
      <c r="F22" s="23"/>
      <c r="G22" s="23"/>
      <c r="H22" s="23"/>
      <c r="I22" s="23"/>
      <c r="J22" s="23"/>
      <c r="K22" s="1"/>
      <c r="L22" s="1"/>
      <c r="M22" s="1"/>
      <c r="N22" s="1"/>
      <c r="O22" s="1"/>
      <c r="P22" s="1"/>
      <c r="Q22" s="1"/>
      <c r="R22" s="1"/>
      <c r="S22" s="48"/>
      <c r="T22" s="8"/>
    </row>
    <row r="23" spans="1:20" ht="18">
      <c r="A23" s="91"/>
      <c r="B23" s="18"/>
      <c r="C23" s="18"/>
      <c r="D23" s="18"/>
      <c r="E23" s="18"/>
      <c r="F23" s="18"/>
      <c r="G23" s="18"/>
      <c r="H23" s="18"/>
      <c r="I23" s="18"/>
      <c r="J23" s="18"/>
      <c r="K23" s="18"/>
      <c r="L23" s="18"/>
      <c r="M23" s="18"/>
      <c r="P23" s="18"/>
      <c r="Q23" s="18"/>
      <c r="R23" s="18"/>
      <c r="S23" s="18"/>
      <c r="T23" s="48"/>
    </row>
  </sheetData>
  <customSheetViews>
    <customSheetView guid="{9A28834D-6BE2-4884-BE97-BE00946B08BB}" scale="70" showPageBreaks="1" fitToPage="1" printArea="1" hiddenRows="1" hiddenColumns="1" view="pageBreakPreview">
      <selection activeCell="R15" sqref="R15"/>
      <pageMargins left="0.5" right="0.5" top="1" bottom="1" header="0.5" footer="0.5"/>
      <printOptions horizontalCentered="1"/>
      <pageSetup scale="94" orientation="landscape" r:id="rId1"/>
      <headerFooter alignWithMargins="0">
        <oddFooter>&amp;C&amp;"Times New Roman,Regular"Exhibit G:  Crosswalk of 2011 Availability - Construction</oddFooter>
      </headerFooter>
    </customSheetView>
  </customSheetViews>
  <mergeCells count="18">
    <mergeCell ref="A17:R17"/>
    <mergeCell ref="A19:R19"/>
    <mergeCell ref="A9:R9"/>
    <mergeCell ref="A10:R10"/>
    <mergeCell ref="A11:A13"/>
    <mergeCell ref="B11:D12"/>
    <mergeCell ref="E11:G12"/>
    <mergeCell ref="H11:J12"/>
    <mergeCell ref="K11:M12"/>
    <mergeCell ref="N11:N12"/>
    <mergeCell ref="O11:O12"/>
    <mergeCell ref="P11:R12"/>
    <mergeCell ref="A8:R8"/>
    <mergeCell ref="A1:R1"/>
    <mergeCell ref="A4:R4"/>
    <mergeCell ref="A5:R5"/>
    <mergeCell ref="A6:R6"/>
    <mergeCell ref="A7:R7"/>
  </mergeCells>
  <printOptions horizontalCentered="1"/>
  <pageMargins left="0.5" right="0.5" top="1" bottom="1" header="0.5" footer="0.5"/>
  <pageSetup scale="94" orientation="landscape" r:id="rId2"/>
  <headerFooter alignWithMargins="0">
    <oddFooter>&amp;C&amp;"Times New Roman,Regular"Exhibit G:  Crosswalk of 2011 Availability - Construction</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F34"/>
  <sheetViews>
    <sheetView showGridLines="0" showOutlineSymbols="0" view="pageBreakPreview" zoomScale="75" zoomScaleNormal="75" zoomScaleSheetLayoutView="75" workbookViewId="0">
      <selection activeCell="P30" sqref="P30"/>
    </sheetView>
  </sheetViews>
  <sheetFormatPr defaultColWidth="9.6640625" defaultRowHeight="15.75"/>
  <cols>
    <col min="1" max="1" width="4.44140625" style="18" customWidth="1"/>
    <col min="2" max="2" width="50.77734375" style="18" customWidth="1"/>
    <col min="3" max="3" width="6.5546875" style="18" customWidth="1"/>
    <col min="4" max="4" width="5.6640625" style="18" customWidth="1"/>
    <col min="5" max="5" width="10.44140625" style="18" bestFit="1" customWidth="1"/>
    <col min="6" max="7" width="5.6640625" style="18" customWidth="1"/>
    <col min="8" max="8" width="11.77734375" style="18" customWidth="1"/>
    <col min="9" max="10" width="5.6640625" style="18" customWidth="1"/>
    <col min="11" max="11" width="10.44140625" style="18" bestFit="1" customWidth="1"/>
    <col min="12" max="13" width="5.6640625" style="18" customWidth="1"/>
    <col min="14" max="14" width="9.109375" style="18" customWidth="1"/>
    <col min="15" max="15" width="1.21875" style="43" customWidth="1"/>
    <col min="16" max="16" width="27.5546875" style="18" customWidth="1"/>
    <col min="17" max="20" width="7.6640625" style="18" customWidth="1"/>
    <col min="21" max="21" width="3.6640625" style="18" customWidth="1"/>
    <col min="22" max="24" width="7.6640625" style="18" customWidth="1"/>
    <col min="25" max="25" width="3.6640625" style="18" customWidth="1"/>
    <col min="26" max="28" width="7.6640625" style="18" customWidth="1"/>
    <col min="29" max="29" width="3.6640625" style="18" customWidth="1"/>
    <col min="30" max="32" width="7.6640625" style="18" customWidth="1"/>
    <col min="33" max="16384" width="9.6640625" style="18"/>
  </cols>
  <sheetData>
    <row r="1" spans="1:21" ht="20.25">
      <c r="A1" s="96" t="s">
        <v>31</v>
      </c>
      <c r="B1" s="566"/>
      <c r="C1" s="566"/>
      <c r="D1" s="566"/>
      <c r="E1" s="566"/>
      <c r="F1" s="566"/>
      <c r="G1" s="566"/>
      <c r="H1" s="566"/>
      <c r="I1" s="566"/>
      <c r="J1" s="566"/>
      <c r="K1" s="566"/>
      <c r="L1" s="566"/>
      <c r="M1" s="566"/>
      <c r="N1" s="566"/>
      <c r="O1" s="42" t="s">
        <v>0</v>
      </c>
      <c r="P1" s="1"/>
      <c r="Q1" s="1"/>
      <c r="R1" s="1"/>
      <c r="S1" s="1"/>
      <c r="T1" s="1"/>
      <c r="U1" s="1"/>
    </row>
    <row r="2" spans="1:21" ht="20.25">
      <c r="A2" s="96"/>
      <c r="B2" s="566"/>
      <c r="C2" s="566"/>
      <c r="D2" s="566"/>
      <c r="E2" s="566"/>
      <c r="F2" s="566"/>
      <c r="G2" s="566"/>
      <c r="H2" s="566"/>
      <c r="I2" s="566"/>
      <c r="J2" s="566"/>
      <c r="K2" s="566"/>
      <c r="L2" s="566"/>
      <c r="M2" s="566"/>
      <c r="N2" s="566"/>
      <c r="O2" s="42"/>
      <c r="P2" s="1"/>
      <c r="Q2" s="1"/>
      <c r="R2" s="1"/>
      <c r="S2" s="1"/>
      <c r="T2" s="1"/>
      <c r="U2" s="1"/>
    </row>
    <row r="3" spans="1:21" ht="20.25">
      <c r="A3" s="96"/>
      <c r="B3" s="566"/>
      <c r="C3" s="566"/>
      <c r="D3" s="566"/>
      <c r="E3" s="566"/>
      <c r="F3" s="566"/>
      <c r="G3" s="566"/>
      <c r="H3" s="566"/>
      <c r="I3" s="566"/>
      <c r="J3" s="566"/>
      <c r="K3" s="566"/>
      <c r="L3" s="566"/>
      <c r="M3" s="566"/>
      <c r="N3" s="566"/>
      <c r="O3" s="42"/>
      <c r="P3" s="1"/>
      <c r="Q3" s="1"/>
      <c r="R3" s="1"/>
      <c r="S3" s="1"/>
      <c r="T3" s="1"/>
      <c r="U3" s="1"/>
    </row>
    <row r="4" spans="1:21" ht="13.9" customHeight="1">
      <c r="A4" s="17"/>
      <c r="O4" s="42" t="s">
        <v>0</v>
      </c>
      <c r="P4" s="1"/>
      <c r="Q4" s="1"/>
      <c r="R4" s="1"/>
      <c r="S4" s="1"/>
      <c r="T4" s="1"/>
      <c r="U4" s="1"/>
    </row>
    <row r="5" spans="1:21" ht="18.75">
      <c r="A5" s="939" t="s">
        <v>93</v>
      </c>
      <c r="B5" s="940"/>
      <c r="C5" s="940"/>
      <c r="D5" s="940"/>
      <c r="E5" s="940"/>
      <c r="F5" s="940"/>
      <c r="G5" s="940"/>
      <c r="H5" s="940"/>
      <c r="I5" s="940"/>
      <c r="J5" s="940"/>
      <c r="K5" s="940"/>
      <c r="L5" s="940"/>
      <c r="M5" s="940"/>
      <c r="N5" s="940"/>
      <c r="O5" s="42" t="s">
        <v>0</v>
      </c>
      <c r="P5" s="1"/>
      <c r="Q5" s="1"/>
      <c r="R5" s="1"/>
      <c r="S5" s="1"/>
      <c r="T5" s="1"/>
      <c r="U5" s="1"/>
    </row>
    <row r="6" spans="1:21" ht="16.5">
      <c r="A6" s="941" t="s">
        <v>337</v>
      </c>
      <c r="B6" s="942"/>
      <c r="C6" s="942"/>
      <c r="D6" s="942"/>
      <c r="E6" s="942"/>
      <c r="F6" s="942"/>
      <c r="G6" s="942"/>
      <c r="H6" s="942"/>
      <c r="I6" s="942"/>
      <c r="J6" s="942"/>
      <c r="K6" s="942"/>
      <c r="L6" s="942"/>
      <c r="M6" s="942"/>
      <c r="N6" s="942"/>
      <c r="O6" s="42" t="s">
        <v>0</v>
      </c>
      <c r="P6" s="1"/>
      <c r="Q6" s="1"/>
      <c r="R6" s="1"/>
      <c r="S6" s="1"/>
      <c r="T6" s="1"/>
      <c r="U6" s="1"/>
    </row>
    <row r="7" spans="1:21" ht="16.5">
      <c r="A7" s="941" t="s">
        <v>266</v>
      </c>
      <c r="B7" s="940"/>
      <c r="C7" s="940"/>
      <c r="D7" s="940"/>
      <c r="E7" s="940"/>
      <c r="F7" s="940"/>
      <c r="G7" s="940"/>
      <c r="H7" s="940"/>
      <c r="I7" s="940"/>
      <c r="J7" s="940"/>
      <c r="K7" s="940"/>
      <c r="L7" s="940"/>
      <c r="M7" s="940"/>
      <c r="N7" s="940"/>
      <c r="O7" s="42" t="s">
        <v>0</v>
      </c>
      <c r="P7" s="1"/>
      <c r="Q7" s="1"/>
      <c r="R7" s="1"/>
      <c r="S7" s="1"/>
      <c r="T7" s="1"/>
      <c r="U7" s="1"/>
    </row>
    <row r="8" spans="1:21">
      <c r="A8" s="943" t="s">
        <v>265</v>
      </c>
      <c r="B8" s="942"/>
      <c r="C8" s="942"/>
      <c r="D8" s="942"/>
      <c r="E8" s="942"/>
      <c r="F8" s="942"/>
      <c r="G8" s="942"/>
      <c r="H8" s="942"/>
      <c r="I8" s="942"/>
      <c r="J8" s="942"/>
      <c r="K8" s="942"/>
      <c r="L8" s="942"/>
      <c r="M8" s="942"/>
      <c r="N8" s="942"/>
      <c r="O8" s="42" t="s">
        <v>0</v>
      </c>
      <c r="P8" s="1"/>
      <c r="Q8" s="1"/>
      <c r="R8" s="1"/>
      <c r="S8" s="1"/>
      <c r="T8" s="1"/>
      <c r="U8" s="1"/>
    </row>
    <row r="9" spans="1:21">
      <c r="F9" s="484"/>
      <c r="G9" s="484"/>
      <c r="H9" s="484"/>
      <c r="O9" s="42" t="s">
        <v>0</v>
      </c>
      <c r="P9" s="1"/>
      <c r="Q9" s="1"/>
      <c r="R9" s="1"/>
      <c r="S9" s="1"/>
      <c r="T9" s="1"/>
      <c r="U9" s="1"/>
    </row>
    <row r="10" spans="1:21">
      <c r="A10" s="735" t="s">
        <v>283</v>
      </c>
      <c r="B10" s="944"/>
      <c r="C10" s="947" t="s">
        <v>414</v>
      </c>
      <c r="D10" s="948"/>
      <c r="E10" s="949"/>
      <c r="F10" s="947" t="s">
        <v>415</v>
      </c>
      <c r="G10" s="948"/>
      <c r="H10" s="949"/>
      <c r="I10" s="947" t="s">
        <v>44</v>
      </c>
      <c r="J10" s="948"/>
      <c r="K10" s="949"/>
      <c r="L10" s="947" t="s">
        <v>46</v>
      </c>
      <c r="M10" s="948"/>
      <c r="N10" s="949"/>
      <c r="O10" s="42" t="s">
        <v>0</v>
      </c>
      <c r="P10" s="1"/>
      <c r="Q10" s="1"/>
      <c r="R10" s="1"/>
      <c r="S10" s="1"/>
      <c r="T10" s="1"/>
      <c r="U10" s="1"/>
    </row>
    <row r="11" spans="1:21" ht="41.25" customHeight="1" thickBot="1">
      <c r="A11" s="945"/>
      <c r="B11" s="946"/>
      <c r="C11" s="186" t="s">
        <v>287</v>
      </c>
      <c r="D11" s="714" t="s">
        <v>427</v>
      </c>
      <c r="E11" s="188" t="s">
        <v>289</v>
      </c>
      <c r="F11" s="186" t="s">
        <v>287</v>
      </c>
      <c r="G11" s="187" t="s">
        <v>51</v>
      </c>
      <c r="H11" s="187" t="s">
        <v>289</v>
      </c>
      <c r="I11" s="186" t="s">
        <v>287</v>
      </c>
      <c r="J11" s="187" t="s">
        <v>51</v>
      </c>
      <c r="K11" s="187" t="s">
        <v>289</v>
      </c>
      <c r="L11" s="186" t="s">
        <v>287</v>
      </c>
      <c r="M11" s="187" t="s">
        <v>51</v>
      </c>
      <c r="N11" s="188" t="s">
        <v>289</v>
      </c>
      <c r="O11" s="42" t="s">
        <v>0</v>
      </c>
      <c r="P11" s="1"/>
      <c r="Q11" s="1"/>
      <c r="R11" s="1"/>
      <c r="S11" s="1"/>
      <c r="T11" s="1"/>
      <c r="U11" s="1"/>
    </row>
    <row r="12" spans="1:21">
      <c r="A12" s="950" t="s">
        <v>365</v>
      </c>
      <c r="B12" s="951"/>
      <c r="C12" s="485">
        <v>64</v>
      </c>
      <c r="D12" s="486">
        <v>64</v>
      </c>
      <c r="E12" s="487">
        <v>916</v>
      </c>
      <c r="F12" s="485">
        <v>64</v>
      </c>
      <c r="G12" s="486">
        <v>64</v>
      </c>
      <c r="H12" s="487">
        <v>1190</v>
      </c>
      <c r="I12" s="485">
        <v>76</v>
      </c>
      <c r="J12" s="486">
        <v>70</v>
      </c>
      <c r="K12" s="487">
        <v>1190</v>
      </c>
      <c r="L12" s="485">
        <f>+I12-F12</f>
        <v>12</v>
      </c>
      <c r="M12" s="486">
        <f>+J12-G12</f>
        <v>6</v>
      </c>
      <c r="N12" s="487">
        <f>+K12-H12</f>
        <v>0</v>
      </c>
      <c r="O12" s="42" t="s">
        <v>0</v>
      </c>
      <c r="P12" s="1"/>
      <c r="Q12" s="1"/>
      <c r="R12" s="1"/>
      <c r="S12" s="1"/>
      <c r="T12" s="1"/>
      <c r="U12" s="1"/>
    </row>
    <row r="13" spans="1:21">
      <c r="A13" s="952" t="s">
        <v>366</v>
      </c>
      <c r="B13" s="953"/>
      <c r="C13" s="485">
        <v>187</v>
      </c>
      <c r="D13" s="486">
        <v>187</v>
      </c>
      <c r="E13" s="487">
        <f>17529+500+0</f>
        <v>18029</v>
      </c>
      <c r="F13" s="485">
        <v>187</v>
      </c>
      <c r="G13" s="486">
        <v>187</v>
      </c>
      <c r="H13" s="487">
        <f>25245+548</f>
        <v>25793</v>
      </c>
      <c r="I13" s="485">
        <v>242</v>
      </c>
      <c r="J13" s="486">
        <v>242</v>
      </c>
      <c r="K13" s="487">
        <v>20643</v>
      </c>
      <c r="L13" s="485">
        <f t="shared" ref="L13:M29" si="0">I13-C13</f>
        <v>55</v>
      </c>
      <c r="M13" s="486">
        <f t="shared" si="0"/>
        <v>55</v>
      </c>
      <c r="N13" s="487">
        <f t="shared" ref="N13:N29" si="1">+K13-H13</f>
        <v>-5150</v>
      </c>
      <c r="O13" s="42" t="s">
        <v>0</v>
      </c>
      <c r="P13" s="1"/>
      <c r="Q13" s="1"/>
      <c r="R13" s="1"/>
      <c r="S13" s="1"/>
      <c r="T13" s="1"/>
      <c r="U13" s="1"/>
    </row>
    <row r="14" spans="1:21">
      <c r="A14" s="952" t="s">
        <v>367</v>
      </c>
      <c r="B14" s="953"/>
      <c r="C14" s="485">
        <v>9</v>
      </c>
      <c r="D14" s="486">
        <v>9</v>
      </c>
      <c r="E14" s="487">
        <v>2294</v>
      </c>
      <c r="F14" s="485">
        <v>9</v>
      </c>
      <c r="G14" s="486">
        <v>9</v>
      </c>
      <c r="H14" s="487">
        <v>2294</v>
      </c>
      <c r="I14" s="485">
        <v>9</v>
      </c>
      <c r="J14" s="486">
        <v>9</v>
      </c>
      <c r="K14" s="487">
        <v>2294</v>
      </c>
      <c r="L14" s="485">
        <f t="shared" si="0"/>
        <v>0</v>
      </c>
      <c r="M14" s="486">
        <f t="shared" si="0"/>
        <v>0</v>
      </c>
      <c r="N14" s="487">
        <f t="shared" si="1"/>
        <v>0</v>
      </c>
      <c r="O14" s="42" t="s">
        <v>0</v>
      </c>
      <c r="P14" s="1"/>
      <c r="Q14" s="1"/>
      <c r="R14" s="1"/>
      <c r="S14" s="1"/>
      <c r="T14" s="1"/>
      <c r="U14" s="1"/>
    </row>
    <row r="15" spans="1:21">
      <c r="A15" s="952" t="s">
        <v>449</v>
      </c>
      <c r="B15" s="953"/>
      <c r="C15" s="488">
        <v>0</v>
      </c>
      <c r="D15" s="489">
        <v>0</v>
      </c>
      <c r="E15" s="490">
        <f>1000+528</f>
        <v>1528</v>
      </c>
      <c r="F15" s="488">
        <v>0</v>
      </c>
      <c r="G15" s="489">
        <v>0</v>
      </c>
      <c r="H15" s="490">
        <f>1000+330</f>
        <v>1330</v>
      </c>
      <c r="I15" s="488">
        <v>0</v>
      </c>
      <c r="J15" s="489">
        <v>0</v>
      </c>
      <c r="K15" s="490">
        <f>1000+330</f>
        <v>1330</v>
      </c>
      <c r="L15" s="488">
        <f t="shared" si="0"/>
        <v>0</v>
      </c>
      <c r="M15" s="489">
        <f t="shared" si="0"/>
        <v>0</v>
      </c>
      <c r="N15" s="490">
        <f t="shared" si="1"/>
        <v>0</v>
      </c>
      <c r="O15" s="42" t="s">
        <v>0</v>
      </c>
      <c r="P15" s="1"/>
      <c r="Q15" s="1"/>
      <c r="R15" s="1"/>
      <c r="S15" s="1"/>
      <c r="T15" s="1"/>
      <c r="U15" s="1"/>
    </row>
    <row r="16" spans="1:21">
      <c r="A16" s="952" t="s">
        <v>368</v>
      </c>
      <c r="B16" s="953"/>
      <c r="C16" s="488">
        <v>0</v>
      </c>
      <c r="D16" s="489">
        <v>0</v>
      </c>
      <c r="E16" s="490">
        <f>446+58</f>
        <v>504</v>
      </c>
      <c r="F16" s="488">
        <v>0</v>
      </c>
      <c r="G16" s="489">
        <v>0</v>
      </c>
      <c r="H16" s="490">
        <f>425+4500+8344</f>
        <v>13269</v>
      </c>
      <c r="I16" s="488">
        <v>0</v>
      </c>
      <c r="J16" s="489">
        <v>0</v>
      </c>
      <c r="K16" s="490">
        <f>425+4500+8344</f>
        <v>13269</v>
      </c>
      <c r="L16" s="488">
        <f t="shared" si="0"/>
        <v>0</v>
      </c>
      <c r="M16" s="489">
        <f t="shared" si="0"/>
        <v>0</v>
      </c>
      <c r="N16" s="490">
        <f t="shared" si="1"/>
        <v>0</v>
      </c>
      <c r="O16" s="42" t="s">
        <v>0</v>
      </c>
      <c r="P16" s="1"/>
      <c r="Q16" s="1"/>
      <c r="R16" s="1"/>
      <c r="S16" s="1"/>
      <c r="T16" s="1"/>
      <c r="U16" s="1"/>
    </row>
    <row r="17" spans="1:21">
      <c r="A17" s="952" t="s">
        <v>369</v>
      </c>
      <c r="B17" s="953"/>
      <c r="C17" s="488">
        <v>0</v>
      </c>
      <c r="D17" s="489">
        <v>0</v>
      </c>
      <c r="E17" s="490">
        <f>270+51+739+10027+12</f>
        <v>11099</v>
      </c>
      <c r="F17" s="488">
        <v>0</v>
      </c>
      <c r="G17" s="489">
        <v>0</v>
      </c>
      <c r="H17" s="490">
        <f>210+65+766+6534</f>
        <v>7575</v>
      </c>
      <c r="I17" s="488">
        <v>0</v>
      </c>
      <c r="J17" s="489">
        <v>0</v>
      </c>
      <c r="K17" s="490">
        <f>210+65+766+6534</f>
        <v>7575</v>
      </c>
      <c r="L17" s="488">
        <f t="shared" si="0"/>
        <v>0</v>
      </c>
      <c r="M17" s="489">
        <f t="shared" si="0"/>
        <v>0</v>
      </c>
      <c r="N17" s="490">
        <f t="shared" si="1"/>
        <v>0</v>
      </c>
      <c r="O17" s="42" t="s">
        <v>0</v>
      </c>
      <c r="P17" s="1"/>
      <c r="Q17" s="1"/>
      <c r="R17" s="1"/>
      <c r="S17" s="1"/>
      <c r="T17" s="1"/>
      <c r="U17" s="1"/>
    </row>
    <row r="18" spans="1:21">
      <c r="A18" s="952" t="s">
        <v>370</v>
      </c>
      <c r="B18" s="953"/>
      <c r="C18" s="488">
        <v>0</v>
      </c>
      <c r="D18" s="489">
        <v>0</v>
      </c>
      <c r="E18" s="490">
        <v>2346</v>
      </c>
      <c r="F18" s="488">
        <v>0</v>
      </c>
      <c r="G18" s="489">
        <v>0</v>
      </c>
      <c r="H18" s="490">
        <v>2354</v>
      </c>
      <c r="I18" s="488">
        <v>0</v>
      </c>
      <c r="J18" s="489">
        <v>0</v>
      </c>
      <c r="K18" s="490">
        <v>2354</v>
      </c>
      <c r="L18" s="488">
        <f t="shared" si="0"/>
        <v>0</v>
      </c>
      <c r="M18" s="489">
        <f t="shared" si="0"/>
        <v>0</v>
      </c>
      <c r="N18" s="490">
        <f t="shared" si="1"/>
        <v>0</v>
      </c>
      <c r="O18" s="42" t="s">
        <v>0</v>
      </c>
      <c r="P18" s="1"/>
      <c r="Q18" s="1"/>
      <c r="R18" s="1"/>
      <c r="S18" s="1"/>
      <c r="T18" s="1"/>
      <c r="U18" s="1"/>
    </row>
    <row r="19" spans="1:21">
      <c r="A19" s="952" t="s">
        <v>371</v>
      </c>
      <c r="B19" s="953"/>
      <c r="C19" s="488">
        <v>0</v>
      </c>
      <c r="D19" s="489">
        <v>0</v>
      </c>
      <c r="E19" s="490">
        <f>1341794+36552+91+450</f>
        <v>1378887</v>
      </c>
      <c r="F19" s="488">
        <v>0</v>
      </c>
      <c r="G19" s="489">
        <v>0</v>
      </c>
      <c r="H19" s="490">
        <f>1341794+36552+91+450</f>
        <v>1378887</v>
      </c>
      <c r="I19" s="488">
        <v>0</v>
      </c>
      <c r="J19" s="489">
        <v>0</v>
      </c>
      <c r="K19" s="490">
        <f>1581709</f>
        <v>1581709</v>
      </c>
      <c r="L19" s="488">
        <f t="shared" si="0"/>
        <v>0</v>
      </c>
      <c r="M19" s="489">
        <f t="shared" si="0"/>
        <v>0</v>
      </c>
      <c r="N19" s="490">
        <f t="shared" si="1"/>
        <v>202822</v>
      </c>
      <c r="O19" s="42" t="s">
        <v>0</v>
      </c>
      <c r="P19" s="1"/>
      <c r="Q19" s="1"/>
      <c r="R19" s="1"/>
      <c r="S19" s="1"/>
      <c r="T19" s="1"/>
      <c r="U19" s="1"/>
    </row>
    <row r="20" spans="1:21">
      <c r="A20" s="952" t="s">
        <v>372</v>
      </c>
      <c r="B20" s="953"/>
      <c r="C20" s="488">
        <v>0</v>
      </c>
      <c r="D20" s="489">
        <v>0</v>
      </c>
      <c r="E20" s="490">
        <v>15</v>
      </c>
      <c r="F20" s="488">
        <v>0</v>
      </c>
      <c r="G20" s="489">
        <v>0</v>
      </c>
      <c r="H20" s="490">
        <v>15</v>
      </c>
      <c r="I20" s="488">
        <v>0</v>
      </c>
      <c r="J20" s="489">
        <v>0</v>
      </c>
      <c r="K20" s="490">
        <v>15</v>
      </c>
      <c r="L20" s="488">
        <f t="shared" si="0"/>
        <v>0</v>
      </c>
      <c r="M20" s="489">
        <f t="shared" si="0"/>
        <v>0</v>
      </c>
      <c r="N20" s="490">
        <f t="shared" si="1"/>
        <v>0</v>
      </c>
      <c r="O20" s="42" t="s">
        <v>0</v>
      </c>
      <c r="P20" s="1"/>
      <c r="Q20" s="1"/>
      <c r="R20" s="1"/>
      <c r="S20" s="1"/>
      <c r="T20" s="1"/>
      <c r="U20" s="1"/>
    </row>
    <row r="21" spans="1:21">
      <c r="A21" s="952" t="s">
        <v>373</v>
      </c>
      <c r="B21" s="953"/>
      <c r="C21" s="488">
        <v>0</v>
      </c>
      <c r="D21" s="489">
        <v>0</v>
      </c>
      <c r="E21" s="490">
        <v>0</v>
      </c>
      <c r="F21" s="488">
        <v>0</v>
      </c>
      <c r="G21" s="489">
        <v>0</v>
      </c>
      <c r="H21" s="490">
        <v>0</v>
      </c>
      <c r="I21" s="488">
        <v>0</v>
      </c>
      <c r="J21" s="489">
        <v>0</v>
      </c>
      <c r="K21" s="490">
        <v>0</v>
      </c>
      <c r="L21" s="488">
        <f t="shared" si="0"/>
        <v>0</v>
      </c>
      <c r="M21" s="489">
        <f t="shared" si="0"/>
        <v>0</v>
      </c>
      <c r="N21" s="490">
        <f t="shared" si="1"/>
        <v>0</v>
      </c>
      <c r="O21" s="42" t="s">
        <v>0</v>
      </c>
      <c r="P21" s="1"/>
      <c r="Q21" s="1"/>
      <c r="R21" s="1"/>
      <c r="S21" s="1"/>
      <c r="T21" s="1"/>
      <c r="U21" s="1"/>
    </row>
    <row r="22" spans="1:21">
      <c r="A22" s="952" t="s">
        <v>374</v>
      </c>
      <c r="B22" s="953"/>
      <c r="C22" s="488">
        <v>8</v>
      </c>
      <c r="D22" s="489">
        <v>8</v>
      </c>
      <c r="E22" s="490">
        <v>1882</v>
      </c>
      <c r="F22" s="488">
        <v>8</v>
      </c>
      <c r="G22" s="489">
        <v>8</v>
      </c>
      <c r="H22" s="490">
        <v>1900</v>
      </c>
      <c r="I22" s="488">
        <v>8</v>
      </c>
      <c r="J22" s="489">
        <v>8</v>
      </c>
      <c r="K22" s="490">
        <v>1900</v>
      </c>
      <c r="L22" s="488">
        <f t="shared" si="0"/>
        <v>0</v>
      </c>
      <c r="M22" s="489">
        <f t="shared" si="0"/>
        <v>0</v>
      </c>
      <c r="N22" s="490">
        <f t="shared" si="1"/>
        <v>0</v>
      </c>
      <c r="O22" s="42" t="s">
        <v>0</v>
      </c>
      <c r="P22" s="1"/>
      <c r="Q22" s="1"/>
      <c r="R22" s="1"/>
      <c r="S22" s="1"/>
      <c r="T22" s="1"/>
      <c r="U22" s="1"/>
    </row>
    <row r="23" spans="1:21">
      <c r="A23" s="952" t="s">
        <v>375</v>
      </c>
      <c r="B23" s="953"/>
      <c r="C23" s="488">
        <v>3</v>
      </c>
      <c r="D23" s="489">
        <v>3</v>
      </c>
      <c r="E23" s="490">
        <f>2382</f>
        <v>2382</v>
      </c>
      <c r="F23" s="488">
        <v>3</v>
      </c>
      <c r="G23" s="489">
        <v>3</v>
      </c>
      <c r="H23" s="490">
        <v>2800</v>
      </c>
      <c r="I23" s="488">
        <v>3</v>
      </c>
      <c r="J23" s="489">
        <v>3</v>
      </c>
      <c r="K23" s="490">
        <v>2800</v>
      </c>
      <c r="L23" s="488">
        <f t="shared" si="0"/>
        <v>0</v>
      </c>
      <c r="M23" s="489">
        <f t="shared" si="0"/>
        <v>0</v>
      </c>
      <c r="N23" s="490">
        <f t="shared" si="1"/>
        <v>0</v>
      </c>
      <c r="O23" s="42" t="s">
        <v>0</v>
      </c>
      <c r="P23" s="1"/>
      <c r="Q23" s="1"/>
      <c r="R23" s="1"/>
      <c r="S23" s="1"/>
      <c r="T23" s="1"/>
      <c r="U23" s="1"/>
    </row>
    <row r="24" spans="1:21">
      <c r="A24" s="952" t="s">
        <v>376</v>
      </c>
      <c r="B24" s="953"/>
      <c r="C24" s="488">
        <v>42</v>
      </c>
      <c r="D24" s="489">
        <v>42</v>
      </c>
      <c r="E24" s="490">
        <v>9355</v>
      </c>
      <c r="F24" s="488">
        <v>42</v>
      </c>
      <c r="G24" s="489">
        <v>42</v>
      </c>
      <c r="H24" s="490">
        <v>9553</v>
      </c>
      <c r="I24" s="488">
        <v>43</v>
      </c>
      <c r="J24" s="489">
        <v>43</v>
      </c>
      <c r="K24" s="490">
        <v>9553</v>
      </c>
      <c r="L24" s="488">
        <f t="shared" si="0"/>
        <v>1</v>
      </c>
      <c r="M24" s="489">
        <f t="shared" si="0"/>
        <v>1</v>
      </c>
      <c r="N24" s="490">
        <f t="shared" si="1"/>
        <v>0</v>
      </c>
      <c r="O24" s="42" t="s">
        <v>0</v>
      </c>
      <c r="P24" s="1"/>
      <c r="Q24" s="1"/>
      <c r="R24" s="1"/>
      <c r="S24" s="1"/>
      <c r="T24" s="1"/>
      <c r="U24" s="1"/>
    </row>
    <row r="25" spans="1:21">
      <c r="A25" s="952" t="s">
        <v>377</v>
      </c>
      <c r="B25" s="953"/>
      <c r="C25" s="488">
        <v>7</v>
      </c>
      <c r="D25" s="489">
        <v>7</v>
      </c>
      <c r="E25" s="490">
        <v>1000</v>
      </c>
      <c r="F25" s="488">
        <v>7</v>
      </c>
      <c r="G25" s="489">
        <v>7</v>
      </c>
      <c r="H25" s="490">
        <v>1000</v>
      </c>
      <c r="I25" s="488">
        <v>7</v>
      </c>
      <c r="J25" s="489">
        <v>7</v>
      </c>
      <c r="K25" s="490">
        <v>1000</v>
      </c>
      <c r="L25" s="488">
        <f t="shared" si="0"/>
        <v>0</v>
      </c>
      <c r="M25" s="489">
        <f t="shared" si="0"/>
        <v>0</v>
      </c>
      <c r="N25" s="490">
        <f t="shared" si="1"/>
        <v>0</v>
      </c>
      <c r="O25" s="42" t="s">
        <v>0</v>
      </c>
      <c r="P25" s="1"/>
      <c r="Q25" s="1"/>
      <c r="R25" s="1"/>
      <c r="S25" s="1"/>
      <c r="T25" s="1"/>
      <c r="U25" s="1"/>
    </row>
    <row r="26" spans="1:21">
      <c r="A26" s="952" t="s">
        <v>378</v>
      </c>
      <c r="B26" s="953"/>
      <c r="C26" s="488">
        <v>1</v>
      </c>
      <c r="D26" s="489">
        <v>1</v>
      </c>
      <c r="E26" s="490">
        <v>279</v>
      </c>
      <c r="F26" s="488">
        <v>1</v>
      </c>
      <c r="G26" s="489">
        <v>1</v>
      </c>
      <c r="H26" s="490">
        <v>0</v>
      </c>
      <c r="I26" s="488">
        <v>0</v>
      </c>
      <c r="J26" s="489">
        <v>0</v>
      </c>
      <c r="K26" s="490">
        <v>0</v>
      </c>
      <c r="L26" s="488">
        <f t="shared" si="0"/>
        <v>-1</v>
      </c>
      <c r="M26" s="489">
        <f t="shared" si="0"/>
        <v>-1</v>
      </c>
      <c r="N26" s="490">
        <f t="shared" si="1"/>
        <v>0</v>
      </c>
      <c r="O26" s="42" t="s">
        <v>0</v>
      </c>
      <c r="P26" s="1"/>
      <c r="Q26" s="1"/>
      <c r="R26" s="1"/>
      <c r="S26" s="1"/>
      <c r="T26" s="1"/>
      <c r="U26" s="1"/>
    </row>
    <row r="27" spans="1:21">
      <c r="A27" s="952" t="s">
        <v>379</v>
      </c>
      <c r="B27" s="953"/>
      <c r="C27" s="488">
        <v>34</v>
      </c>
      <c r="D27" s="489">
        <v>34</v>
      </c>
      <c r="E27" s="490">
        <v>8391</v>
      </c>
      <c r="F27" s="488">
        <v>34</v>
      </c>
      <c r="G27" s="489">
        <v>34</v>
      </c>
      <c r="H27" s="490">
        <v>9029</v>
      </c>
      <c r="I27" s="488">
        <v>36</v>
      </c>
      <c r="J27" s="489">
        <v>36</v>
      </c>
      <c r="K27" s="490">
        <v>9029</v>
      </c>
      <c r="L27" s="488">
        <f t="shared" si="0"/>
        <v>2</v>
      </c>
      <c r="M27" s="489">
        <f t="shared" si="0"/>
        <v>2</v>
      </c>
      <c r="N27" s="490">
        <f t="shared" si="1"/>
        <v>0</v>
      </c>
      <c r="O27" s="42" t="s">
        <v>0</v>
      </c>
      <c r="P27" s="1"/>
      <c r="Q27" s="1"/>
      <c r="R27" s="1"/>
      <c r="S27" s="1"/>
      <c r="T27" s="1"/>
      <c r="U27" s="1"/>
    </row>
    <row r="28" spans="1:21">
      <c r="A28" s="952" t="s">
        <v>380</v>
      </c>
      <c r="B28" s="953"/>
      <c r="C28" s="488">
        <v>0</v>
      </c>
      <c r="D28" s="489">
        <v>0</v>
      </c>
      <c r="E28" s="490">
        <v>0</v>
      </c>
      <c r="F28" s="488">
        <v>0</v>
      </c>
      <c r="G28" s="489">
        <v>0</v>
      </c>
      <c r="H28" s="490">
        <v>0</v>
      </c>
      <c r="I28" s="488">
        <v>0</v>
      </c>
      <c r="J28" s="489">
        <v>0</v>
      </c>
      <c r="K28" s="490">
        <v>0</v>
      </c>
      <c r="L28" s="488">
        <f t="shared" si="0"/>
        <v>0</v>
      </c>
      <c r="M28" s="489">
        <f t="shared" si="0"/>
        <v>0</v>
      </c>
      <c r="N28" s="490">
        <f t="shared" si="1"/>
        <v>0</v>
      </c>
      <c r="O28" s="42" t="s">
        <v>0</v>
      </c>
      <c r="P28" s="1"/>
      <c r="Q28" s="1"/>
      <c r="R28" s="1"/>
      <c r="S28" s="1"/>
      <c r="T28" s="1"/>
      <c r="U28" s="1"/>
    </row>
    <row r="29" spans="1:21">
      <c r="A29" s="952" t="s">
        <v>381</v>
      </c>
      <c r="B29" s="953"/>
      <c r="C29" s="491">
        <v>0</v>
      </c>
      <c r="D29" s="492">
        <v>0</v>
      </c>
      <c r="E29" s="493">
        <f>600+100+4+1000+5+461+290+1990+360</f>
        <v>4810</v>
      </c>
      <c r="F29" s="491">
        <v>0</v>
      </c>
      <c r="G29" s="492">
        <v>0</v>
      </c>
      <c r="H29" s="493">
        <f>600+100+1000+25+500+300+900</f>
        <v>3425</v>
      </c>
      <c r="I29" s="491">
        <v>0</v>
      </c>
      <c r="J29" s="492">
        <v>0</v>
      </c>
      <c r="K29" s="493">
        <f>600+100+1000+25+500+300+900</f>
        <v>3425</v>
      </c>
      <c r="L29" s="491">
        <f t="shared" si="0"/>
        <v>0</v>
      </c>
      <c r="M29" s="492">
        <f t="shared" si="0"/>
        <v>0</v>
      </c>
      <c r="N29" s="493">
        <f t="shared" si="1"/>
        <v>0</v>
      </c>
      <c r="O29" s="42" t="s">
        <v>0</v>
      </c>
      <c r="P29" s="9"/>
      <c r="Q29" s="9"/>
      <c r="R29" s="1"/>
      <c r="S29" s="1"/>
      <c r="T29" s="1"/>
      <c r="U29" s="1"/>
    </row>
    <row r="30" spans="1:21">
      <c r="A30" s="954"/>
      <c r="B30" s="955"/>
      <c r="C30" s="274"/>
      <c r="D30" s="275"/>
      <c r="E30" s="276"/>
      <c r="F30" s="274"/>
      <c r="G30" s="277"/>
      <c r="H30" s="277"/>
      <c r="I30" s="274"/>
      <c r="J30" s="277"/>
      <c r="K30" s="277"/>
      <c r="L30" s="274"/>
      <c r="M30" s="277"/>
      <c r="N30" s="276"/>
      <c r="O30" s="42" t="s">
        <v>0</v>
      </c>
      <c r="P30" s="1"/>
      <c r="Q30" s="1"/>
      <c r="R30" s="1"/>
      <c r="S30" s="1"/>
      <c r="T30" s="1"/>
      <c r="U30" s="1"/>
    </row>
    <row r="31" spans="1:21">
      <c r="A31" s="956" t="s">
        <v>284</v>
      </c>
      <c r="B31" s="957"/>
      <c r="C31" s="196">
        <f>SUM(C12:C30)</f>
        <v>355</v>
      </c>
      <c r="D31" s="197">
        <f t="shared" ref="D31:N31" si="2">SUM(D12:D30)</f>
        <v>355</v>
      </c>
      <c r="E31" s="200">
        <f t="shared" si="2"/>
        <v>1443717</v>
      </c>
      <c r="F31" s="196">
        <f t="shared" si="2"/>
        <v>355</v>
      </c>
      <c r="G31" s="197">
        <f t="shared" si="2"/>
        <v>355</v>
      </c>
      <c r="H31" s="198">
        <f>SUM(H12:H30)</f>
        <v>1460414</v>
      </c>
      <c r="I31" s="196">
        <f t="shared" si="2"/>
        <v>424</v>
      </c>
      <c r="J31" s="197">
        <f t="shared" si="2"/>
        <v>418</v>
      </c>
      <c r="K31" s="198">
        <f t="shared" si="2"/>
        <v>1658086</v>
      </c>
      <c r="L31" s="196">
        <f t="shared" si="2"/>
        <v>69</v>
      </c>
      <c r="M31" s="197">
        <f t="shared" si="2"/>
        <v>63</v>
      </c>
      <c r="N31" s="200">
        <f t="shared" si="2"/>
        <v>197672</v>
      </c>
      <c r="O31" s="42" t="s">
        <v>23</v>
      </c>
      <c r="P31" s="1"/>
      <c r="Q31" s="1"/>
      <c r="R31" s="1"/>
      <c r="S31" s="1"/>
      <c r="T31" s="1"/>
      <c r="U31" s="1"/>
    </row>
    <row r="32" spans="1:21" ht="31.5" customHeight="1">
      <c r="A32" s="960"/>
      <c r="B32" s="960"/>
      <c r="C32" s="960"/>
      <c r="D32" s="960"/>
      <c r="E32" s="960"/>
      <c r="F32" s="960"/>
      <c r="G32" s="960"/>
      <c r="H32" s="960"/>
      <c r="I32" s="960"/>
      <c r="J32" s="960"/>
      <c r="K32" s="960"/>
      <c r="L32" s="960"/>
      <c r="M32" s="960"/>
      <c r="N32" s="960"/>
      <c r="O32" s="713"/>
      <c r="P32" s="713"/>
      <c r="Q32" s="713"/>
      <c r="R32" s="713"/>
      <c r="S32" s="1"/>
      <c r="T32" s="1"/>
      <c r="U32" s="1"/>
    </row>
    <row r="33" spans="1:32">
      <c r="A33" s="210"/>
      <c r="B33" s="210"/>
      <c r="C33" s="211"/>
      <c r="D33" s="211"/>
      <c r="E33" s="212"/>
      <c r="F33" s="211"/>
      <c r="G33" s="211"/>
      <c r="H33" s="212"/>
      <c r="I33" s="211"/>
      <c r="J33" s="211"/>
      <c r="K33" s="212"/>
      <c r="L33" s="211"/>
      <c r="M33" s="211"/>
      <c r="N33" s="212"/>
      <c r="O33" s="42"/>
      <c r="P33" s="1"/>
      <c r="Q33" s="1"/>
      <c r="R33" s="1"/>
      <c r="S33" s="1"/>
      <c r="T33" s="1"/>
      <c r="U33" s="1"/>
    </row>
    <row r="34" spans="1:32">
      <c r="A34" s="958"/>
      <c r="B34" s="959"/>
      <c r="C34" s="959"/>
      <c r="D34" s="959"/>
      <c r="E34" s="959"/>
      <c r="F34" s="959"/>
      <c r="G34" s="959"/>
      <c r="H34" s="959"/>
      <c r="I34" s="959"/>
      <c r="J34" s="959"/>
      <c r="K34" s="959"/>
      <c r="L34" s="959"/>
      <c r="M34" s="959"/>
      <c r="N34" s="959"/>
      <c r="O34" s="42"/>
      <c r="P34" s="19"/>
      <c r="Q34" s="19"/>
      <c r="R34" s="19"/>
      <c r="S34" s="19"/>
      <c r="T34" s="19"/>
      <c r="U34" s="19"/>
      <c r="V34" s="19"/>
      <c r="W34" s="19"/>
      <c r="X34" s="19"/>
      <c r="Y34" s="19"/>
      <c r="Z34" s="19"/>
      <c r="AA34" s="19"/>
      <c r="AB34" s="19"/>
      <c r="AC34" s="19"/>
      <c r="AD34" s="19"/>
      <c r="AE34" s="19"/>
      <c r="AF34" s="19"/>
    </row>
  </sheetData>
  <customSheetViews>
    <customSheetView guid="{9A28834D-6BE2-4884-BE97-BE00946B08BB}" scale="75" showPageBreaks="1" showGridLines="0" outlineSymbols="0" fitToPage="1" printArea="1" view="pageBreakPreview">
      <selection activeCell="A2" sqref="A2:IV2"/>
      <pageMargins left="0.5" right="0.75" top="1" bottom="0.55000000000000004" header="0" footer="0.25"/>
      <printOptions horizontalCentered="1"/>
      <pageSetup scale="72" orientation="landscape" horizontalDpi="300" verticalDpi="300" r:id="rId1"/>
      <headerFooter alignWithMargins="0">
        <oddFooter>&amp;C&amp;"Times New Roman,Regular"Exhibit H - Summary of Reimbursable Resources</oddFooter>
      </headerFooter>
    </customSheetView>
  </customSheetViews>
  <mergeCells count="31">
    <mergeCell ref="A22:B22"/>
    <mergeCell ref="A23:B23"/>
    <mergeCell ref="A30:B30"/>
    <mergeCell ref="A31:B31"/>
    <mergeCell ref="A34:N34"/>
    <mergeCell ref="A24:B24"/>
    <mergeCell ref="A25:B25"/>
    <mergeCell ref="A26:B26"/>
    <mergeCell ref="A27:B27"/>
    <mergeCell ref="A28:B28"/>
    <mergeCell ref="A29:B29"/>
    <mergeCell ref="A32:N32"/>
    <mergeCell ref="A17:B17"/>
    <mergeCell ref="A18:B18"/>
    <mergeCell ref="A19:B19"/>
    <mergeCell ref="A20:B20"/>
    <mergeCell ref="A21:B21"/>
    <mergeCell ref="A12:B12"/>
    <mergeCell ref="A13:B13"/>
    <mergeCell ref="A14:B14"/>
    <mergeCell ref="A15:B15"/>
    <mergeCell ref="A16:B16"/>
    <mergeCell ref="A5:N5"/>
    <mergeCell ref="A6:N6"/>
    <mergeCell ref="A7:N7"/>
    <mergeCell ref="A8:N8"/>
    <mergeCell ref="A10:B11"/>
    <mergeCell ref="C10:E10"/>
    <mergeCell ref="F10:H10"/>
    <mergeCell ref="I10:K10"/>
    <mergeCell ref="L10:N10"/>
  </mergeCells>
  <printOptions horizontalCentered="1"/>
  <pageMargins left="0.5" right="0.75" top="1" bottom="0.55000000000000004" header="0" footer="0.25"/>
  <pageSetup scale="72" orientation="landscape" horizontalDpi="300" verticalDpi="300" r:id="rId2"/>
  <headerFooter alignWithMargins="0">
    <oddFooter>&amp;C&amp;"Times New Roman,Regular"Exhibit H - Summary of Reimbursable Resources</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L34"/>
  <sheetViews>
    <sheetView view="pageBreakPreview" zoomScale="75" zoomScaleNormal="75" workbookViewId="0">
      <pane xSplit="1" ySplit="11" topLeftCell="B12" activePane="bottomRight" state="frozen"/>
      <selection activeCell="O11" sqref="O11"/>
      <selection pane="topRight" activeCell="O11" sqref="O11"/>
      <selection pane="bottomLeft" activeCell="O11" sqref="O11"/>
      <selection pane="bottomRight" activeCell="B32" sqref="B32"/>
    </sheetView>
  </sheetViews>
  <sheetFormatPr defaultRowHeight="15"/>
  <cols>
    <col min="1" max="1" width="30.44140625" style="501" customWidth="1"/>
    <col min="2" max="2" width="10.77734375" style="501" customWidth="1"/>
    <col min="3" max="3" width="12.6640625" style="501" customWidth="1"/>
    <col min="4" max="4" width="10.88671875" style="501" customWidth="1"/>
    <col min="5" max="5" width="12.5546875" style="501" customWidth="1"/>
    <col min="6" max="6" width="9.77734375" style="501" customWidth="1"/>
    <col min="7" max="7" width="12" style="501" customWidth="1"/>
    <col min="8" max="8" width="9.77734375" style="501" hidden="1" customWidth="1"/>
    <col min="9" max="9" width="9.77734375" style="501" customWidth="1"/>
    <col min="10" max="10" width="10.33203125" style="501" customWidth="1"/>
    <col min="11" max="11" width="13" style="501" customWidth="1"/>
    <col min="12" max="12" width="1.109375" style="500" customWidth="1"/>
    <col min="13" max="16384" width="8.88671875" style="501"/>
  </cols>
  <sheetData>
    <row r="1" spans="1:12" ht="20.25">
      <c r="A1" s="965" t="s">
        <v>30</v>
      </c>
      <c r="B1" s="966"/>
      <c r="C1" s="966"/>
      <c r="D1" s="966"/>
      <c r="E1" s="966"/>
      <c r="F1" s="966"/>
      <c r="G1" s="966"/>
      <c r="H1" s="966"/>
      <c r="I1" s="966"/>
      <c r="J1" s="966"/>
      <c r="K1" s="966"/>
      <c r="L1" s="500" t="s">
        <v>0</v>
      </c>
    </row>
    <row r="2" spans="1:12" ht="20.25">
      <c r="A2" s="967"/>
      <c r="B2" s="967"/>
      <c r="C2" s="967"/>
      <c r="D2" s="967"/>
      <c r="E2" s="967"/>
      <c r="F2" s="967"/>
      <c r="G2" s="967"/>
      <c r="H2" s="967"/>
      <c r="I2" s="967"/>
      <c r="J2" s="967"/>
      <c r="K2" s="968"/>
      <c r="L2" s="500" t="s">
        <v>0</v>
      </c>
    </row>
    <row r="3" spans="1:12" ht="12.6" customHeight="1">
      <c r="A3" s="967"/>
      <c r="B3" s="967"/>
      <c r="C3" s="967"/>
      <c r="D3" s="967"/>
      <c r="E3" s="967"/>
      <c r="F3" s="967"/>
      <c r="G3" s="967"/>
      <c r="H3" s="967"/>
      <c r="I3" s="967"/>
      <c r="J3" s="967"/>
      <c r="K3" s="968"/>
      <c r="L3" s="500" t="s">
        <v>0</v>
      </c>
    </row>
    <row r="4" spans="1:12" ht="18.75">
      <c r="A4" s="969" t="s">
        <v>53</v>
      </c>
      <c r="B4" s="962"/>
      <c r="C4" s="962"/>
      <c r="D4" s="962"/>
      <c r="E4" s="962"/>
      <c r="F4" s="962"/>
      <c r="G4" s="962"/>
      <c r="H4" s="962"/>
      <c r="I4" s="962"/>
      <c r="J4" s="962"/>
      <c r="K4" s="962"/>
      <c r="L4" s="500" t="s">
        <v>0</v>
      </c>
    </row>
    <row r="5" spans="1:12" ht="16.5">
      <c r="A5" s="970" t="str">
        <f ca="1">+'B. Summary of Requirements_S&amp;E '!A5:X5</f>
        <v>United States Marshals Service</v>
      </c>
      <c r="B5" s="962"/>
      <c r="C5" s="962"/>
      <c r="D5" s="962"/>
      <c r="E5" s="962"/>
      <c r="F5" s="962"/>
      <c r="G5" s="962"/>
      <c r="H5" s="962"/>
      <c r="I5" s="962"/>
      <c r="J5" s="962"/>
      <c r="K5" s="962"/>
      <c r="L5" s="500" t="s">
        <v>0</v>
      </c>
    </row>
    <row r="6" spans="1:12" ht="16.5">
      <c r="A6" s="961" t="str">
        <f ca="1">+'B. Summary of Requirements_S&amp;E '!A6:X6</f>
        <v>Salaries and Expenses</v>
      </c>
      <c r="B6" s="962"/>
      <c r="C6" s="962"/>
      <c r="D6" s="962"/>
      <c r="E6" s="962"/>
      <c r="F6" s="962"/>
      <c r="G6" s="962"/>
      <c r="H6" s="962"/>
      <c r="I6" s="962"/>
      <c r="J6" s="962"/>
      <c r="K6" s="962"/>
      <c r="L6" s="500" t="s">
        <v>0</v>
      </c>
    </row>
    <row r="7" spans="1:12" ht="15.75">
      <c r="A7" s="963"/>
      <c r="B7" s="963"/>
      <c r="C7" s="963"/>
      <c r="D7" s="963"/>
      <c r="E7" s="963"/>
      <c r="F7" s="963"/>
      <c r="G7" s="963"/>
      <c r="H7" s="963"/>
      <c r="I7" s="963"/>
      <c r="J7" s="963"/>
      <c r="K7" s="963"/>
      <c r="L7" s="500" t="s">
        <v>0</v>
      </c>
    </row>
    <row r="8" spans="1:12">
      <c r="A8" s="964"/>
      <c r="B8" s="964"/>
      <c r="C8" s="964"/>
      <c r="D8" s="964"/>
      <c r="E8" s="964"/>
      <c r="F8" s="964"/>
      <c r="G8" s="964"/>
      <c r="H8" s="964"/>
      <c r="I8" s="964"/>
      <c r="J8" s="964"/>
      <c r="K8" s="964"/>
      <c r="L8" s="500" t="s">
        <v>0</v>
      </c>
    </row>
    <row r="9" spans="1:12" ht="40.5" customHeight="1">
      <c r="A9" s="978" t="s">
        <v>54</v>
      </c>
      <c r="B9" s="981" t="s">
        <v>45</v>
      </c>
      <c r="C9" s="982"/>
      <c r="D9" s="981" t="s">
        <v>333</v>
      </c>
      <c r="E9" s="982"/>
      <c r="F9" s="983" t="s">
        <v>44</v>
      </c>
      <c r="G9" s="984"/>
      <c r="H9" s="984"/>
      <c r="I9" s="984"/>
      <c r="J9" s="984"/>
      <c r="K9" s="985"/>
      <c r="L9" s="500" t="s">
        <v>0</v>
      </c>
    </row>
    <row r="10" spans="1:12">
      <c r="A10" s="979"/>
      <c r="B10" s="987" t="s">
        <v>26</v>
      </c>
      <c r="C10" s="989" t="s">
        <v>27</v>
      </c>
      <c r="D10" s="987" t="s">
        <v>26</v>
      </c>
      <c r="E10" s="989" t="s">
        <v>27</v>
      </c>
      <c r="F10" s="972" t="s">
        <v>13</v>
      </c>
      <c r="G10" s="974" t="s">
        <v>236</v>
      </c>
      <c r="H10" s="974" t="s">
        <v>24</v>
      </c>
      <c r="I10" s="974" t="s">
        <v>25</v>
      </c>
      <c r="J10" s="976" t="s">
        <v>26</v>
      </c>
      <c r="K10" s="972" t="s">
        <v>27</v>
      </c>
      <c r="L10" s="500" t="s">
        <v>0</v>
      </c>
    </row>
    <row r="11" spans="1:12" ht="27" customHeight="1">
      <c r="A11" s="980"/>
      <c r="B11" s="988"/>
      <c r="C11" s="990"/>
      <c r="D11" s="988"/>
      <c r="E11" s="990"/>
      <c r="F11" s="973"/>
      <c r="G11" s="975"/>
      <c r="H11" s="975"/>
      <c r="I11" s="975"/>
      <c r="J11" s="977"/>
      <c r="K11" s="986"/>
      <c r="L11" s="500" t="s">
        <v>0</v>
      </c>
    </row>
    <row r="12" spans="1:12">
      <c r="A12" s="502" t="s">
        <v>35</v>
      </c>
      <c r="B12" s="503">
        <v>19</v>
      </c>
      <c r="C12" s="503">
        <v>2</v>
      </c>
      <c r="D12" s="503">
        <v>19</v>
      </c>
      <c r="E12" s="503">
        <v>2</v>
      </c>
      <c r="F12" s="503">
        <v>0</v>
      </c>
      <c r="G12" s="503">
        <v>0</v>
      </c>
      <c r="H12" s="503">
        <v>0</v>
      </c>
      <c r="I12" s="503">
        <f t="shared" ref="I12:I29" si="0">G12+H12</f>
        <v>0</v>
      </c>
      <c r="J12" s="503">
        <f t="shared" ref="J12:J28" si="1">D12+F12+I12</f>
        <v>19</v>
      </c>
      <c r="K12" s="698">
        <v>2</v>
      </c>
      <c r="L12" s="500" t="s">
        <v>0</v>
      </c>
    </row>
    <row r="13" spans="1:12">
      <c r="A13" s="504" t="s">
        <v>291</v>
      </c>
      <c r="B13" s="503">
        <v>41</v>
      </c>
      <c r="C13" s="503">
        <v>0</v>
      </c>
      <c r="D13" s="503">
        <v>41</v>
      </c>
      <c r="E13" s="503">
        <v>0</v>
      </c>
      <c r="F13" s="503">
        <v>0</v>
      </c>
      <c r="G13" s="503">
        <v>0</v>
      </c>
      <c r="H13" s="503">
        <v>0</v>
      </c>
      <c r="I13" s="503">
        <f t="shared" si="0"/>
        <v>0</v>
      </c>
      <c r="J13" s="503">
        <f t="shared" si="1"/>
        <v>41</v>
      </c>
      <c r="K13" s="698">
        <v>0</v>
      </c>
      <c r="L13" s="500" t="s">
        <v>0</v>
      </c>
    </row>
    <row r="14" spans="1:12">
      <c r="A14" s="504" t="s">
        <v>292</v>
      </c>
      <c r="B14" s="503">
        <f>876+26</f>
        <v>902</v>
      </c>
      <c r="C14" s="503">
        <v>170</v>
      </c>
      <c r="D14" s="503">
        <f>902-26</f>
        <v>876</v>
      </c>
      <c r="E14" s="503">
        <v>170</v>
      </c>
      <c r="F14" s="503">
        <f>122-83</f>
        <v>39</v>
      </c>
      <c r="G14" s="503">
        <v>2</v>
      </c>
      <c r="H14" s="503">
        <v>0</v>
      </c>
      <c r="I14" s="503">
        <f t="shared" si="0"/>
        <v>2</v>
      </c>
      <c r="J14" s="503">
        <f t="shared" si="1"/>
        <v>917</v>
      </c>
      <c r="K14" s="698">
        <f>170+39</f>
        <v>209</v>
      </c>
      <c r="L14" s="500" t="s">
        <v>0</v>
      </c>
    </row>
    <row r="15" spans="1:12">
      <c r="A15" s="504" t="s">
        <v>293</v>
      </c>
      <c r="B15" s="503">
        <v>121</v>
      </c>
      <c r="C15" s="503">
        <v>10</v>
      </c>
      <c r="D15" s="503">
        <v>121</v>
      </c>
      <c r="E15" s="503">
        <v>10</v>
      </c>
      <c r="F15" s="503">
        <v>0</v>
      </c>
      <c r="G15" s="503">
        <v>0</v>
      </c>
      <c r="H15" s="503">
        <v>0</v>
      </c>
      <c r="I15" s="503">
        <f t="shared" si="0"/>
        <v>0</v>
      </c>
      <c r="J15" s="503">
        <f t="shared" si="1"/>
        <v>121</v>
      </c>
      <c r="K15" s="698">
        <v>10</v>
      </c>
      <c r="L15" s="500" t="s">
        <v>0</v>
      </c>
    </row>
    <row r="16" spans="1:12">
      <c r="A16" s="504" t="s">
        <v>99</v>
      </c>
      <c r="B16" s="503">
        <v>13</v>
      </c>
      <c r="C16" s="503">
        <v>1</v>
      </c>
      <c r="D16" s="503">
        <v>13</v>
      </c>
      <c r="E16" s="503">
        <v>1</v>
      </c>
      <c r="F16" s="503">
        <v>0</v>
      </c>
      <c r="G16" s="503">
        <v>0</v>
      </c>
      <c r="H16" s="503">
        <v>0</v>
      </c>
      <c r="I16" s="503">
        <f t="shared" si="0"/>
        <v>0</v>
      </c>
      <c r="J16" s="503">
        <f t="shared" si="1"/>
        <v>13</v>
      </c>
      <c r="K16" s="698">
        <v>1</v>
      </c>
      <c r="L16" s="500" t="s">
        <v>0</v>
      </c>
    </row>
    <row r="17" spans="1:12">
      <c r="A17" s="505" t="s">
        <v>100</v>
      </c>
      <c r="B17" s="503">
        <v>2</v>
      </c>
      <c r="C17" s="503">
        <v>0</v>
      </c>
      <c r="D17" s="503">
        <v>2</v>
      </c>
      <c r="E17" s="503">
        <v>0</v>
      </c>
      <c r="F17" s="503">
        <v>0</v>
      </c>
      <c r="G17" s="503">
        <v>0</v>
      </c>
      <c r="H17" s="503">
        <v>0</v>
      </c>
      <c r="I17" s="503">
        <f t="shared" si="0"/>
        <v>0</v>
      </c>
      <c r="J17" s="503">
        <f t="shared" si="1"/>
        <v>2</v>
      </c>
      <c r="K17" s="698">
        <v>0</v>
      </c>
      <c r="L17" s="500" t="s">
        <v>0</v>
      </c>
    </row>
    <row r="18" spans="1:12">
      <c r="A18" s="504" t="s">
        <v>101</v>
      </c>
      <c r="B18" s="503">
        <v>7</v>
      </c>
      <c r="C18" s="503">
        <v>0</v>
      </c>
      <c r="D18" s="503">
        <v>7</v>
      </c>
      <c r="E18" s="503">
        <v>0</v>
      </c>
      <c r="F18" s="503">
        <v>0</v>
      </c>
      <c r="G18" s="503">
        <v>0</v>
      </c>
      <c r="H18" s="503">
        <v>0</v>
      </c>
      <c r="I18" s="503">
        <f t="shared" si="0"/>
        <v>0</v>
      </c>
      <c r="J18" s="503">
        <f t="shared" si="1"/>
        <v>7</v>
      </c>
      <c r="K18" s="698">
        <v>0</v>
      </c>
      <c r="L18" s="500" t="s">
        <v>0</v>
      </c>
    </row>
    <row r="19" spans="1:12">
      <c r="A19" s="504" t="s">
        <v>102</v>
      </c>
      <c r="B19" s="503">
        <v>109</v>
      </c>
      <c r="C19" s="503">
        <v>19</v>
      </c>
      <c r="D19" s="503">
        <v>109</v>
      </c>
      <c r="E19" s="503">
        <v>19</v>
      </c>
      <c r="F19" s="503">
        <v>0</v>
      </c>
      <c r="G19" s="503">
        <v>0</v>
      </c>
      <c r="H19" s="503">
        <v>0</v>
      </c>
      <c r="I19" s="503">
        <f t="shared" si="0"/>
        <v>0</v>
      </c>
      <c r="J19" s="503">
        <f t="shared" si="1"/>
        <v>109</v>
      </c>
      <c r="K19" s="698">
        <v>19</v>
      </c>
      <c r="L19" s="500" t="s">
        <v>0</v>
      </c>
    </row>
    <row r="20" spans="1:12">
      <c r="A20" s="504" t="s">
        <v>103</v>
      </c>
      <c r="B20" s="503">
        <v>0</v>
      </c>
      <c r="C20" s="503">
        <v>0</v>
      </c>
      <c r="D20" s="503">
        <v>0</v>
      </c>
      <c r="E20" s="503">
        <v>0</v>
      </c>
      <c r="F20" s="503">
        <v>0</v>
      </c>
      <c r="G20" s="503">
        <v>0</v>
      </c>
      <c r="H20" s="503">
        <v>0</v>
      </c>
      <c r="I20" s="503">
        <f t="shared" si="0"/>
        <v>0</v>
      </c>
      <c r="J20" s="503">
        <f t="shared" si="1"/>
        <v>0</v>
      </c>
      <c r="K20" s="698">
        <v>0</v>
      </c>
      <c r="L20" s="500" t="s">
        <v>0</v>
      </c>
    </row>
    <row r="21" spans="1:12">
      <c r="A21" s="504" t="s">
        <v>104</v>
      </c>
      <c r="B21" s="503">
        <v>5</v>
      </c>
      <c r="C21" s="503">
        <v>0</v>
      </c>
      <c r="D21" s="503">
        <v>5</v>
      </c>
      <c r="E21" s="503">
        <v>0</v>
      </c>
      <c r="F21" s="503">
        <v>0</v>
      </c>
      <c r="G21" s="503">
        <v>0</v>
      </c>
      <c r="H21" s="503">
        <v>0</v>
      </c>
      <c r="I21" s="503">
        <f t="shared" si="0"/>
        <v>0</v>
      </c>
      <c r="J21" s="503">
        <f t="shared" si="1"/>
        <v>5</v>
      </c>
      <c r="K21" s="698">
        <v>0</v>
      </c>
      <c r="L21" s="500" t="s">
        <v>0</v>
      </c>
    </row>
    <row r="22" spans="1:12">
      <c r="A22" s="699" t="s">
        <v>36</v>
      </c>
      <c r="B22" s="503">
        <v>98</v>
      </c>
      <c r="C22" s="503">
        <v>0</v>
      </c>
      <c r="D22" s="503">
        <v>98</v>
      </c>
      <c r="E22" s="503">
        <v>0</v>
      </c>
      <c r="F22" s="503">
        <v>0</v>
      </c>
      <c r="G22" s="503">
        <v>0</v>
      </c>
      <c r="H22" s="503">
        <v>0</v>
      </c>
      <c r="I22" s="503">
        <f t="shared" si="0"/>
        <v>0</v>
      </c>
      <c r="J22" s="503">
        <f t="shared" si="1"/>
        <v>98</v>
      </c>
      <c r="K22" s="698">
        <v>0</v>
      </c>
      <c r="L22" s="500" t="s">
        <v>0</v>
      </c>
    </row>
    <row r="23" spans="1:12">
      <c r="A23" s="504" t="s">
        <v>37</v>
      </c>
      <c r="B23" s="503">
        <f>4134+96</f>
        <v>4230</v>
      </c>
      <c r="C23" s="503">
        <v>134</v>
      </c>
      <c r="D23" s="503">
        <f>4230-96</f>
        <v>4134</v>
      </c>
      <c r="E23" s="503">
        <v>134</v>
      </c>
      <c r="F23" s="503">
        <v>83</v>
      </c>
      <c r="G23" s="503">
        <v>6</v>
      </c>
      <c r="H23" s="503">
        <v>0</v>
      </c>
      <c r="I23" s="503">
        <f t="shared" si="0"/>
        <v>6</v>
      </c>
      <c r="J23" s="503">
        <f t="shared" si="1"/>
        <v>4223</v>
      </c>
      <c r="K23" s="698">
        <f>134+30</f>
        <v>164</v>
      </c>
      <c r="L23" s="500" t="s">
        <v>0</v>
      </c>
    </row>
    <row r="24" spans="1:12">
      <c r="A24" s="504" t="s">
        <v>105</v>
      </c>
      <c r="B24" s="503">
        <v>1</v>
      </c>
      <c r="C24" s="503">
        <v>0</v>
      </c>
      <c r="D24" s="503">
        <v>1</v>
      </c>
      <c r="E24" s="503">
        <v>0</v>
      </c>
      <c r="F24" s="503">
        <v>0</v>
      </c>
      <c r="G24" s="503">
        <v>0</v>
      </c>
      <c r="H24" s="503">
        <v>0</v>
      </c>
      <c r="I24" s="503">
        <f t="shared" si="0"/>
        <v>0</v>
      </c>
      <c r="J24" s="503">
        <f t="shared" si="1"/>
        <v>1</v>
      </c>
      <c r="K24" s="698">
        <v>0</v>
      </c>
      <c r="L24" s="500" t="s">
        <v>0</v>
      </c>
    </row>
    <row r="25" spans="1:12">
      <c r="A25" s="504" t="s">
        <v>107</v>
      </c>
      <c r="B25" s="503">
        <v>6</v>
      </c>
      <c r="C25" s="503">
        <v>0</v>
      </c>
      <c r="D25" s="503">
        <v>6</v>
      </c>
      <c r="E25" s="503">
        <v>0</v>
      </c>
      <c r="F25" s="503">
        <v>0</v>
      </c>
      <c r="G25" s="503">
        <v>0</v>
      </c>
      <c r="H25" s="503">
        <v>0</v>
      </c>
      <c r="I25" s="503">
        <f t="shared" si="0"/>
        <v>0</v>
      </c>
      <c r="J25" s="503">
        <f t="shared" si="1"/>
        <v>6</v>
      </c>
      <c r="K25" s="698">
        <v>0</v>
      </c>
      <c r="L25" s="500" t="s">
        <v>0</v>
      </c>
    </row>
    <row r="26" spans="1:12">
      <c r="A26" s="504" t="s">
        <v>230</v>
      </c>
      <c r="B26" s="503">
        <v>82</v>
      </c>
      <c r="C26" s="503">
        <v>1</v>
      </c>
      <c r="D26" s="503">
        <v>82</v>
      </c>
      <c r="E26" s="503">
        <v>1</v>
      </c>
      <c r="F26" s="503">
        <v>0</v>
      </c>
      <c r="G26" s="503">
        <v>0</v>
      </c>
      <c r="H26" s="503">
        <v>0</v>
      </c>
      <c r="I26" s="503">
        <f t="shared" si="0"/>
        <v>0</v>
      </c>
      <c r="J26" s="503">
        <f t="shared" si="1"/>
        <v>82</v>
      </c>
      <c r="K26" s="698">
        <v>1</v>
      </c>
      <c r="L26" s="500" t="s">
        <v>0</v>
      </c>
    </row>
    <row r="27" spans="1:12">
      <c r="A27" s="504" t="s">
        <v>106</v>
      </c>
      <c r="B27" s="503">
        <v>21</v>
      </c>
      <c r="C27" s="503">
        <v>18</v>
      </c>
      <c r="D27" s="503">
        <v>21</v>
      </c>
      <c r="E27" s="503">
        <v>18</v>
      </c>
      <c r="F27" s="503">
        <v>0</v>
      </c>
      <c r="G27" s="503">
        <v>0</v>
      </c>
      <c r="H27" s="503">
        <v>0</v>
      </c>
      <c r="I27" s="503">
        <f t="shared" si="0"/>
        <v>0</v>
      </c>
      <c r="J27" s="503">
        <f t="shared" si="1"/>
        <v>21</v>
      </c>
      <c r="K27" s="698">
        <v>18</v>
      </c>
      <c r="L27" s="500" t="s">
        <v>0</v>
      </c>
    </row>
    <row r="28" spans="1:12">
      <c r="A28" s="506" t="s">
        <v>108</v>
      </c>
      <c r="B28" s="503">
        <v>9</v>
      </c>
      <c r="C28" s="503">
        <v>0</v>
      </c>
      <c r="D28" s="503">
        <v>9</v>
      </c>
      <c r="E28" s="503">
        <v>0</v>
      </c>
      <c r="F28" s="503">
        <v>0</v>
      </c>
      <c r="G28" s="503">
        <v>0</v>
      </c>
      <c r="H28" s="503">
        <v>0</v>
      </c>
      <c r="I28" s="503">
        <f t="shared" si="0"/>
        <v>0</v>
      </c>
      <c r="J28" s="503">
        <f t="shared" si="1"/>
        <v>9</v>
      </c>
      <c r="K28" s="698">
        <v>0</v>
      </c>
      <c r="L28" s="500" t="s">
        <v>0</v>
      </c>
    </row>
    <row r="29" spans="1:12" ht="15.75" thickBot="1">
      <c r="A29" s="507" t="s">
        <v>48</v>
      </c>
      <c r="B29" s="508">
        <f t="shared" ref="B29:G29" si="2">SUM(B12:B28)</f>
        <v>5666</v>
      </c>
      <c r="C29" s="508">
        <f t="shared" si="2"/>
        <v>355</v>
      </c>
      <c r="D29" s="508">
        <f t="shared" si="2"/>
        <v>5544</v>
      </c>
      <c r="E29" s="508">
        <f t="shared" si="2"/>
        <v>355</v>
      </c>
      <c r="F29" s="508">
        <f t="shared" si="2"/>
        <v>122</v>
      </c>
      <c r="G29" s="508">
        <f t="shared" si="2"/>
        <v>8</v>
      </c>
      <c r="H29" s="508">
        <f>SUM(H12:H28)</f>
        <v>0</v>
      </c>
      <c r="I29" s="509">
        <f t="shared" si="0"/>
        <v>8</v>
      </c>
      <c r="J29" s="508">
        <f>SUM(J12:J28)</f>
        <v>5674</v>
      </c>
      <c r="K29" s="510">
        <f>SUM(K12:K28)</f>
        <v>424</v>
      </c>
      <c r="L29" s="511" t="s">
        <v>0</v>
      </c>
    </row>
    <row r="30" spans="1:12">
      <c r="A30" s="512" t="s">
        <v>275</v>
      </c>
      <c r="B30" s="513">
        <f>492+26</f>
        <v>518</v>
      </c>
      <c r="C30" s="514">
        <v>134</v>
      </c>
      <c r="D30" s="513">
        <v>492</v>
      </c>
      <c r="E30" s="514">
        <v>134</v>
      </c>
      <c r="F30" s="514">
        <v>39</v>
      </c>
      <c r="G30" s="514">
        <v>8</v>
      </c>
      <c r="H30" s="513">
        <v>0</v>
      </c>
      <c r="I30" s="515">
        <f>G30+H30</f>
        <v>8</v>
      </c>
      <c r="J30" s="516">
        <f>D30+F30+I30</f>
        <v>539</v>
      </c>
      <c r="K30" s="700">
        <f>134+12+2</f>
        <v>148</v>
      </c>
      <c r="L30" s="500" t="s">
        <v>0</v>
      </c>
    </row>
    <row r="31" spans="1:12">
      <c r="A31" s="517" t="s">
        <v>294</v>
      </c>
      <c r="B31" s="518">
        <f>5039+79+7</f>
        <v>5125</v>
      </c>
      <c r="C31" s="519">
        <v>221</v>
      </c>
      <c r="D31" s="518">
        <v>5039</v>
      </c>
      <c r="E31" s="519">
        <v>221</v>
      </c>
      <c r="F31" s="519">
        <v>73</v>
      </c>
      <c r="G31" s="519">
        <v>0</v>
      </c>
      <c r="H31" s="518">
        <v>0</v>
      </c>
      <c r="I31" s="520">
        <f>G31+H31</f>
        <v>0</v>
      </c>
      <c r="J31" s="521">
        <f>D31+F31+I31</f>
        <v>5112</v>
      </c>
      <c r="K31" s="701">
        <f>221+29+26</f>
        <v>276</v>
      </c>
      <c r="L31" s="500" t="s">
        <v>0</v>
      </c>
    </row>
    <row r="32" spans="1:12">
      <c r="A32" s="522" t="s">
        <v>295</v>
      </c>
      <c r="B32" s="523">
        <f>13+10</f>
        <v>23</v>
      </c>
      <c r="C32" s="524">
        <v>0</v>
      </c>
      <c r="D32" s="523">
        <v>13</v>
      </c>
      <c r="E32" s="524">
        <v>0</v>
      </c>
      <c r="F32" s="524">
        <v>10</v>
      </c>
      <c r="G32" s="524">
        <v>0</v>
      </c>
      <c r="H32" s="525">
        <v>0</v>
      </c>
      <c r="I32" s="526">
        <f>G32+H32</f>
        <v>0</v>
      </c>
      <c r="J32" s="527">
        <f>D32+F32+I32</f>
        <v>23</v>
      </c>
      <c r="K32" s="702">
        <v>0</v>
      </c>
      <c r="L32" s="500" t="s">
        <v>0</v>
      </c>
    </row>
    <row r="33" spans="1:12" s="532" customFormat="1">
      <c r="A33" s="528" t="s">
        <v>48</v>
      </c>
      <c r="B33" s="529">
        <f>SUM(B30:B32)</f>
        <v>5666</v>
      </c>
      <c r="C33" s="530">
        <f t="shared" ref="C33:J33" si="3">SUM(C30:C32)</f>
        <v>355</v>
      </c>
      <c r="D33" s="530">
        <f t="shared" si="3"/>
        <v>5544</v>
      </c>
      <c r="E33" s="530">
        <f t="shared" si="3"/>
        <v>355</v>
      </c>
      <c r="F33" s="530">
        <f t="shared" si="3"/>
        <v>122</v>
      </c>
      <c r="G33" s="530">
        <f t="shared" si="3"/>
        <v>8</v>
      </c>
      <c r="H33" s="529">
        <f t="shared" si="3"/>
        <v>0</v>
      </c>
      <c r="I33" s="529">
        <f>SUM(I30:I32)</f>
        <v>8</v>
      </c>
      <c r="J33" s="529">
        <f t="shared" si="3"/>
        <v>5674</v>
      </c>
      <c r="K33" s="531">
        <f>SUM(K30:K32)</f>
        <v>424</v>
      </c>
      <c r="L33" s="500" t="s">
        <v>23</v>
      </c>
    </row>
    <row r="34" spans="1:12" s="532" customFormat="1">
      <c r="A34" s="971"/>
      <c r="B34" s="971"/>
      <c r="C34" s="971"/>
      <c r="D34" s="971"/>
      <c r="E34" s="971"/>
      <c r="F34" s="971"/>
      <c r="G34" s="971"/>
      <c r="H34" s="971"/>
      <c r="I34" s="971"/>
      <c r="J34" s="971"/>
      <c r="K34" s="971"/>
      <c r="L34" s="500"/>
    </row>
  </sheetData>
  <customSheetViews>
    <customSheetView guid="{9A28834D-6BE2-4884-BE97-BE00946B08BB}" scale="75" showPageBreaks="1" fitToPage="1" printArea="1" hiddenColumns="1" view="pageBreakPreview">
      <pane xSplit="1" ySplit="11" topLeftCell="B12" activePane="bottomRight" state="frozen"/>
      <selection pane="bottomRight" activeCell="A9" sqref="A9:K33"/>
      <pageMargins left="0.75" right="0.75" top="1" bottom="1" header="0.5" footer="0.5"/>
      <printOptions horizontalCentered="1"/>
      <pageSetup scale="76" orientation="landscape" r:id="rId1"/>
      <headerFooter alignWithMargins="0">
        <oddFooter>&amp;C&amp;"Times New Roman,Regular"Exhibit I - Detail of Permanent Positions by Category</oddFooter>
      </headerFooter>
    </customSheetView>
  </customSheetViews>
  <mergeCells count="23">
    <mergeCell ref="A34:K34"/>
    <mergeCell ref="F10:F11"/>
    <mergeCell ref="G10:G11"/>
    <mergeCell ref="H10:H11"/>
    <mergeCell ref="I10:I11"/>
    <mergeCell ref="J10:J11"/>
    <mergeCell ref="A9:A11"/>
    <mergeCell ref="B9:C9"/>
    <mergeCell ref="D9:E9"/>
    <mergeCell ref="F9:K9"/>
    <mergeCell ref="K10:K11"/>
    <mergeCell ref="B10:B11"/>
    <mergeCell ref="C10:C11"/>
    <mergeCell ref="D10:D11"/>
    <mergeCell ref="E10:E11"/>
    <mergeCell ref="A6:K6"/>
    <mergeCell ref="A7:K7"/>
    <mergeCell ref="A8:K8"/>
    <mergeCell ref="A1:K1"/>
    <mergeCell ref="A2:K2"/>
    <mergeCell ref="A3:K3"/>
    <mergeCell ref="A4:K4"/>
    <mergeCell ref="A5:K5"/>
  </mergeCells>
  <printOptions horizontalCentered="1"/>
  <pageMargins left="0.75" right="0.75" top="1" bottom="1" header="0.5" footer="0.5"/>
  <pageSetup scale="76" orientation="landscape" r:id="rId2"/>
  <headerFooter alignWithMargins="0">
    <oddFooter>&amp;C&amp;"Times New Roman,Regular"Exhibit I - Detail of Permanent Positions by Category</oddFooter>
  </headerFooter>
</worksheet>
</file>

<file path=xl/worksheets/sheet13.xml><?xml version="1.0" encoding="utf-8"?>
<worksheet xmlns="http://schemas.openxmlformats.org/spreadsheetml/2006/main" xmlns:r="http://schemas.openxmlformats.org/officeDocument/2006/relationships">
  <sheetPr codeName="Sheet15">
    <pageSetUpPr fitToPage="1"/>
  </sheetPr>
  <dimension ref="A1:CZ47"/>
  <sheetViews>
    <sheetView view="pageBreakPreview" zoomScaleNormal="70" zoomScaleSheetLayoutView="100" workbookViewId="0">
      <pane xSplit="1" ySplit="12" topLeftCell="C13" activePane="bottomRight" state="frozen"/>
      <selection activeCell="A46" sqref="A46"/>
      <selection pane="topRight" activeCell="A46" sqref="A46"/>
      <selection pane="bottomLeft" activeCell="A46" sqref="A46"/>
      <selection pane="bottomRight" activeCell="C13" sqref="C13"/>
    </sheetView>
  </sheetViews>
  <sheetFormatPr defaultRowHeight="15"/>
  <cols>
    <col min="1" max="1" width="33.44140625" customWidth="1"/>
    <col min="2" max="2" width="0.33203125" hidden="1" customWidth="1"/>
    <col min="3" max="3" width="13" customWidth="1"/>
    <col min="4" max="4" width="7.21875" hidden="1" customWidth="1"/>
    <col min="5" max="5" width="9.21875" customWidth="1"/>
    <col min="6" max="6" width="5.88671875" hidden="1" customWidth="1"/>
    <col min="7" max="7" width="8.6640625" customWidth="1"/>
    <col min="8" max="8" width="4.77734375" hidden="1" customWidth="1"/>
    <col min="9" max="9" width="8.33203125" customWidth="1"/>
    <col min="10" max="10" width="5.44140625" customWidth="1"/>
    <col min="11" max="11" width="7.109375" customWidth="1"/>
    <col min="12" max="12" width="0.33203125" hidden="1" customWidth="1"/>
    <col min="13" max="13" width="6.88671875" customWidth="1"/>
    <col min="14" max="14" width="0.109375" hidden="1" customWidth="1"/>
    <col min="16" max="16" width="0.21875" hidden="1" customWidth="1"/>
    <col min="17" max="17" width="8.77734375" customWidth="1"/>
    <col min="18" max="18" width="8.77734375" hidden="1" customWidth="1"/>
    <col min="19" max="19" width="8.77734375" customWidth="1"/>
    <col min="20" max="20" width="0.44140625" hidden="1" customWidth="1"/>
    <col min="21" max="21" width="6.21875" customWidth="1"/>
    <col min="22" max="22" width="0.21875" hidden="1" customWidth="1"/>
    <col min="23" max="23" width="7.77734375" customWidth="1"/>
    <col min="24" max="24" width="0.33203125" hidden="1" customWidth="1"/>
    <col min="25" max="25" width="8.88671875" customWidth="1"/>
    <col min="26" max="26" width="7.77734375" hidden="1" customWidth="1"/>
    <col min="27" max="27" width="6.33203125" customWidth="1"/>
    <col min="28" max="28" width="0.33203125" hidden="1" customWidth="1"/>
    <col min="30" max="30" width="4.44140625" hidden="1" customWidth="1"/>
    <col min="32" max="32" width="0.109375" hidden="1" customWidth="1"/>
    <col min="33" max="33" width="6.109375" customWidth="1"/>
    <col min="34" max="34" width="0.109375" hidden="1" customWidth="1"/>
    <col min="35" max="35" width="8.88671875" customWidth="1"/>
    <col min="36" max="36" width="6.33203125" hidden="1" customWidth="1"/>
    <col min="38" max="38" width="5.109375" customWidth="1"/>
    <col min="39" max="39" width="9.109375" customWidth="1"/>
    <col min="40" max="40" width="0.6640625" style="46" customWidth="1"/>
  </cols>
  <sheetData>
    <row r="1" spans="1:104" ht="20.25">
      <c r="A1" s="96" t="s">
        <v>29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399"/>
      <c r="AN1" s="44" t="s">
        <v>0</v>
      </c>
    </row>
    <row r="2" spans="1:104" ht="20.25">
      <c r="A2" s="96"/>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399"/>
      <c r="AN2" s="44"/>
    </row>
    <row r="3" spans="1:104" ht="20.25">
      <c r="A3" s="96"/>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399"/>
      <c r="AN3" s="44"/>
    </row>
    <row r="4" spans="1:104" ht="13.15" customHeight="1">
      <c r="A4" s="1008"/>
      <c r="B4" s="1008"/>
      <c r="C4" s="1008"/>
      <c r="D4" s="1008"/>
      <c r="E4" s="1008"/>
      <c r="F4" s="1008"/>
      <c r="G4" s="1008"/>
      <c r="H4" s="1008"/>
      <c r="I4" s="1008"/>
      <c r="J4" s="1008"/>
      <c r="K4" s="1008"/>
      <c r="L4" s="1008"/>
      <c r="M4" s="1008"/>
      <c r="N4" s="1008"/>
      <c r="O4" s="1008"/>
      <c r="P4" s="1008"/>
      <c r="Q4" s="1008"/>
      <c r="R4" s="1008"/>
      <c r="S4" s="1008"/>
      <c r="T4" s="1008"/>
      <c r="U4" s="1008"/>
      <c r="V4" s="1008"/>
      <c r="W4" s="1008"/>
      <c r="X4" s="1008"/>
      <c r="Y4" s="1008"/>
      <c r="Z4" s="1008"/>
      <c r="AA4" s="1008"/>
      <c r="AB4" s="1008"/>
      <c r="AC4" s="1008"/>
      <c r="AD4" s="1008"/>
      <c r="AE4" s="1008"/>
      <c r="AF4" s="1008"/>
      <c r="AG4" s="1008"/>
      <c r="AH4" s="1008"/>
      <c r="AI4" s="1008"/>
      <c r="AJ4" s="1008"/>
      <c r="AK4" s="1008"/>
      <c r="AL4" s="1008"/>
      <c r="AM4" s="1008"/>
      <c r="AN4" s="44" t="s">
        <v>0</v>
      </c>
    </row>
    <row r="5" spans="1:104" ht="18.75">
      <c r="A5" s="939" t="s">
        <v>4</v>
      </c>
      <c r="B5" s="939"/>
      <c r="C5" s="939"/>
      <c r="D5" s="939"/>
      <c r="E5" s="939"/>
      <c r="F5" s="939"/>
      <c r="G5" s="939"/>
      <c r="H5" s="939"/>
      <c r="I5" s="939"/>
      <c r="J5" s="939"/>
      <c r="K5" s="939"/>
      <c r="L5" s="939"/>
      <c r="M5" s="939"/>
      <c r="N5" s="939"/>
      <c r="O5" s="939"/>
      <c r="P5" s="939"/>
      <c r="Q5" s="939"/>
      <c r="R5" s="939"/>
      <c r="S5" s="939"/>
      <c r="T5" s="939"/>
      <c r="U5" s="939"/>
      <c r="V5" s="939"/>
      <c r="W5" s="939"/>
      <c r="X5" s="939"/>
      <c r="Y5" s="939"/>
      <c r="Z5" s="939"/>
      <c r="AA5" s="939"/>
      <c r="AB5" s="939"/>
      <c r="AC5" s="939"/>
      <c r="AD5" s="939"/>
      <c r="AE5" s="939"/>
      <c r="AF5" s="939"/>
      <c r="AG5" s="939"/>
      <c r="AH5" s="939"/>
      <c r="AI5" s="939"/>
      <c r="AJ5" s="939"/>
      <c r="AK5" s="939"/>
      <c r="AL5" s="939"/>
      <c r="AM5" s="939"/>
      <c r="AN5" s="44" t="s">
        <v>0</v>
      </c>
    </row>
    <row r="6" spans="1:104" ht="16.5">
      <c r="A6" s="941" t="str">
        <f ca="1">+'B. Summary of Requirements_S&amp;E '!A5:X5</f>
        <v>United States Marshals Service</v>
      </c>
      <c r="B6" s="941"/>
      <c r="C6" s="941"/>
      <c r="D6" s="941"/>
      <c r="E6" s="941"/>
      <c r="F6" s="941"/>
      <c r="G6" s="941"/>
      <c r="H6" s="941"/>
      <c r="I6" s="941"/>
      <c r="J6" s="941"/>
      <c r="K6" s="941"/>
      <c r="L6" s="941"/>
      <c r="M6" s="941"/>
      <c r="N6" s="941"/>
      <c r="O6" s="941"/>
      <c r="P6" s="941"/>
      <c r="Q6" s="941"/>
      <c r="R6" s="941"/>
      <c r="S6" s="941"/>
      <c r="T6" s="941"/>
      <c r="U6" s="941"/>
      <c r="V6" s="941"/>
      <c r="W6" s="941"/>
      <c r="X6" s="941"/>
      <c r="Y6" s="941"/>
      <c r="Z6" s="941"/>
      <c r="AA6" s="941"/>
      <c r="AB6" s="941"/>
      <c r="AC6" s="941"/>
      <c r="AD6" s="941"/>
      <c r="AE6" s="941"/>
      <c r="AF6" s="941"/>
      <c r="AG6" s="941"/>
      <c r="AH6" s="941"/>
      <c r="AI6" s="941"/>
      <c r="AJ6" s="941"/>
      <c r="AK6" s="941"/>
      <c r="AL6" s="941"/>
      <c r="AM6" s="941"/>
      <c r="AN6" s="44" t="s">
        <v>0</v>
      </c>
    </row>
    <row r="7" spans="1:104" ht="16.5">
      <c r="A7" s="941" t="str">
        <f ca="1">+'B. Summary of Requirements_S&amp;E '!A6:X6</f>
        <v>Salaries and Expenses</v>
      </c>
      <c r="B7" s="941"/>
      <c r="C7" s="941"/>
      <c r="D7" s="941"/>
      <c r="E7" s="941"/>
      <c r="F7" s="941"/>
      <c r="G7" s="941"/>
      <c r="H7" s="941"/>
      <c r="I7" s="941"/>
      <c r="J7" s="941"/>
      <c r="K7" s="941"/>
      <c r="L7" s="941"/>
      <c r="M7" s="941"/>
      <c r="N7" s="941"/>
      <c r="O7" s="941"/>
      <c r="P7" s="941"/>
      <c r="Q7" s="941"/>
      <c r="R7" s="941"/>
      <c r="S7" s="941"/>
      <c r="T7" s="941"/>
      <c r="U7" s="941"/>
      <c r="V7" s="941"/>
      <c r="W7" s="941"/>
      <c r="X7" s="941"/>
      <c r="Y7" s="941"/>
      <c r="Z7" s="941"/>
      <c r="AA7" s="941"/>
      <c r="AB7" s="941"/>
      <c r="AC7" s="941"/>
      <c r="AD7" s="941"/>
      <c r="AE7" s="941"/>
      <c r="AF7" s="941"/>
      <c r="AG7" s="941"/>
      <c r="AH7" s="941"/>
      <c r="AI7" s="941"/>
      <c r="AJ7" s="941"/>
      <c r="AK7" s="941"/>
      <c r="AL7" s="941"/>
      <c r="AM7" s="941"/>
      <c r="AN7" s="44" t="s">
        <v>0</v>
      </c>
    </row>
    <row r="8" spans="1:104">
      <c r="A8" s="943" t="s">
        <v>265</v>
      </c>
      <c r="B8" s="943"/>
      <c r="C8" s="943"/>
      <c r="D8" s="943"/>
      <c r="E8" s="943"/>
      <c r="F8" s="943"/>
      <c r="G8" s="943"/>
      <c r="H8" s="943"/>
      <c r="I8" s="943"/>
      <c r="J8" s="943"/>
      <c r="K8" s="943"/>
      <c r="L8" s="943"/>
      <c r="M8" s="943"/>
      <c r="N8" s="943"/>
      <c r="O8" s="943"/>
      <c r="P8" s="943"/>
      <c r="Q8" s="943"/>
      <c r="R8" s="943"/>
      <c r="S8" s="943"/>
      <c r="T8" s="943"/>
      <c r="U8" s="943"/>
      <c r="V8" s="943"/>
      <c r="W8" s="943"/>
      <c r="X8" s="943"/>
      <c r="Y8" s="943"/>
      <c r="Z8" s="943"/>
      <c r="AA8" s="943"/>
      <c r="AB8" s="943"/>
      <c r="AC8" s="943"/>
      <c r="AD8" s="943"/>
      <c r="AE8" s="943"/>
      <c r="AF8" s="943"/>
      <c r="AG8" s="943"/>
      <c r="AH8" s="943"/>
      <c r="AI8" s="943"/>
      <c r="AJ8" s="943"/>
      <c r="AK8" s="943"/>
      <c r="AL8" s="943"/>
      <c r="AM8" s="943"/>
      <c r="AN8" s="44" t="s">
        <v>0</v>
      </c>
    </row>
    <row r="9" spans="1:104">
      <c r="A9" s="1007"/>
      <c r="B9" s="1007"/>
      <c r="C9" s="1007"/>
      <c r="D9" s="1007"/>
      <c r="E9" s="1007"/>
      <c r="F9" s="1007"/>
      <c r="G9" s="1007"/>
      <c r="H9" s="1007"/>
      <c r="I9" s="1007"/>
      <c r="J9" s="1007"/>
      <c r="K9" s="1007"/>
      <c r="L9" s="1007"/>
      <c r="M9" s="1007"/>
      <c r="N9" s="1007"/>
      <c r="O9" s="1007"/>
      <c r="P9" s="1007"/>
      <c r="Q9" s="1007"/>
      <c r="R9" s="1007"/>
      <c r="S9" s="1007"/>
      <c r="T9" s="1007"/>
      <c r="U9" s="1007"/>
      <c r="V9" s="1007"/>
      <c r="W9" s="1007"/>
      <c r="X9" s="1007"/>
      <c r="Y9" s="1007"/>
      <c r="Z9" s="1007"/>
      <c r="AA9" s="1007"/>
      <c r="AB9" s="1007"/>
      <c r="AC9" s="1007"/>
      <c r="AD9" s="1007"/>
      <c r="AE9" s="1007"/>
      <c r="AF9" s="1007"/>
      <c r="AG9" s="1007"/>
      <c r="AH9" s="1007"/>
      <c r="AI9" s="1007"/>
      <c r="AJ9" s="1007"/>
      <c r="AK9" s="1007"/>
      <c r="AL9" s="1007"/>
      <c r="AM9" s="1007"/>
      <c r="AN9" s="44" t="s">
        <v>0</v>
      </c>
      <c r="AR9" s="15"/>
      <c r="AS9" s="15"/>
      <c r="AT9" s="15"/>
      <c r="AU9" s="15"/>
      <c r="AV9" s="15"/>
      <c r="AW9" s="15"/>
      <c r="AX9" s="15"/>
      <c r="AY9" s="15"/>
      <c r="AZ9" s="15"/>
      <c r="BA9" s="15"/>
    </row>
    <row r="10" spans="1:104" ht="48" customHeight="1">
      <c r="A10" s="991" t="s">
        <v>264</v>
      </c>
      <c r="B10" s="494" t="s">
        <v>358</v>
      </c>
      <c r="C10" s="994" t="s">
        <v>362</v>
      </c>
      <c r="D10" s="996"/>
      <c r="E10" s="996"/>
      <c r="F10" s="996"/>
      <c r="G10" s="996"/>
      <c r="H10" s="996"/>
      <c r="I10" s="995"/>
      <c r="J10" s="994" t="s">
        <v>347</v>
      </c>
      <c r="K10" s="996"/>
      <c r="L10" s="996"/>
      <c r="M10" s="996"/>
      <c r="N10" s="996"/>
      <c r="O10" s="996"/>
      <c r="P10" s="996"/>
      <c r="Q10" s="996"/>
      <c r="R10" s="996"/>
      <c r="S10" s="995"/>
      <c r="T10" s="994" t="s">
        <v>359</v>
      </c>
      <c r="U10" s="996"/>
      <c r="V10" s="996"/>
      <c r="W10" s="996"/>
      <c r="X10" s="996"/>
      <c r="Y10" s="995"/>
      <c r="Z10" s="1000" t="s">
        <v>349</v>
      </c>
      <c r="AA10" s="1001"/>
      <c r="AB10" s="1001"/>
      <c r="AC10" s="1001"/>
      <c r="AD10" s="1001"/>
      <c r="AE10" s="1002"/>
      <c r="AF10" s="994" t="s">
        <v>350</v>
      </c>
      <c r="AG10" s="996"/>
      <c r="AH10" s="996"/>
      <c r="AI10" s="996"/>
      <c r="AJ10" s="996"/>
      <c r="AK10" s="997"/>
      <c r="AL10" s="1003" t="s">
        <v>96</v>
      </c>
      <c r="AM10" s="1004"/>
      <c r="AN10" s="44" t="s">
        <v>0</v>
      </c>
      <c r="AR10" s="15"/>
      <c r="AS10" s="15"/>
      <c r="AT10" s="998"/>
      <c r="AU10" s="998"/>
      <c r="AV10" s="998"/>
      <c r="AW10" s="998"/>
      <c r="AX10" s="998"/>
      <c r="AY10" s="998"/>
      <c r="AZ10" s="998"/>
      <c r="BA10" s="998"/>
    </row>
    <row r="11" spans="1:104" ht="51" customHeight="1">
      <c r="A11" s="992"/>
      <c r="B11" s="996" t="s">
        <v>360</v>
      </c>
      <c r="C11" s="995"/>
      <c r="D11" s="994" t="s">
        <v>439</v>
      </c>
      <c r="E11" s="995"/>
      <c r="F11" s="994" t="s">
        <v>346</v>
      </c>
      <c r="G11" s="995"/>
      <c r="H11" s="994" t="s">
        <v>411</v>
      </c>
      <c r="I11" s="995"/>
      <c r="J11" s="994" t="s">
        <v>426</v>
      </c>
      <c r="K11" s="995"/>
      <c r="L11" s="994" t="s">
        <v>360</v>
      </c>
      <c r="M11" s="995"/>
      <c r="N11" s="994" t="s">
        <v>439</v>
      </c>
      <c r="O11" s="995"/>
      <c r="P11" s="994" t="s">
        <v>346</v>
      </c>
      <c r="Q11" s="995"/>
      <c r="R11" s="994" t="s">
        <v>442</v>
      </c>
      <c r="S11" s="995"/>
      <c r="T11" s="994" t="s">
        <v>360</v>
      </c>
      <c r="U11" s="995"/>
      <c r="V11" s="994" t="s">
        <v>439</v>
      </c>
      <c r="W11" s="995"/>
      <c r="X11" s="994" t="s">
        <v>346</v>
      </c>
      <c r="Y11" s="995"/>
      <c r="Z11" s="994" t="s">
        <v>360</v>
      </c>
      <c r="AA11" s="995"/>
      <c r="AB11" s="994" t="s">
        <v>439</v>
      </c>
      <c r="AC11" s="995"/>
      <c r="AD11" s="994" t="s">
        <v>346</v>
      </c>
      <c r="AE11" s="995"/>
      <c r="AF11" s="996" t="s">
        <v>360</v>
      </c>
      <c r="AG11" s="995"/>
      <c r="AH11" s="994" t="s">
        <v>439</v>
      </c>
      <c r="AI11" s="995"/>
      <c r="AJ11" s="994" t="s">
        <v>346</v>
      </c>
      <c r="AK11" s="995"/>
      <c r="AL11" s="1005"/>
      <c r="AM11" s="1006"/>
      <c r="AN11" s="44" t="s">
        <v>0</v>
      </c>
      <c r="AR11" s="15"/>
      <c r="AS11" s="15"/>
      <c r="AT11" s="998"/>
      <c r="AU11" s="998"/>
      <c r="AV11" s="998"/>
      <c r="AW11" s="998"/>
      <c r="AX11" s="998"/>
      <c r="AY11" s="998"/>
      <c r="AZ11" s="999"/>
      <c r="BA11" s="999"/>
    </row>
    <row r="12" spans="1:104" ht="20.25" customHeight="1" thickBot="1">
      <c r="A12" s="993"/>
      <c r="B12" s="705" t="s">
        <v>287</v>
      </c>
      <c r="C12" s="659" t="s">
        <v>361</v>
      </c>
      <c r="D12" s="659" t="s">
        <v>287</v>
      </c>
      <c r="E12" s="659" t="s">
        <v>361</v>
      </c>
      <c r="F12" s="659" t="s">
        <v>287</v>
      </c>
      <c r="G12" s="659" t="s">
        <v>361</v>
      </c>
      <c r="H12" s="659" t="s">
        <v>287</v>
      </c>
      <c r="I12" s="659" t="s">
        <v>361</v>
      </c>
      <c r="J12" s="659" t="s">
        <v>287</v>
      </c>
      <c r="K12" s="659" t="s">
        <v>361</v>
      </c>
      <c r="L12" s="659" t="s">
        <v>287</v>
      </c>
      <c r="M12" s="659" t="s">
        <v>361</v>
      </c>
      <c r="N12" s="659" t="s">
        <v>287</v>
      </c>
      <c r="O12" s="659" t="s">
        <v>361</v>
      </c>
      <c r="P12" s="659" t="s">
        <v>287</v>
      </c>
      <c r="Q12" s="659" t="s">
        <v>361</v>
      </c>
      <c r="R12" s="659" t="s">
        <v>287</v>
      </c>
      <c r="S12" s="659" t="s">
        <v>361</v>
      </c>
      <c r="T12" s="660" t="s">
        <v>287</v>
      </c>
      <c r="U12" s="659" t="s">
        <v>361</v>
      </c>
      <c r="V12" s="659" t="s">
        <v>287</v>
      </c>
      <c r="W12" s="659" t="s">
        <v>361</v>
      </c>
      <c r="X12" s="659" t="s">
        <v>287</v>
      </c>
      <c r="Y12" s="659" t="s">
        <v>361</v>
      </c>
      <c r="Z12" s="659" t="s">
        <v>287</v>
      </c>
      <c r="AA12" s="659" t="s">
        <v>361</v>
      </c>
      <c r="AB12" s="659" t="s">
        <v>361</v>
      </c>
      <c r="AC12" s="659" t="s">
        <v>361</v>
      </c>
      <c r="AD12" s="659" t="s">
        <v>361</v>
      </c>
      <c r="AE12" s="659" t="s">
        <v>361</v>
      </c>
      <c r="AF12" s="660" t="s">
        <v>361</v>
      </c>
      <c r="AG12" s="659" t="s">
        <v>361</v>
      </c>
      <c r="AH12" s="659" t="s">
        <v>361</v>
      </c>
      <c r="AI12" s="659" t="s">
        <v>361</v>
      </c>
      <c r="AJ12" s="659" t="s">
        <v>361</v>
      </c>
      <c r="AK12" s="659" t="s">
        <v>361</v>
      </c>
      <c r="AL12" s="661" t="s">
        <v>287</v>
      </c>
      <c r="AM12" s="662" t="s">
        <v>263</v>
      </c>
      <c r="AN12" s="44" t="s">
        <v>0</v>
      </c>
      <c r="AO12" s="15"/>
      <c r="AP12" s="15"/>
      <c r="AQ12" s="15"/>
      <c r="AR12" s="15"/>
      <c r="AS12" s="15"/>
      <c r="AT12" s="400"/>
      <c r="AU12" s="400"/>
      <c r="AV12" s="400"/>
      <c r="AW12" s="400"/>
      <c r="AX12" s="400"/>
      <c r="AY12" s="400"/>
      <c r="AZ12" s="400"/>
      <c r="BA12" s="400"/>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row>
    <row r="13" spans="1:104" ht="15.75">
      <c r="A13" s="410" t="s">
        <v>78</v>
      </c>
      <c r="B13" s="61"/>
      <c r="C13" s="401">
        <v>0</v>
      </c>
      <c r="D13" s="61"/>
      <c r="E13" s="401">
        <v>0</v>
      </c>
      <c r="F13" s="61"/>
      <c r="G13" s="401">
        <v>0</v>
      </c>
      <c r="H13" s="61"/>
      <c r="I13" s="401">
        <v>0</v>
      </c>
      <c r="J13" s="495">
        <v>2</v>
      </c>
      <c r="K13" s="495">
        <v>64</v>
      </c>
      <c r="L13" s="62"/>
      <c r="M13" s="679">
        <v>0</v>
      </c>
      <c r="N13" s="61"/>
      <c r="O13" s="401">
        <v>0</v>
      </c>
      <c r="P13" s="61"/>
      <c r="Q13" s="401">
        <v>0</v>
      </c>
      <c r="R13" s="61"/>
      <c r="S13" s="401">
        <v>0</v>
      </c>
      <c r="T13" s="61"/>
      <c r="U13" s="401">
        <v>0</v>
      </c>
      <c r="V13" s="61"/>
      <c r="W13" s="401">
        <v>0</v>
      </c>
      <c r="X13" s="61"/>
      <c r="Y13" s="401">
        <v>0</v>
      </c>
      <c r="Z13" s="62"/>
      <c r="AA13" s="401">
        <v>0</v>
      </c>
      <c r="AB13" s="61"/>
      <c r="AC13" s="401">
        <v>0</v>
      </c>
      <c r="AD13" s="62"/>
      <c r="AE13" s="401">
        <v>0</v>
      </c>
      <c r="AF13" s="61"/>
      <c r="AG13" s="401">
        <v>0</v>
      </c>
      <c r="AH13" s="61"/>
      <c r="AI13" s="401">
        <v>0</v>
      </c>
      <c r="AJ13" s="61"/>
      <c r="AK13" s="61">
        <v>0</v>
      </c>
      <c r="AL13" s="679">
        <f>SUM(B13,J13,L13,T13,Z13,AF13)</f>
        <v>2</v>
      </c>
      <c r="AM13" s="405">
        <f>SUM(C13,K13,M13,U13,AA13,AG13)</f>
        <v>64</v>
      </c>
      <c r="AN13" s="44" t="s">
        <v>0</v>
      </c>
      <c r="AR13" s="15"/>
      <c r="AS13" s="15"/>
      <c r="AT13" s="65"/>
      <c r="AU13" s="65"/>
      <c r="AV13" s="65"/>
      <c r="AW13" s="65"/>
      <c r="AX13" s="65"/>
      <c r="AY13" s="65"/>
      <c r="AZ13" s="65"/>
      <c r="BA13" s="65"/>
    </row>
    <row r="14" spans="1:104" ht="15.75">
      <c r="A14" s="402" t="s">
        <v>79</v>
      </c>
      <c r="B14" s="61"/>
      <c r="C14" s="401">
        <v>0</v>
      </c>
      <c r="D14" s="61"/>
      <c r="E14" s="403">
        <v>0</v>
      </c>
      <c r="F14" s="404"/>
      <c r="G14" s="403">
        <v>0</v>
      </c>
      <c r="H14" s="61"/>
      <c r="I14" s="403">
        <v>0</v>
      </c>
      <c r="J14" s="664">
        <v>6</v>
      </c>
      <c r="K14" s="664">
        <v>185</v>
      </c>
      <c r="L14" s="62"/>
      <c r="M14" s="495">
        <v>0</v>
      </c>
      <c r="N14" s="61"/>
      <c r="O14" s="403">
        <v>0</v>
      </c>
      <c r="P14" s="404"/>
      <c r="Q14" s="403">
        <v>0</v>
      </c>
      <c r="R14" s="404"/>
      <c r="S14" s="403">
        <v>0</v>
      </c>
      <c r="T14" s="61"/>
      <c r="U14" s="401">
        <v>0</v>
      </c>
      <c r="V14" s="61"/>
      <c r="W14" s="403">
        <v>0</v>
      </c>
      <c r="X14" s="404"/>
      <c r="Y14" s="403">
        <v>0</v>
      </c>
      <c r="Z14" s="62"/>
      <c r="AA14" s="401">
        <v>0</v>
      </c>
      <c r="AB14" s="61"/>
      <c r="AC14" s="401">
        <v>0</v>
      </c>
      <c r="AD14" s="62"/>
      <c r="AE14" s="401">
        <v>0</v>
      </c>
      <c r="AF14" s="61"/>
      <c r="AG14" s="401">
        <v>0</v>
      </c>
      <c r="AH14" s="65"/>
      <c r="AI14" s="405">
        <v>0</v>
      </c>
      <c r="AJ14" s="65"/>
      <c r="AK14" s="65">
        <v>0</v>
      </c>
      <c r="AL14" s="664">
        <f>SUM(B14,J14,L14,T14,Z14,AF14)</f>
        <v>6</v>
      </c>
      <c r="AM14" s="403">
        <f>SUM(C14,K14,M14,U14,AA14,AG14)</f>
        <v>185</v>
      </c>
      <c r="AN14" s="44" t="s">
        <v>0</v>
      </c>
      <c r="AR14" s="15"/>
      <c r="AS14" s="15"/>
      <c r="AT14" s="65"/>
      <c r="AU14" s="65"/>
      <c r="AV14" s="65"/>
      <c r="AW14" s="65"/>
      <c r="AX14" s="65"/>
      <c r="AY14" s="65"/>
      <c r="AZ14" s="65"/>
      <c r="BA14" s="65"/>
    </row>
    <row r="15" spans="1:104" ht="9" customHeight="1">
      <c r="A15" s="406"/>
      <c r="B15" s="64"/>
      <c r="C15" s="407"/>
      <c r="D15" s="65"/>
      <c r="E15" s="405"/>
      <c r="F15" s="65"/>
      <c r="G15" s="405"/>
      <c r="H15" s="65"/>
      <c r="I15" s="408"/>
      <c r="J15" s="407"/>
      <c r="K15" s="663"/>
      <c r="L15" s="409"/>
      <c r="M15" s="715"/>
      <c r="N15" s="65"/>
      <c r="O15" s="405"/>
      <c r="P15" s="65"/>
      <c r="Q15" s="405"/>
      <c r="R15" s="65"/>
      <c r="S15" s="405"/>
      <c r="T15" s="64"/>
      <c r="U15" s="407"/>
      <c r="V15" s="65"/>
      <c r="W15" s="405"/>
      <c r="X15" s="65"/>
      <c r="Y15" s="405"/>
      <c r="Z15" s="409"/>
      <c r="AA15" s="407"/>
      <c r="AB15" s="64"/>
      <c r="AC15" s="407"/>
      <c r="AD15" s="409"/>
      <c r="AE15" s="407"/>
      <c r="AF15" s="64"/>
      <c r="AG15" s="407"/>
      <c r="AH15" s="409"/>
      <c r="AI15" s="407"/>
      <c r="AJ15" s="409"/>
      <c r="AK15" s="407"/>
      <c r="AL15" s="496"/>
      <c r="AM15" s="407"/>
      <c r="AN15" s="44" t="s">
        <v>0</v>
      </c>
      <c r="AR15" s="15"/>
      <c r="AS15" s="15"/>
      <c r="AT15" s="65"/>
      <c r="AU15" s="65"/>
      <c r="AV15" s="65"/>
      <c r="AW15" s="65"/>
      <c r="AX15" s="65"/>
      <c r="AY15" s="65"/>
      <c r="AZ15" s="65"/>
      <c r="BA15" s="65"/>
    </row>
    <row r="16" spans="1:104" ht="15.75">
      <c r="A16" s="410" t="s">
        <v>5</v>
      </c>
      <c r="B16" s="61">
        <f>SUM(B13:B14)</f>
        <v>0</v>
      </c>
      <c r="C16" s="401">
        <f>SUM(C13:C15)</f>
        <v>0</v>
      </c>
      <c r="D16" s="61"/>
      <c r="E16" s="401">
        <f>SUM(E13:E15)</f>
        <v>0</v>
      </c>
      <c r="F16" s="401">
        <f t="shared" ref="F16:AM16" si="0">SUM(F13:F15)</f>
        <v>0</v>
      </c>
      <c r="G16" s="401">
        <f t="shared" si="0"/>
        <v>0</v>
      </c>
      <c r="H16" s="401">
        <f t="shared" si="0"/>
        <v>0</v>
      </c>
      <c r="I16" s="401">
        <f t="shared" si="0"/>
        <v>0</v>
      </c>
      <c r="J16" s="401">
        <f t="shared" si="0"/>
        <v>8</v>
      </c>
      <c r="K16" s="495">
        <f t="shared" si="0"/>
        <v>249</v>
      </c>
      <c r="L16" s="61">
        <f t="shared" si="0"/>
        <v>0</v>
      </c>
      <c r="M16" s="495">
        <f t="shared" si="0"/>
        <v>0</v>
      </c>
      <c r="N16" s="401">
        <f t="shared" si="0"/>
        <v>0</v>
      </c>
      <c r="O16" s="401">
        <f t="shared" si="0"/>
        <v>0</v>
      </c>
      <c r="P16" s="401">
        <f t="shared" si="0"/>
        <v>0</v>
      </c>
      <c r="Q16" s="401">
        <f t="shared" si="0"/>
        <v>0</v>
      </c>
      <c r="R16" s="61">
        <f t="shared" si="0"/>
        <v>0</v>
      </c>
      <c r="S16" s="401">
        <f t="shared" si="0"/>
        <v>0</v>
      </c>
      <c r="T16" s="401">
        <f t="shared" si="0"/>
        <v>0</v>
      </c>
      <c r="U16" s="401">
        <f t="shared" si="0"/>
        <v>0</v>
      </c>
      <c r="V16" s="401">
        <f t="shared" si="0"/>
        <v>0</v>
      </c>
      <c r="W16" s="401">
        <f t="shared" si="0"/>
        <v>0</v>
      </c>
      <c r="X16" s="401">
        <f t="shared" si="0"/>
        <v>0</v>
      </c>
      <c r="Y16" s="401">
        <f t="shared" si="0"/>
        <v>0</v>
      </c>
      <c r="Z16" s="401">
        <f t="shared" si="0"/>
        <v>0</v>
      </c>
      <c r="AA16" s="401">
        <f t="shared" si="0"/>
        <v>0</v>
      </c>
      <c r="AB16" s="401">
        <f t="shared" si="0"/>
        <v>0</v>
      </c>
      <c r="AC16" s="401">
        <f t="shared" si="0"/>
        <v>0</v>
      </c>
      <c r="AD16" s="401">
        <f t="shared" si="0"/>
        <v>0</v>
      </c>
      <c r="AE16" s="401">
        <f t="shared" si="0"/>
        <v>0</v>
      </c>
      <c r="AF16" s="401">
        <f t="shared" si="0"/>
        <v>0</v>
      </c>
      <c r="AG16" s="401">
        <f t="shared" si="0"/>
        <v>0</v>
      </c>
      <c r="AH16" s="401">
        <f t="shared" si="0"/>
        <v>0</v>
      </c>
      <c r="AI16" s="401">
        <f t="shared" si="0"/>
        <v>0</v>
      </c>
      <c r="AJ16" s="62">
        <f t="shared" si="0"/>
        <v>0</v>
      </c>
      <c r="AK16" s="401">
        <f t="shared" si="0"/>
        <v>0</v>
      </c>
      <c r="AL16" s="495">
        <f t="shared" si="0"/>
        <v>8</v>
      </c>
      <c r="AM16" s="401">
        <f t="shared" si="0"/>
        <v>249</v>
      </c>
      <c r="AN16" s="44" t="s">
        <v>0</v>
      </c>
      <c r="AR16" s="15"/>
      <c r="AS16" s="15"/>
      <c r="AT16" s="65"/>
      <c r="AU16" s="65"/>
      <c r="AV16" s="65"/>
      <c r="AW16" s="65"/>
      <c r="AX16" s="65"/>
      <c r="AY16" s="65"/>
      <c r="AZ16" s="65"/>
      <c r="BA16" s="65"/>
    </row>
    <row r="17" spans="1:53" ht="15.75">
      <c r="A17" s="410" t="s">
        <v>6</v>
      </c>
      <c r="B17" s="61">
        <f>+B16/-2</f>
        <v>0</v>
      </c>
      <c r="C17" s="401">
        <f>+C16/-2</f>
        <v>0</v>
      </c>
      <c r="D17" s="61"/>
      <c r="E17" s="401">
        <v>0</v>
      </c>
      <c r="F17" s="412"/>
      <c r="G17" s="411">
        <v>0</v>
      </c>
      <c r="H17" s="61"/>
      <c r="I17" s="411"/>
      <c r="J17" s="495">
        <f t="shared" ref="J17:Q17" si="1">+J16/-2</f>
        <v>-4</v>
      </c>
      <c r="K17" s="495">
        <f t="shared" si="1"/>
        <v>-124.5</v>
      </c>
      <c r="L17" s="62">
        <f t="shared" si="1"/>
        <v>0</v>
      </c>
      <c r="M17" s="495">
        <f t="shared" si="1"/>
        <v>0</v>
      </c>
      <c r="N17" s="62">
        <f t="shared" si="1"/>
        <v>0</v>
      </c>
      <c r="O17" s="401">
        <f t="shared" si="1"/>
        <v>0</v>
      </c>
      <c r="P17" s="62">
        <f t="shared" si="1"/>
        <v>0</v>
      </c>
      <c r="Q17" s="401">
        <f t="shared" si="1"/>
        <v>0</v>
      </c>
      <c r="R17" s="61">
        <f>SUM(R14:R15)</f>
        <v>0</v>
      </c>
      <c r="S17" s="401">
        <f>SUM(S14:S15)</f>
        <v>0</v>
      </c>
      <c r="T17" s="61">
        <f>+T16/-2</f>
        <v>0</v>
      </c>
      <c r="U17" s="401">
        <f>+U16/-2</f>
        <v>0</v>
      </c>
      <c r="V17" s="61">
        <v>0</v>
      </c>
      <c r="W17" s="401">
        <v>0</v>
      </c>
      <c r="X17" s="62">
        <v>0</v>
      </c>
      <c r="Y17" s="401">
        <v>0</v>
      </c>
      <c r="Z17" s="62">
        <v>0</v>
      </c>
      <c r="AA17" s="401">
        <v>0</v>
      </c>
      <c r="AB17" s="62">
        <v>0</v>
      </c>
      <c r="AC17" s="401">
        <v>0</v>
      </c>
      <c r="AD17" s="62">
        <v>0</v>
      </c>
      <c r="AE17" s="401">
        <v>0</v>
      </c>
      <c r="AF17" s="61">
        <f t="shared" ref="AF17:AK17" si="2">+AF16/-2</f>
        <v>0</v>
      </c>
      <c r="AG17" s="401">
        <f t="shared" si="2"/>
        <v>0</v>
      </c>
      <c r="AH17" s="62">
        <f t="shared" si="2"/>
        <v>0</v>
      </c>
      <c r="AI17" s="401">
        <f t="shared" si="2"/>
        <v>0</v>
      </c>
      <c r="AJ17" s="62">
        <f t="shared" si="2"/>
        <v>0</v>
      </c>
      <c r="AK17" s="411">
        <f t="shared" si="2"/>
        <v>0</v>
      </c>
      <c r="AL17" s="680">
        <f>SUM(B17,J17,L17,T17,Z17,AF17)</f>
        <v>-4</v>
      </c>
      <c r="AM17" s="670">
        <f>SUM(C17,K17,M17,U17,AA17,AG17)</f>
        <v>-124.5</v>
      </c>
      <c r="AN17" s="44" t="s">
        <v>0</v>
      </c>
      <c r="AR17" s="15"/>
      <c r="AS17" s="15"/>
      <c r="AT17" s="65"/>
      <c r="AU17" s="65"/>
      <c r="AV17" s="65"/>
      <c r="AW17" s="65"/>
      <c r="AX17" s="65"/>
      <c r="AY17" s="65"/>
      <c r="AZ17" s="65"/>
      <c r="BA17" s="65"/>
    </row>
    <row r="18" spans="1:53" ht="15.75">
      <c r="A18" s="402" t="s">
        <v>7</v>
      </c>
      <c r="B18" s="404">
        <f>SUM(B16:B17)</f>
        <v>0</v>
      </c>
      <c r="C18" s="413">
        <f>SUM(C16:C17)</f>
        <v>0</v>
      </c>
      <c r="D18" s="404">
        <f>SUM(D16:D17)</f>
        <v>0</v>
      </c>
      <c r="E18" s="414">
        <f>SUM(E16:E17)</f>
        <v>0</v>
      </c>
      <c r="F18" s="67"/>
      <c r="G18" s="415">
        <f>SUM(G16:G17)</f>
        <v>0</v>
      </c>
      <c r="H18" s="415">
        <f t="shared" ref="H18:AM18" si="3">SUM(H16:H17)</f>
        <v>0</v>
      </c>
      <c r="I18" s="415">
        <f t="shared" si="3"/>
        <v>0</v>
      </c>
      <c r="J18" s="664">
        <f t="shared" si="3"/>
        <v>4</v>
      </c>
      <c r="K18" s="664">
        <f t="shared" si="3"/>
        <v>124.5</v>
      </c>
      <c r="L18" s="404">
        <f t="shared" si="3"/>
        <v>0</v>
      </c>
      <c r="M18" s="664">
        <f t="shared" si="3"/>
        <v>0</v>
      </c>
      <c r="N18" s="415">
        <f t="shared" si="3"/>
        <v>0</v>
      </c>
      <c r="O18" s="415">
        <f t="shared" si="3"/>
        <v>0</v>
      </c>
      <c r="P18" s="415">
        <f t="shared" si="3"/>
        <v>0</v>
      </c>
      <c r="Q18" s="664">
        <f t="shared" si="3"/>
        <v>0</v>
      </c>
      <c r="R18" s="61">
        <f t="shared" si="3"/>
        <v>0</v>
      </c>
      <c r="S18" s="401">
        <f t="shared" si="3"/>
        <v>0</v>
      </c>
      <c r="T18" s="415">
        <f t="shared" si="3"/>
        <v>0</v>
      </c>
      <c r="U18" s="415">
        <f t="shared" si="3"/>
        <v>0</v>
      </c>
      <c r="V18" s="415">
        <f t="shared" si="3"/>
        <v>0</v>
      </c>
      <c r="W18" s="415">
        <f t="shared" si="3"/>
        <v>0</v>
      </c>
      <c r="X18" s="415">
        <f t="shared" si="3"/>
        <v>0</v>
      </c>
      <c r="Y18" s="415">
        <f t="shared" si="3"/>
        <v>0</v>
      </c>
      <c r="Z18" s="415">
        <f t="shared" si="3"/>
        <v>0</v>
      </c>
      <c r="AA18" s="415">
        <f t="shared" si="3"/>
        <v>0</v>
      </c>
      <c r="AB18" s="415">
        <f t="shared" si="3"/>
        <v>0</v>
      </c>
      <c r="AC18" s="415">
        <f t="shared" si="3"/>
        <v>0</v>
      </c>
      <c r="AD18" s="415">
        <f t="shared" si="3"/>
        <v>0</v>
      </c>
      <c r="AE18" s="415">
        <f t="shared" si="3"/>
        <v>0</v>
      </c>
      <c r="AF18" s="415">
        <f t="shared" si="3"/>
        <v>0</v>
      </c>
      <c r="AG18" s="415">
        <f t="shared" si="3"/>
        <v>0</v>
      </c>
      <c r="AH18" s="415">
        <f t="shared" si="3"/>
        <v>0</v>
      </c>
      <c r="AI18" s="497">
        <f t="shared" si="3"/>
        <v>0</v>
      </c>
      <c r="AJ18" s="66">
        <f t="shared" si="3"/>
        <v>0</v>
      </c>
      <c r="AK18" s="415">
        <f t="shared" si="3"/>
        <v>0</v>
      </c>
      <c r="AL18" s="681">
        <f t="shared" si="3"/>
        <v>4</v>
      </c>
      <c r="AM18" s="664">
        <f t="shared" si="3"/>
        <v>124.5</v>
      </c>
      <c r="AN18" s="44" t="s">
        <v>0</v>
      </c>
      <c r="AR18" s="15"/>
      <c r="AS18" s="15"/>
      <c r="AT18" s="65"/>
      <c r="AU18" s="65"/>
      <c r="AV18" s="65"/>
      <c r="AW18" s="65"/>
      <c r="AX18" s="65"/>
      <c r="AY18" s="65"/>
      <c r="AZ18" s="65"/>
      <c r="BA18" s="65"/>
    </row>
    <row r="19" spans="1:53" ht="9" customHeight="1">
      <c r="A19" s="416"/>
      <c r="B19" s="65"/>
      <c r="C19" s="405"/>
      <c r="D19" s="65"/>
      <c r="E19" s="407"/>
      <c r="F19" s="65"/>
      <c r="G19" s="405"/>
      <c r="H19" s="65"/>
      <c r="I19" s="407"/>
      <c r="J19" s="663"/>
      <c r="K19" s="405"/>
      <c r="L19" s="417"/>
      <c r="M19" s="405"/>
      <c r="N19" s="65"/>
      <c r="O19" s="405"/>
      <c r="P19" s="65"/>
      <c r="Q19" s="405"/>
      <c r="R19" s="65"/>
      <c r="S19" s="407"/>
      <c r="T19" s="65"/>
      <c r="U19" s="405"/>
      <c r="V19" s="65"/>
      <c r="W19" s="405"/>
      <c r="X19" s="65"/>
      <c r="Y19" s="405"/>
      <c r="Z19" s="417"/>
      <c r="AA19" s="405"/>
      <c r="AB19" s="65"/>
      <c r="AC19" s="405"/>
      <c r="AD19" s="417"/>
      <c r="AE19" s="405"/>
      <c r="AF19" s="65"/>
      <c r="AG19" s="405"/>
      <c r="AH19" s="65"/>
      <c r="AI19" s="405"/>
      <c r="AJ19" s="65"/>
      <c r="AK19" s="405"/>
      <c r="AL19" s="663"/>
      <c r="AM19" s="663"/>
      <c r="AN19" s="44" t="s">
        <v>0</v>
      </c>
      <c r="AR19" s="15"/>
      <c r="AS19" s="15"/>
      <c r="AT19" s="65"/>
      <c r="AU19" s="65"/>
      <c r="AV19" s="65"/>
      <c r="AW19" s="65"/>
      <c r="AX19" s="65"/>
      <c r="AY19" s="65"/>
      <c r="AZ19" s="65"/>
      <c r="BA19" s="65"/>
    </row>
    <row r="20" spans="1:53" ht="15.75">
      <c r="A20" s="418" t="s">
        <v>8</v>
      </c>
      <c r="B20" s="67">
        <f>SUM(B16:B18)</f>
        <v>0</v>
      </c>
      <c r="C20" s="415">
        <f>SUM(C16:C18)</f>
        <v>0</v>
      </c>
      <c r="D20" s="415">
        <f t="shared" ref="D20:I20" si="4">SUM(D16:D18)</f>
        <v>0</v>
      </c>
      <c r="E20" s="415">
        <f t="shared" si="4"/>
        <v>0</v>
      </c>
      <c r="F20" s="415">
        <f t="shared" si="4"/>
        <v>0</v>
      </c>
      <c r="G20" s="415">
        <f t="shared" si="4"/>
        <v>0</v>
      </c>
      <c r="H20" s="415">
        <f t="shared" si="4"/>
        <v>0</v>
      </c>
      <c r="I20" s="415">
        <f t="shared" si="4"/>
        <v>0</v>
      </c>
      <c r="J20" s="497">
        <v>4</v>
      </c>
      <c r="K20" s="415">
        <f t="shared" ref="K20:AK20" si="5">SUM(K16:K18)</f>
        <v>249</v>
      </c>
      <c r="L20" s="66">
        <f t="shared" si="5"/>
        <v>0</v>
      </c>
      <c r="M20" s="415">
        <f t="shared" si="5"/>
        <v>0</v>
      </c>
      <c r="N20" s="66">
        <f t="shared" si="5"/>
        <v>0</v>
      </c>
      <c r="O20" s="415">
        <f t="shared" si="5"/>
        <v>0</v>
      </c>
      <c r="P20" s="66">
        <f t="shared" si="5"/>
        <v>0</v>
      </c>
      <c r="Q20" s="415">
        <f t="shared" si="5"/>
        <v>0</v>
      </c>
      <c r="R20" s="67">
        <v>0</v>
      </c>
      <c r="S20" s="415">
        <v>0</v>
      </c>
      <c r="T20" s="67">
        <f>SUM(T16:T18)</f>
        <v>0</v>
      </c>
      <c r="U20" s="415">
        <f>SUM(U16:U18)</f>
        <v>0</v>
      </c>
      <c r="V20" s="67">
        <f t="shared" si="5"/>
        <v>0</v>
      </c>
      <c r="W20" s="415">
        <f t="shared" si="5"/>
        <v>0</v>
      </c>
      <c r="X20" s="66">
        <f t="shared" si="5"/>
        <v>0</v>
      </c>
      <c r="Y20" s="415">
        <f t="shared" si="5"/>
        <v>0</v>
      </c>
      <c r="Z20" s="66">
        <f t="shared" si="5"/>
        <v>0</v>
      </c>
      <c r="AA20" s="415">
        <f t="shared" si="5"/>
        <v>0</v>
      </c>
      <c r="AB20" s="66">
        <f t="shared" si="5"/>
        <v>0</v>
      </c>
      <c r="AC20" s="415">
        <f t="shared" si="5"/>
        <v>0</v>
      </c>
      <c r="AD20" s="66">
        <f t="shared" si="5"/>
        <v>0</v>
      </c>
      <c r="AE20" s="415">
        <f t="shared" si="5"/>
        <v>0</v>
      </c>
      <c r="AF20" s="67">
        <f t="shared" si="5"/>
        <v>0</v>
      </c>
      <c r="AG20" s="415">
        <f t="shared" si="5"/>
        <v>0</v>
      </c>
      <c r="AH20" s="66">
        <f t="shared" si="5"/>
        <v>0</v>
      </c>
      <c r="AI20" s="415">
        <f t="shared" si="5"/>
        <v>0</v>
      </c>
      <c r="AJ20" s="66">
        <f t="shared" si="5"/>
        <v>0</v>
      </c>
      <c r="AK20" s="415">
        <f t="shared" si="5"/>
        <v>0</v>
      </c>
      <c r="AL20" s="497">
        <f>SUM(B20,J20,L20,T20,Z20,AF20)</f>
        <v>4</v>
      </c>
      <c r="AM20" s="497">
        <f>SUM(C20,K20,M20,U20,AA20,AG20)</f>
        <v>249</v>
      </c>
      <c r="AN20" s="44" t="s">
        <v>0</v>
      </c>
      <c r="AR20" s="15"/>
      <c r="AS20" s="15"/>
      <c r="AT20" s="65"/>
      <c r="AU20" s="65"/>
      <c r="AV20" s="65"/>
      <c r="AW20" s="65"/>
      <c r="AX20" s="65"/>
      <c r="AY20" s="65"/>
      <c r="AZ20" s="65"/>
      <c r="BA20" s="65"/>
    </row>
    <row r="21" spans="1:53" ht="6.75" customHeight="1">
      <c r="A21" s="406"/>
      <c r="B21" s="65"/>
      <c r="C21" s="405"/>
      <c r="D21" s="65"/>
      <c r="E21" s="405"/>
      <c r="F21" s="65"/>
      <c r="G21" s="405"/>
      <c r="H21" s="65"/>
      <c r="I21" s="408"/>
      <c r="J21" s="663"/>
      <c r="K21" s="405"/>
      <c r="L21" s="417"/>
      <c r="M21" s="408"/>
      <c r="N21" s="65"/>
      <c r="O21" s="405"/>
      <c r="P21" s="65"/>
      <c r="Q21" s="405"/>
      <c r="R21" s="65"/>
      <c r="S21" s="408"/>
      <c r="T21" s="65"/>
      <c r="U21" s="408"/>
      <c r="V21" s="65"/>
      <c r="W21" s="405"/>
      <c r="X21" s="65"/>
      <c r="Y21" s="405"/>
      <c r="Z21" s="417"/>
      <c r="AA21" s="405"/>
      <c r="AB21" s="65"/>
      <c r="AC21" s="405"/>
      <c r="AD21" s="417"/>
      <c r="AE21" s="408"/>
      <c r="AF21" s="65"/>
      <c r="AG21" s="405"/>
      <c r="AH21" s="65"/>
      <c r="AI21" s="405"/>
      <c r="AJ21" s="65"/>
      <c r="AK21" s="405"/>
      <c r="AL21" s="663"/>
      <c r="AM21" s="663"/>
      <c r="AN21" s="44" t="s">
        <v>0</v>
      </c>
      <c r="AR21" s="15"/>
      <c r="AS21" s="15"/>
      <c r="AT21" s="65"/>
      <c r="AU21" s="65"/>
      <c r="AV21" s="65"/>
      <c r="AW21" s="65"/>
      <c r="AX21" s="65"/>
      <c r="AY21" s="65"/>
      <c r="AZ21" s="65"/>
      <c r="BA21" s="65"/>
    </row>
    <row r="22" spans="1:53" ht="15.75">
      <c r="A22" s="410" t="s">
        <v>80</v>
      </c>
      <c r="B22" s="61"/>
      <c r="C22" s="419">
        <v>0</v>
      </c>
      <c r="D22" s="61"/>
      <c r="E22" s="401">
        <v>0</v>
      </c>
      <c r="F22" s="61"/>
      <c r="G22" s="401">
        <v>0</v>
      </c>
      <c r="H22" s="61"/>
      <c r="I22" s="401">
        <v>0</v>
      </c>
      <c r="J22" s="495">
        <v>0</v>
      </c>
      <c r="K22" s="401">
        <v>98</v>
      </c>
      <c r="L22" s="61"/>
      <c r="M22" s="401">
        <v>0</v>
      </c>
      <c r="N22" s="61"/>
      <c r="O22" s="401">
        <v>0</v>
      </c>
      <c r="P22" s="61"/>
      <c r="Q22" s="401">
        <v>0</v>
      </c>
      <c r="R22" s="61"/>
      <c r="S22" s="401">
        <v>0</v>
      </c>
      <c r="T22" s="61"/>
      <c r="U22" s="401">
        <v>0</v>
      </c>
      <c r="V22" s="61"/>
      <c r="W22" s="401">
        <v>0</v>
      </c>
      <c r="X22" s="61"/>
      <c r="Y22" s="401">
        <v>0</v>
      </c>
      <c r="Z22" s="60"/>
      <c r="AA22" s="419">
        <v>0</v>
      </c>
      <c r="AB22" s="61"/>
      <c r="AC22" s="401">
        <v>0</v>
      </c>
      <c r="AD22" s="62"/>
      <c r="AE22" s="401">
        <v>0</v>
      </c>
      <c r="AF22" s="61"/>
      <c r="AG22" s="401">
        <v>0</v>
      </c>
      <c r="AH22" s="61"/>
      <c r="AI22" s="401">
        <v>0</v>
      </c>
      <c r="AJ22" s="61"/>
      <c r="AK22" s="401">
        <v>0</v>
      </c>
      <c r="AL22" s="495">
        <f t="shared" ref="AL22:AL31" si="6">SUM(B22,J22,L22,T22,Z22,AF22)</f>
        <v>0</v>
      </c>
      <c r="AM22" s="495">
        <f>SUM(C22:AK22)</f>
        <v>98</v>
      </c>
      <c r="AN22" s="44" t="s">
        <v>0</v>
      </c>
      <c r="AR22" s="15"/>
      <c r="AS22" s="15"/>
      <c r="AT22" s="65"/>
      <c r="AU22" s="65"/>
      <c r="AV22" s="65"/>
      <c r="AW22" s="65"/>
      <c r="AX22" s="65"/>
      <c r="AY22" s="65"/>
      <c r="AZ22" s="65"/>
      <c r="BA22" s="65"/>
    </row>
    <row r="23" spans="1:53" ht="15.75">
      <c r="A23" s="410" t="s">
        <v>84</v>
      </c>
      <c r="B23" s="61"/>
      <c r="C23" s="419">
        <v>-119</v>
      </c>
      <c r="D23" s="61"/>
      <c r="E23" s="401">
        <v>0</v>
      </c>
      <c r="F23" s="61"/>
      <c r="G23" s="401">
        <v>0</v>
      </c>
      <c r="H23" s="61"/>
      <c r="I23" s="401">
        <v>0</v>
      </c>
      <c r="J23" s="495">
        <v>0</v>
      </c>
      <c r="K23" s="401">
        <v>1</v>
      </c>
      <c r="L23" s="61"/>
      <c r="M23" s="401">
        <v>-94</v>
      </c>
      <c r="N23" s="61"/>
      <c r="O23" s="401">
        <v>0</v>
      </c>
      <c r="P23" s="61"/>
      <c r="Q23" s="401">
        <v>0</v>
      </c>
      <c r="R23" s="61"/>
      <c r="S23" s="401">
        <v>0</v>
      </c>
      <c r="T23" s="61"/>
      <c r="U23" s="401">
        <v>-64</v>
      </c>
      <c r="V23" s="61"/>
      <c r="W23" s="401">
        <v>0</v>
      </c>
      <c r="X23" s="61"/>
      <c r="Y23" s="401">
        <v>0</v>
      </c>
      <c r="Z23" s="60"/>
      <c r="AA23" s="419">
        <v>-11</v>
      </c>
      <c r="AB23" s="61"/>
      <c r="AC23" s="401">
        <v>0</v>
      </c>
      <c r="AD23" s="62"/>
      <c r="AE23" s="401">
        <v>0</v>
      </c>
      <c r="AF23" s="61"/>
      <c r="AG23" s="401">
        <v>-10</v>
      </c>
      <c r="AH23" s="61"/>
      <c r="AI23" s="401">
        <v>0</v>
      </c>
      <c r="AJ23" s="61"/>
      <c r="AK23" s="401">
        <v>0</v>
      </c>
      <c r="AL23" s="680">
        <f t="shared" si="6"/>
        <v>0</v>
      </c>
      <c r="AM23" s="670">
        <f t="shared" ref="AM23:AM31" si="7">SUM(C23:AK23)</f>
        <v>-297</v>
      </c>
      <c r="AN23" s="44" t="s">
        <v>0</v>
      </c>
      <c r="AR23" s="15"/>
      <c r="AS23" s="15"/>
      <c r="AT23" s="65"/>
      <c r="AU23" s="65"/>
      <c r="AV23" s="65"/>
      <c r="AW23" s="65"/>
      <c r="AX23" s="65"/>
      <c r="AY23" s="65"/>
      <c r="AZ23" s="65"/>
      <c r="BA23" s="65"/>
    </row>
    <row r="24" spans="1:53" ht="15.75">
      <c r="A24" s="410" t="s">
        <v>81</v>
      </c>
      <c r="B24" s="61"/>
      <c r="C24" s="419">
        <v>0</v>
      </c>
      <c r="D24" s="61"/>
      <c r="E24" s="401">
        <v>0</v>
      </c>
      <c r="F24" s="61"/>
      <c r="G24" s="401">
        <v>0</v>
      </c>
      <c r="H24" s="61"/>
      <c r="I24" s="401">
        <v>0</v>
      </c>
      <c r="J24" s="495">
        <v>0</v>
      </c>
      <c r="K24" s="401">
        <v>0</v>
      </c>
      <c r="L24" s="61"/>
      <c r="M24" s="401">
        <v>0</v>
      </c>
      <c r="N24" s="61"/>
      <c r="O24" s="401">
        <v>0</v>
      </c>
      <c r="P24" s="61"/>
      <c r="Q24" s="401">
        <v>0</v>
      </c>
      <c r="R24" s="61"/>
      <c r="S24" s="401">
        <v>0</v>
      </c>
      <c r="T24" s="61"/>
      <c r="U24" s="401">
        <v>0</v>
      </c>
      <c r="V24" s="61"/>
      <c r="W24" s="401">
        <v>0</v>
      </c>
      <c r="X24" s="61"/>
      <c r="Y24" s="401">
        <v>0</v>
      </c>
      <c r="Z24" s="60"/>
      <c r="AA24" s="419">
        <v>0</v>
      </c>
      <c r="AB24" s="61"/>
      <c r="AC24" s="401">
        <v>0</v>
      </c>
      <c r="AD24" s="61"/>
      <c r="AE24" s="401">
        <v>0</v>
      </c>
      <c r="AF24" s="61"/>
      <c r="AG24" s="401">
        <v>0</v>
      </c>
      <c r="AH24" s="61"/>
      <c r="AI24" s="401">
        <v>0</v>
      </c>
      <c r="AJ24" s="61"/>
      <c r="AK24" s="61">
        <v>0</v>
      </c>
      <c r="AL24" s="680">
        <f t="shared" si="6"/>
        <v>0</v>
      </c>
      <c r="AM24" s="670">
        <f t="shared" si="7"/>
        <v>0</v>
      </c>
      <c r="AN24" s="44" t="s">
        <v>0</v>
      </c>
      <c r="AR24" s="15"/>
      <c r="AS24" s="15"/>
      <c r="AT24" s="65"/>
      <c r="AU24" s="65"/>
      <c r="AV24" s="65"/>
      <c r="AW24" s="65"/>
      <c r="AX24" s="65"/>
      <c r="AY24" s="65"/>
      <c r="AZ24" s="65"/>
      <c r="BA24" s="65"/>
    </row>
    <row r="25" spans="1:53" ht="15.75">
      <c r="A25" s="410" t="s">
        <v>85</v>
      </c>
      <c r="B25" s="61"/>
      <c r="C25" s="419">
        <v>0</v>
      </c>
      <c r="D25" s="61"/>
      <c r="E25" s="401">
        <v>0</v>
      </c>
      <c r="F25" s="61"/>
      <c r="G25" s="401">
        <v>-152</v>
      </c>
      <c r="H25" s="61"/>
      <c r="I25" s="401">
        <v>0</v>
      </c>
      <c r="J25" s="495">
        <v>0</v>
      </c>
      <c r="K25" s="401">
        <v>0</v>
      </c>
      <c r="L25" s="61"/>
      <c r="M25" s="401">
        <v>0</v>
      </c>
      <c r="N25" s="61"/>
      <c r="O25" s="401">
        <v>0</v>
      </c>
      <c r="P25" s="61"/>
      <c r="Q25" s="401">
        <v>-120</v>
      </c>
      <c r="R25" s="61"/>
      <c r="S25" s="401">
        <v>0</v>
      </c>
      <c r="T25" s="61"/>
      <c r="U25" s="401">
        <v>0</v>
      </c>
      <c r="V25" s="61"/>
      <c r="W25" s="401">
        <v>0</v>
      </c>
      <c r="X25" s="61"/>
      <c r="Y25" s="401">
        <v>-82</v>
      </c>
      <c r="Z25" s="60"/>
      <c r="AA25" s="419">
        <v>0</v>
      </c>
      <c r="AB25" s="61"/>
      <c r="AC25" s="401">
        <v>0</v>
      </c>
      <c r="AD25" s="61"/>
      <c r="AE25" s="401">
        <v>-14</v>
      </c>
      <c r="AF25" s="61"/>
      <c r="AG25" s="401">
        <v>0</v>
      </c>
      <c r="AH25" s="61"/>
      <c r="AI25" s="401">
        <v>0</v>
      </c>
      <c r="AJ25" s="61"/>
      <c r="AK25" s="61">
        <v>-13</v>
      </c>
      <c r="AL25" s="680">
        <f t="shared" si="6"/>
        <v>0</v>
      </c>
      <c r="AM25" s="411">
        <f t="shared" si="7"/>
        <v>-381</v>
      </c>
      <c r="AN25" s="44" t="s">
        <v>0</v>
      </c>
      <c r="AR25" s="15"/>
      <c r="AS25" s="15"/>
      <c r="AT25" s="65"/>
      <c r="AU25" s="65"/>
      <c r="AV25" s="65"/>
      <c r="AW25" s="65"/>
      <c r="AX25" s="65"/>
      <c r="AY25" s="65"/>
      <c r="AZ25" s="65"/>
      <c r="BA25" s="65"/>
    </row>
    <row r="26" spans="1:53" ht="15.75">
      <c r="A26" s="410" t="s">
        <v>410</v>
      </c>
      <c r="B26" s="61"/>
      <c r="C26" s="419">
        <v>0</v>
      </c>
      <c r="D26" s="61"/>
      <c r="E26" s="401">
        <v>0</v>
      </c>
      <c r="F26" s="61"/>
      <c r="G26" s="401">
        <v>0</v>
      </c>
      <c r="H26" s="61"/>
      <c r="I26" s="401">
        <v>0</v>
      </c>
      <c r="J26" s="495">
        <v>0</v>
      </c>
      <c r="K26" s="401">
        <v>1</v>
      </c>
      <c r="L26" s="61"/>
      <c r="M26" s="401">
        <v>0</v>
      </c>
      <c r="N26" s="61"/>
      <c r="O26" s="401">
        <v>0</v>
      </c>
      <c r="P26" s="61"/>
      <c r="Q26" s="401">
        <v>0</v>
      </c>
      <c r="R26" s="61"/>
      <c r="S26" s="401">
        <v>0</v>
      </c>
      <c r="T26" s="61"/>
      <c r="U26" s="401">
        <v>0</v>
      </c>
      <c r="V26" s="61"/>
      <c r="W26" s="401">
        <v>0</v>
      </c>
      <c r="X26" s="61"/>
      <c r="Y26" s="401">
        <v>0</v>
      </c>
      <c r="Z26" s="60"/>
      <c r="AA26" s="419">
        <v>0</v>
      </c>
      <c r="AB26" s="61"/>
      <c r="AC26" s="401">
        <v>0</v>
      </c>
      <c r="AD26" s="61"/>
      <c r="AE26" s="401">
        <v>0</v>
      </c>
      <c r="AF26" s="61"/>
      <c r="AG26" s="401">
        <v>0</v>
      </c>
      <c r="AH26" s="61"/>
      <c r="AI26" s="401">
        <v>0</v>
      </c>
      <c r="AJ26" s="61"/>
      <c r="AK26" s="61">
        <v>0</v>
      </c>
      <c r="AL26" s="680">
        <f t="shared" si="6"/>
        <v>0</v>
      </c>
      <c r="AM26" s="411">
        <f t="shared" si="7"/>
        <v>1</v>
      </c>
      <c r="AN26" s="44" t="s">
        <v>0</v>
      </c>
      <c r="AR26" s="15"/>
      <c r="AS26" s="15"/>
      <c r="AT26" s="65"/>
      <c r="AU26" s="65"/>
      <c r="AV26" s="65"/>
      <c r="AW26" s="65"/>
      <c r="AX26" s="65"/>
      <c r="AY26" s="65"/>
      <c r="AZ26" s="65"/>
      <c r="BA26" s="65"/>
    </row>
    <row r="27" spans="1:53" ht="15.75">
      <c r="A27" s="410" t="s">
        <v>86</v>
      </c>
      <c r="B27" s="61"/>
      <c r="C27" s="419">
        <v>0</v>
      </c>
      <c r="D27" s="61"/>
      <c r="E27" s="401">
        <v>0</v>
      </c>
      <c r="F27" s="61"/>
      <c r="G27" s="401">
        <v>0</v>
      </c>
      <c r="H27" s="61"/>
      <c r="I27" s="401">
        <v>-5000</v>
      </c>
      <c r="J27" s="495">
        <v>0</v>
      </c>
      <c r="K27" s="401">
        <v>21</v>
      </c>
      <c r="L27" s="61"/>
      <c r="M27" s="401">
        <v>0</v>
      </c>
      <c r="N27" s="61"/>
      <c r="O27" s="401">
        <v>0</v>
      </c>
      <c r="P27" s="61"/>
      <c r="Q27" s="401">
        <v>0</v>
      </c>
      <c r="R27" s="61"/>
      <c r="S27" s="401">
        <v>0</v>
      </c>
      <c r="T27" s="61"/>
      <c r="U27" s="401">
        <v>0</v>
      </c>
      <c r="V27" s="61"/>
      <c r="W27" s="401">
        <v>0</v>
      </c>
      <c r="X27" s="61"/>
      <c r="Y27" s="401">
        <v>0</v>
      </c>
      <c r="Z27" s="60"/>
      <c r="AA27" s="419">
        <v>0</v>
      </c>
      <c r="AB27" s="61"/>
      <c r="AC27" s="401">
        <v>0</v>
      </c>
      <c r="AD27" s="61"/>
      <c r="AE27" s="401">
        <v>0</v>
      </c>
      <c r="AF27" s="61"/>
      <c r="AG27" s="401">
        <v>0</v>
      </c>
      <c r="AH27" s="61"/>
      <c r="AI27" s="401">
        <v>0</v>
      </c>
      <c r="AJ27" s="61"/>
      <c r="AK27" s="61">
        <v>0</v>
      </c>
      <c r="AL27" s="680">
        <f t="shared" si="6"/>
        <v>0</v>
      </c>
      <c r="AM27" s="411">
        <f t="shared" si="7"/>
        <v>-4979</v>
      </c>
      <c r="AN27" s="44" t="s">
        <v>0</v>
      </c>
      <c r="AR27" s="15"/>
      <c r="AS27" s="15"/>
      <c r="AT27" s="65"/>
      <c r="AU27" s="65"/>
      <c r="AV27" s="65"/>
      <c r="AW27" s="65"/>
      <c r="AX27" s="65"/>
      <c r="AY27" s="65"/>
      <c r="AZ27" s="65"/>
      <c r="BA27" s="65"/>
    </row>
    <row r="28" spans="1:53" ht="15.75">
      <c r="A28" s="410" t="s">
        <v>82</v>
      </c>
      <c r="B28" s="61"/>
      <c r="C28" s="419">
        <v>-1</v>
      </c>
      <c r="D28" s="61"/>
      <c r="E28" s="401">
        <v>0</v>
      </c>
      <c r="F28" s="61"/>
      <c r="G28" s="401">
        <v>0</v>
      </c>
      <c r="H28" s="61"/>
      <c r="I28" s="401">
        <v>0</v>
      </c>
      <c r="J28" s="495">
        <v>0</v>
      </c>
      <c r="K28" s="401">
        <v>0</v>
      </c>
      <c r="L28" s="61"/>
      <c r="M28" s="401">
        <v>-1</v>
      </c>
      <c r="N28" s="61"/>
      <c r="O28" s="401">
        <v>0</v>
      </c>
      <c r="P28" s="61"/>
      <c r="Q28" s="401">
        <v>0</v>
      </c>
      <c r="R28" s="61"/>
      <c r="S28" s="401">
        <v>0</v>
      </c>
      <c r="T28" s="61"/>
      <c r="U28" s="401">
        <v>-1</v>
      </c>
      <c r="V28" s="61"/>
      <c r="W28" s="401">
        <v>0</v>
      </c>
      <c r="X28" s="61"/>
      <c r="Y28" s="401">
        <v>0</v>
      </c>
      <c r="Z28" s="60"/>
      <c r="AA28" s="419">
        <v>0</v>
      </c>
      <c r="AB28" s="61"/>
      <c r="AC28" s="401">
        <v>0</v>
      </c>
      <c r="AD28" s="61"/>
      <c r="AE28" s="401">
        <v>0</v>
      </c>
      <c r="AF28" s="61"/>
      <c r="AG28" s="401">
        <v>0</v>
      </c>
      <c r="AH28" s="61"/>
      <c r="AI28" s="401">
        <v>0</v>
      </c>
      <c r="AJ28" s="61"/>
      <c r="AK28" s="61">
        <v>0</v>
      </c>
      <c r="AL28" s="680">
        <f t="shared" si="6"/>
        <v>0</v>
      </c>
      <c r="AM28" s="411">
        <f t="shared" si="7"/>
        <v>-3</v>
      </c>
      <c r="AN28" s="44" t="s">
        <v>0</v>
      </c>
      <c r="AR28" s="15"/>
      <c r="AS28" s="15"/>
      <c r="AT28" s="65"/>
      <c r="AU28" s="65"/>
      <c r="AV28" s="65"/>
      <c r="AW28" s="65"/>
      <c r="AX28" s="65"/>
      <c r="AY28" s="65"/>
      <c r="AZ28" s="65"/>
      <c r="BA28" s="65"/>
    </row>
    <row r="29" spans="1:53" ht="15.75">
      <c r="A29" s="410" t="s">
        <v>87</v>
      </c>
      <c r="B29" s="61"/>
      <c r="C29" s="419">
        <v>0</v>
      </c>
      <c r="D29" s="61"/>
      <c r="E29" s="401">
        <v>0</v>
      </c>
      <c r="F29" s="61"/>
      <c r="G29" s="401">
        <v>0</v>
      </c>
      <c r="H29" s="61"/>
      <c r="I29" s="401">
        <v>0</v>
      </c>
      <c r="J29" s="495">
        <v>0</v>
      </c>
      <c r="K29" s="401">
        <v>605</v>
      </c>
      <c r="L29" s="61"/>
      <c r="M29" s="401">
        <v>0</v>
      </c>
      <c r="N29" s="61"/>
      <c r="O29" s="401">
        <v>0</v>
      </c>
      <c r="P29" s="61"/>
      <c r="Q29" s="401">
        <v>0</v>
      </c>
      <c r="R29" s="61"/>
      <c r="S29" s="401">
        <v>-239</v>
      </c>
      <c r="T29" s="61"/>
      <c r="U29" s="401">
        <v>0</v>
      </c>
      <c r="V29" s="61"/>
      <c r="W29" s="401">
        <v>0</v>
      </c>
      <c r="X29" s="61"/>
      <c r="Y29" s="401">
        <v>0</v>
      </c>
      <c r="Z29" s="60"/>
      <c r="AA29" s="419">
        <v>0</v>
      </c>
      <c r="AB29" s="61"/>
      <c r="AC29" s="401">
        <v>0</v>
      </c>
      <c r="AD29" s="61"/>
      <c r="AE29" s="401">
        <v>0</v>
      </c>
      <c r="AF29" s="61"/>
      <c r="AG29" s="401">
        <v>0</v>
      </c>
      <c r="AH29" s="61"/>
      <c r="AI29" s="401">
        <v>0</v>
      </c>
      <c r="AJ29" s="61"/>
      <c r="AK29" s="61">
        <v>0</v>
      </c>
      <c r="AL29" s="680">
        <f t="shared" si="6"/>
        <v>0</v>
      </c>
      <c r="AM29" s="411">
        <f t="shared" si="7"/>
        <v>366</v>
      </c>
      <c r="AN29" s="44" t="s">
        <v>0</v>
      </c>
      <c r="AR29" s="15"/>
      <c r="AS29" s="15"/>
      <c r="AT29" s="65"/>
      <c r="AU29" s="65"/>
      <c r="AV29" s="65"/>
      <c r="AW29" s="65"/>
      <c r="AX29" s="65"/>
      <c r="AY29" s="65"/>
      <c r="AZ29" s="65"/>
      <c r="BA29" s="65"/>
    </row>
    <row r="30" spans="1:53" ht="15.75">
      <c r="A30" s="410" t="s">
        <v>88</v>
      </c>
      <c r="B30" s="61"/>
      <c r="C30" s="419">
        <v>-83</v>
      </c>
      <c r="D30" s="61"/>
      <c r="E30" s="401">
        <v>0</v>
      </c>
      <c r="F30" s="61"/>
      <c r="G30" s="401">
        <v>0</v>
      </c>
      <c r="H30" s="61"/>
      <c r="I30" s="401">
        <v>0</v>
      </c>
      <c r="J30" s="495">
        <v>0</v>
      </c>
      <c r="K30" s="401">
        <v>72</v>
      </c>
      <c r="L30" s="61"/>
      <c r="M30" s="401">
        <v>-64</v>
      </c>
      <c r="N30" s="61"/>
      <c r="O30" s="401">
        <v>0</v>
      </c>
      <c r="P30" s="61"/>
      <c r="Q30" s="401">
        <v>0</v>
      </c>
      <c r="R30" s="61"/>
      <c r="S30" s="401">
        <v>0</v>
      </c>
      <c r="T30" s="61"/>
      <c r="U30" s="401">
        <v>-44</v>
      </c>
      <c r="V30" s="61"/>
      <c r="W30" s="401">
        <v>0</v>
      </c>
      <c r="X30" s="61"/>
      <c r="Y30" s="401">
        <v>0</v>
      </c>
      <c r="Z30" s="60"/>
      <c r="AA30" s="419">
        <v>-8</v>
      </c>
      <c r="AB30" s="61"/>
      <c r="AC30" s="401">
        <v>0</v>
      </c>
      <c r="AD30" s="61"/>
      <c r="AE30" s="401">
        <v>0</v>
      </c>
      <c r="AF30" s="61"/>
      <c r="AG30" s="401">
        <v>-7</v>
      </c>
      <c r="AH30" s="61"/>
      <c r="AI30" s="401">
        <v>0</v>
      </c>
      <c r="AJ30" s="61"/>
      <c r="AK30" s="61">
        <v>0</v>
      </c>
      <c r="AL30" s="680">
        <f t="shared" si="6"/>
        <v>0</v>
      </c>
      <c r="AM30" s="411">
        <f t="shared" si="7"/>
        <v>-134</v>
      </c>
      <c r="AN30" s="44" t="s">
        <v>0</v>
      </c>
      <c r="AR30" s="15"/>
      <c r="AS30" s="15"/>
      <c r="AT30" s="65"/>
      <c r="AU30" s="65"/>
      <c r="AV30" s="65"/>
      <c r="AW30" s="65"/>
      <c r="AX30" s="65"/>
      <c r="AY30" s="65"/>
      <c r="AZ30" s="65"/>
      <c r="BA30" s="65"/>
    </row>
    <row r="31" spans="1:53" ht="15.75">
      <c r="A31" s="671" t="s">
        <v>83</v>
      </c>
      <c r="B31" s="65"/>
      <c r="C31" s="420">
        <v>-179</v>
      </c>
      <c r="D31" s="65"/>
      <c r="E31" s="405">
        <v>-303</v>
      </c>
      <c r="F31" s="65"/>
      <c r="G31" s="405">
        <v>0</v>
      </c>
      <c r="H31" s="65"/>
      <c r="I31" s="405">
        <v>0</v>
      </c>
      <c r="J31" s="663">
        <v>0</v>
      </c>
      <c r="K31" s="405">
        <v>472</v>
      </c>
      <c r="L31" s="65"/>
      <c r="M31" s="405">
        <v>-140</v>
      </c>
      <c r="N31" s="65"/>
      <c r="O31" s="405">
        <v>-238</v>
      </c>
      <c r="P31" s="65"/>
      <c r="Q31" s="405">
        <v>0</v>
      </c>
      <c r="R31" s="65"/>
      <c r="S31" s="405">
        <v>0</v>
      </c>
      <c r="T31" s="65"/>
      <c r="U31" s="405">
        <v>-96</v>
      </c>
      <c r="V31" s="65"/>
      <c r="W31" s="405">
        <v>-163</v>
      </c>
      <c r="X31" s="65"/>
      <c r="Y31" s="405">
        <v>0</v>
      </c>
      <c r="Z31" s="63"/>
      <c r="AA31" s="420">
        <v>-16</v>
      </c>
      <c r="AB31" s="65"/>
      <c r="AC31" s="405">
        <v>-28</v>
      </c>
      <c r="AD31" s="65"/>
      <c r="AE31" s="405">
        <v>0</v>
      </c>
      <c r="AF31" s="65"/>
      <c r="AG31" s="405">
        <v>-16</v>
      </c>
      <c r="AH31" s="65"/>
      <c r="AI31" s="405">
        <v>-26</v>
      </c>
      <c r="AJ31" s="65"/>
      <c r="AK31" s="65">
        <v>0</v>
      </c>
      <c r="AL31" s="663">
        <f t="shared" si="6"/>
        <v>0</v>
      </c>
      <c r="AM31" s="672">
        <f t="shared" si="7"/>
        <v>-733</v>
      </c>
      <c r="AN31" s="44" t="s">
        <v>0</v>
      </c>
      <c r="AR31" s="15"/>
      <c r="AS31" s="15"/>
      <c r="AT31" s="65"/>
      <c r="AU31" s="65"/>
      <c r="AV31" s="65"/>
      <c r="AW31" s="65"/>
      <c r="AX31" s="65"/>
      <c r="AY31" s="65"/>
      <c r="AZ31" s="65"/>
      <c r="BA31" s="65"/>
    </row>
    <row r="32" spans="1:53" ht="16.5" thickBot="1">
      <c r="A32" s="673" t="s">
        <v>282</v>
      </c>
      <c r="B32" s="706">
        <f t="shared" ref="B32:AM32" si="8">SUM(B20:B31)</f>
        <v>0</v>
      </c>
      <c r="C32" s="675">
        <f t="shared" si="8"/>
        <v>-382</v>
      </c>
      <c r="D32" s="674">
        <f t="shared" si="8"/>
        <v>0</v>
      </c>
      <c r="E32" s="675">
        <f t="shared" si="8"/>
        <v>-303</v>
      </c>
      <c r="F32" s="675">
        <f t="shared" si="8"/>
        <v>0</v>
      </c>
      <c r="G32" s="675">
        <f t="shared" si="8"/>
        <v>-152</v>
      </c>
      <c r="H32" s="675">
        <f t="shared" si="8"/>
        <v>0</v>
      </c>
      <c r="I32" s="675">
        <f t="shared" si="8"/>
        <v>-5000</v>
      </c>
      <c r="J32" s="674">
        <f t="shared" si="8"/>
        <v>4</v>
      </c>
      <c r="K32" s="678">
        <f t="shared" si="8"/>
        <v>1519</v>
      </c>
      <c r="L32" s="674">
        <f t="shared" si="8"/>
        <v>0</v>
      </c>
      <c r="M32" s="675">
        <f t="shared" si="8"/>
        <v>-299</v>
      </c>
      <c r="N32" s="674">
        <f t="shared" si="8"/>
        <v>0</v>
      </c>
      <c r="O32" s="675">
        <f t="shared" si="8"/>
        <v>-238</v>
      </c>
      <c r="P32" s="674">
        <f t="shared" si="8"/>
        <v>0</v>
      </c>
      <c r="Q32" s="675">
        <f t="shared" si="8"/>
        <v>-120</v>
      </c>
      <c r="R32" s="674">
        <f t="shared" si="8"/>
        <v>0</v>
      </c>
      <c r="S32" s="675">
        <f t="shared" si="8"/>
        <v>-239</v>
      </c>
      <c r="T32" s="674">
        <f t="shared" si="8"/>
        <v>0</v>
      </c>
      <c r="U32" s="675">
        <f t="shared" si="8"/>
        <v>-205</v>
      </c>
      <c r="V32" s="674">
        <f t="shared" si="8"/>
        <v>0</v>
      </c>
      <c r="W32" s="675">
        <f t="shared" si="8"/>
        <v>-163</v>
      </c>
      <c r="X32" s="674">
        <f t="shared" si="8"/>
        <v>0</v>
      </c>
      <c r="Y32" s="675">
        <f t="shared" si="8"/>
        <v>-82</v>
      </c>
      <c r="Z32" s="674">
        <f t="shared" si="8"/>
        <v>0</v>
      </c>
      <c r="AA32" s="675">
        <f t="shared" si="8"/>
        <v>-35</v>
      </c>
      <c r="AB32" s="674">
        <f t="shared" si="8"/>
        <v>0</v>
      </c>
      <c r="AC32" s="675">
        <f t="shared" si="8"/>
        <v>-28</v>
      </c>
      <c r="AD32" s="674">
        <f t="shared" si="8"/>
        <v>0</v>
      </c>
      <c r="AE32" s="675">
        <f t="shared" si="8"/>
        <v>-14</v>
      </c>
      <c r="AF32" s="674">
        <f t="shared" si="8"/>
        <v>0</v>
      </c>
      <c r="AG32" s="675">
        <f t="shared" si="8"/>
        <v>-33</v>
      </c>
      <c r="AH32" s="674">
        <f t="shared" si="8"/>
        <v>0</v>
      </c>
      <c r="AI32" s="675">
        <f t="shared" si="8"/>
        <v>-26</v>
      </c>
      <c r="AJ32" s="674">
        <f t="shared" si="8"/>
        <v>0</v>
      </c>
      <c r="AK32" s="675">
        <f t="shared" si="8"/>
        <v>-13</v>
      </c>
      <c r="AL32" s="676">
        <f t="shared" si="8"/>
        <v>4</v>
      </c>
      <c r="AM32" s="678">
        <f t="shared" si="8"/>
        <v>-5813</v>
      </c>
      <c r="AN32" s="44" t="s">
        <v>0</v>
      </c>
      <c r="AR32" s="15"/>
      <c r="AS32" s="15"/>
      <c r="AT32" s="421"/>
      <c r="AU32" s="422"/>
      <c r="AV32" s="421"/>
      <c r="AW32" s="422"/>
      <c r="AX32" s="421"/>
      <c r="AY32" s="422"/>
      <c r="AZ32" s="421"/>
      <c r="BA32" s="422"/>
    </row>
    <row r="33" spans="1:54">
      <c r="A33" s="1010"/>
      <c r="B33" s="1010"/>
      <c r="C33" s="1010"/>
      <c r="D33" s="1010"/>
      <c r="E33" s="1010"/>
      <c r="F33" s="1010"/>
      <c r="G33" s="1010"/>
      <c r="H33" s="1010"/>
      <c r="I33" s="1010"/>
      <c r="J33" s="1010"/>
      <c r="K33" s="1010"/>
      <c r="L33" s="1010"/>
      <c r="M33" s="1010"/>
      <c r="N33" s="1010"/>
      <c r="O33" s="1010"/>
      <c r="P33" s="1010"/>
      <c r="Q33" s="1010"/>
      <c r="R33" s="1010"/>
      <c r="S33" s="1010"/>
      <c r="T33" s="1010"/>
      <c r="U33" s="1010"/>
      <c r="V33" s="1010"/>
      <c r="W33" s="1010"/>
      <c r="X33" s="1010"/>
      <c r="Y33" s="1010"/>
      <c r="Z33" s="1010"/>
      <c r="AA33" s="1010"/>
      <c r="AB33" s="1010"/>
      <c r="AC33" s="1010"/>
      <c r="AD33" s="1010"/>
      <c r="AE33" s="1010"/>
      <c r="AF33" s="1010"/>
      <c r="AG33" s="1010"/>
      <c r="AH33" s="1010"/>
      <c r="AI33" s="1010"/>
      <c r="AJ33" s="1010"/>
      <c r="AK33" s="1010"/>
      <c r="AL33" s="1010"/>
      <c r="AM33" s="1010"/>
      <c r="AN33" s="44" t="s">
        <v>0</v>
      </c>
      <c r="AO33" s="15"/>
      <c r="AP33" s="15"/>
      <c r="AQ33" s="15"/>
      <c r="AR33" s="15"/>
      <c r="AS33" s="15"/>
      <c r="AT33" s="15"/>
      <c r="AU33" s="15"/>
      <c r="AV33" s="15"/>
      <c r="AW33" s="15"/>
      <c r="AX33" s="15"/>
      <c r="AY33" s="15"/>
      <c r="AZ33" s="15"/>
      <c r="BA33" s="15"/>
      <c r="BB33" s="15"/>
    </row>
    <row r="34" spans="1:54" ht="18.75">
      <c r="A34" s="939" t="s">
        <v>4</v>
      </c>
      <c r="B34" s="939"/>
      <c r="C34" s="939"/>
      <c r="D34" s="939"/>
      <c r="E34" s="939"/>
      <c r="F34" s="567"/>
      <c r="G34" s="567"/>
      <c r="H34" s="567"/>
      <c r="I34" s="567"/>
      <c r="J34" s="567"/>
      <c r="K34" s="567"/>
      <c r="L34" s="567"/>
      <c r="M34" s="567"/>
      <c r="N34" s="567"/>
      <c r="O34" s="567"/>
      <c r="P34" s="567"/>
      <c r="Q34" s="567"/>
      <c r="R34" s="567"/>
      <c r="S34" s="567"/>
      <c r="T34" s="567"/>
      <c r="U34" s="567"/>
      <c r="V34" s="567"/>
      <c r="W34" s="567"/>
      <c r="X34" s="567"/>
      <c r="Y34" s="567"/>
      <c r="Z34" s="567"/>
      <c r="AA34" s="567"/>
      <c r="AB34" s="567"/>
      <c r="AC34" s="567"/>
      <c r="AD34" s="567"/>
      <c r="AE34" s="567"/>
      <c r="AF34" s="567"/>
      <c r="AG34" s="567"/>
      <c r="AH34" s="567"/>
      <c r="AI34" s="567"/>
      <c r="AJ34" s="567"/>
      <c r="AK34" s="567"/>
      <c r="AL34" s="567"/>
      <c r="AM34" s="567"/>
      <c r="AN34" s="44" t="s">
        <v>0</v>
      </c>
    </row>
    <row r="35" spans="1:54" ht="16.5">
      <c r="A35" s="941" t="str">
        <f ca="1">+'B. Summary of Requirements_Cons'!A36:X36</f>
        <v>United States Marshals Service</v>
      </c>
      <c r="B35" s="941"/>
      <c r="C35" s="941"/>
      <c r="D35" s="941"/>
      <c r="E35" s="941"/>
      <c r="F35" s="568"/>
      <c r="G35" s="568"/>
      <c r="H35" s="568"/>
      <c r="I35" s="568"/>
      <c r="J35" s="568"/>
      <c r="K35" s="568"/>
      <c r="L35" s="568"/>
      <c r="M35" s="568"/>
      <c r="N35" s="568"/>
      <c r="O35" s="568"/>
      <c r="P35" s="568"/>
      <c r="Q35" s="568"/>
      <c r="R35" s="568"/>
      <c r="S35" s="568"/>
      <c r="T35" s="568"/>
      <c r="U35" s="568"/>
      <c r="V35" s="568"/>
      <c r="W35" s="568"/>
      <c r="X35" s="568"/>
      <c r="Y35" s="568"/>
      <c r="Z35" s="568"/>
      <c r="AA35" s="568"/>
      <c r="AB35" s="568"/>
      <c r="AC35" s="568"/>
      <c r="AD35" s="568"/>
      <c r="AE35" s="568"/>
      <c r="AF35" s="568"/>
      <c r="AG35" s="568"/>
      <c r="AH35" s="568"/>
      <c r="AI35" s="568"/>
      <c r="AJ35" s="568"/>
      <c r="AK35" s="568"/>
      <c r="AL35" s="568"/>
      <c r="AM35" s="568"/>
      <c r="AN35" s="44" t="s">
        <v>0</v>
      </c>
    </row>
    <row r="36" spans="1:54" ht="16.5">
      <c r="A36" s="941" t="str">
        <f ca="1">+'B. Summary of Requirements_Cons'!A37:X37</f>
        <v>Construction</v>
      </c>
      <c r="B36" s="941"/>
      <c r="C36" s="941"/>
      <c r="D36" s="941"/>
      <c r="E36" s="941"/>
      <c r="F36" s="941"/>
      <c r="G36" s="941"/>
      <c r="H36" s="941"/>
      <c r="I36" s="941"/>
      <c r="J36" s="941"/>
      <c r="K36" s="941"/>
      <c r="L36" s="941"/>
      <c r="M36" s="941"/>
      <c r="N36" s="941"/>
      <c r="O36" s="941"/>
      <c r="P36" s="941"/>
      <c r="Q36" s="941"/>
      <c r="R36" s="941"/>
      <c r="S36" s="941"/>
      <c r="T36" s="941"/>
      <c r="U36" s="941"/>
      <c r="V36" s="941"/>
      <c r="W36" s="941"/>
      <c r="X36" s="941"/>
      <c r="Y36" s="941"/>
      <c r="Z36" s="941"/>
      <c r="AA36" s="941"/>
      <c r="AB36" s="941"/>
      <c r="AC36" s="941"/>
      <c r="AD36" s="941"/>
      <c r="AE36" s="941"/>
      <c r="AF36" s="941"/>
      <c r="AG36" s="941"/>
      <c r="AH36" s="941"/>
      <c r="AI36" s="941"/>
      <c r="AJ36" s="941"/>
      <c r="AK36" s="941"/>
      <c r="AL36" s="941"/>
      <c r="AM36" s="941"/>
      <c r="AN36" s="44" t="s">
        <v>0</v>
      </c>
    </row>
    <row r="37" spans="1:54" ht="16.5">
      <c r="A37" s="943" t="s">
        <v>265</v>
      </c>
      <c r="B37" s="943"/>
      <c r="C37" s="943"/>
      <c r="D37" s="943"/>
      <c r="E37" s="943"/>
      <c r="F37" s="941"/>
      <c r="G37" s="941"/>
      <c r="H37" s="941"/>
      <c r="I37" s="941"/>
      <c r="J37" s="941"/>
      <c r="K37" s="941"/>
      <c r="L37" s="941"/>
      <c r="M37" s="941"/>
      <c r="N37" s="941"/>
      <c r="O37" s="941"/>
      <c r="P37" s="941"/>
      <c r="Q37" s="941"/>
      <c r="R37" s="941"/>
      <c r="S37" s="941"/>
      <c r="T37" s="941"/>
      <c r="U37" s="941"/>
      <c r="V37" s="941"/>
      <c r="W37" s="941"/>
      <c r="X37" s="941"/>
      <c r="Y37" s="941"/>
      <c r="Z37" s="941"/>
      <c r="AA37" s="941"/>
      <c r="AB37" s="941"/>
      <c r="AC37" s="941"/>
      <c r="AD37" s="941"/>
      <c r="AE37" s="941"/>
      <c r="AF37" s="941"/>
      <c r="AG37" s="941"/>
      <c r="AH37" s="941"/>
      <c r="AI37" s="941"/>
      <c r="AJ37" s="941"/>
      <c r="AK37" s="941"/>
      <c r="AL37" s="941"/>
      <c r="AM37" s="941"/>
      <c r="AN37" s="44" t="s">
        <v>0</v>
      </c>
    </row>
    <row r="38" spans="1:54">
      <c r="A38" s="1007"/>
      <c r="B38" s="1007"/>
      <c r="C38" s="1007"/>
      <c r="D38" s="1007"/>
      <c r="E38" s="1007"/>
      <c r="F38" s="1007"/>
      <c r="G38" s="1009"/>
      <c r="H38" s="1009"/>
      <c r="I38" s="1009"/>
      <c r="J38" s="1009"/>
      <c r="K38" s="1009"/>
      <c r="L38" s="1009"/>
      <c r="M38" s="1009"/>
      <c r="N38" s="1009"/>
      <c r="O38" s="1009"/>
      <c r="P38" s="1009"/>
      <c r="Q38" s="1009"/>
      <c r="R38" s="1009"/>
      <c r="S38" s="1009"/>
      <c r="T38" s="1009"/>
      <c r="U38" s="1009"/>
      <c r="V38" s="1009"/>
      <c r="W38" s="1009"/>
      <c r="X38" s="1009"/>
      <c r="Y38" s="1009"/>
      <c r="Z38" s="1009"/>
      <c r="AA38" s="1009"/>
      <c r="AB38" s="1009"/>
      <c r="AC38" s="1009"/>
      <c r="AD38" s="1009"/>
      <c r="AE38" s="1009"/>
      <c r="AF38" s="1009"/>
      <c r="AG38" s="1009"/>
      <c r="AH38" s="1009"/>
      <c r="AI38" s="1009"/>
      <c r="AJ38" s="1009"/>
      <c r="AK38" s="1009"/>
      <c r="AL38" s="1009"/>
      <c r="AM38" s="1009"/>
      <c r="AN38" s="44" t="s">
        <v>0</v>
      </c>
      <c r="AR38" s="15"/>
      <c r="AS38" s="15"/>
      <c r="AT38" s="15"/>
      <c r="AU38" s="15"/>
      <c r="AV38" s="15"/>
      <c r="AW38" s="15"/>
      <c r="AX38" s="15"/>
      <c r="AY38" s="15"/>
      <c r="AZ38" s="15"/>
      <c r="BA38" s="15"/>
    </row>
    <row r="39" spans="1:54" ht="36.75" customHeight="1">
      <c r="A39" s="991"/>
      <c r="B39" s="494" t="s">
        <v>358</v>
      </c>
      <c r="C39" s="665" t="s">
        <v>338</v>
      </c>
      <c r="D39" s="1003" t="s">
        <v>413</v>
      </c>
      <c r="E39" s="1004"/>
      <c r="F39" s="44" t="s">
        <v>0</v>
      </c>
      <c r="G39" s="15"/>
      <c r="H39" s="15"/>
      <c r="I39" s="15"/>
      <c r="J39" s="15"/>
      <c r="K39" s="998"/>
      <c r="L39" s="998"/>
      <c r="M39" s="998"/>
      <c r="N39" s="998"/>
      <c r="O39" s="998"/>
      <c r="P39" s="998"/>
      <c r="Q39" s="998"/>
      <c r="R39" s="998"/>
      <c r="S39" s="15"/>
      <c r="T39" s="15"/>
      <c r="U39" s="15"/>
      <c r="V39" s="15"/>
      <c r="W39" s="15"/>
      <c r="X39" s="15"/>
      <c r="Y39" s="15"/>
      <c r="Z39" s="15"/>
      <c r="AA39" s="15"/>
      <c r="AB39" s="15"/>
      <c r="AC39" s="15"/>
      <c r="AD39" s="15"/>
      <c r="AE39" s="15"/>
      <c r="AF39" s="15"/>
      <c r="AG39" s="15"/>
      <c r="AH39" s="15"/>
      <c r="AI39" s="15"/>
      <c r="AJ39" s="15"/>
      <c r="AK39" s="15"/>
      <c r="AL39" s="15"/>
      <c r="AM39" s="15"/>
      <c r="AN39" s="44" t="s">
        <v>0</v>
      </c>
    </row>
    <row r="40" spans="1:54" ht="38.25" customHeight="1">
      <c r="A40" s="1011"/>
      <c r="B40" s="494" t="s">
        <v>412</v>
      </c>
      <c r="C40" s="666" t="s">
        <v>457</v>
      </c>
      <c r="D40" s="1005"/>
      <c r="E40" s="1006"/>
      <c r="F40" s="44" t="s">
        <v>0</v>
      </c>
      <c r="J40" s="15"/>
      <c r="K40" s="998"/>
      <c r="L40" s="998"/>
      <c r="M40" s="998"/>
      <c r="N40" s="998"/>
      <c r="O40" s="998"/>
      <c r="P40" s="998"/>
      <c r="Q40" s="999"/>
      <c r="R40" s="999"/>
      <c r="AN40" s="44" t="s">
        <v>0</v>
      </c>
    </row>
    <row r="41" spans="1:54" s="727" customFormat="1" ht="16.5" thickBot="1">
      <c r="A41" s="730"/>
      <c r="B41" s="61"/>
      <c r="C41" s="659" t="s">
        <v>361</v>
      </c>
      <c r="D41" s="659" t="s">
        <v>361</v>
      </c>
      <c r="E41" s="659" t="s">
        <v>361</v>
      </c>
      <c r="F41" s="44" t="s">
        <v>0</v>
      </c>
      <c r="J41" s="728"/>
      <c r="K41" s="65"/>
      <c r="L41" s="65"/>
      <c r="M41" s="65"/>
      <c r="N41" s="65"/>
      <c r="O41" s="65"/>
      <c r="P41" s="65"/>
      <c r="Q41" s="65"/>
      <c r="R41" s="65"/>
      <c r="AN41" s="44" t="s">
        <v>0</v>
      </c>
    </row>
    <row r="42" spans="1:54" ht="15.75">
      <c r="A42" s="729" t="s">
        <v>87</v>
      </c>
      <c r="B42" s="61">
        <v>-11000</v>
      </c>
      <c r="C42" s="670">
        <v>-11000</v>
      </c>
      <c r="D42" s="677"/>
      <c r="E42" s="411">
        <f>SUM(C42:C42)</f>
        <v>-11000</v>
      </c>
      <c r="F42" s="44" t="s">
        <v>0</v>
      </c>
      <c r="J42" s="15"/>
      <c r="K42" s="65"/>
      <c r="L42" s="65"/>
      <c r="M42" s="65"/>
      <c r="N42" s="65"/>
      <c r="O42" s="65"/>
      <c r="P42" s="65"/>
      <c r="Q42" s="65"/>
      <c r="R42" s="65"/>
      <c r="AN42" s="44" t="s">
        <v>0</v>
      </c>
    </row>
    <row r="43" spans="1:54" ht="16.5" thickBot="1">
      <c r="A43" s="667" t="s">
        <v>282</v>
      </c>
      <c r="B43" s="703">
        <f>SUM(B42:B42)</f>
        <v>-11000</v>
      </c>
      <c r="C43" s="704">
        <f>SUM(C42:C42)</f>
        <v>-11000</v>
      </c>
      <c r="D43" s="669">
        <f>SUM(D42:D42)</f>
        <v>0</v>
      </c>
      <c r="E43" s="668">
        <f>SUM(E42:E42)</f>
        <v>-11000</v>
      </c>
      <c r="F43" s="44" t="s">
        <v>23</v>
      </c>
      <c r="J43" s="15"/>
      <c r="K43" s="421"/>
      <c r="L43" s="422"/>
      <c r="M43" s="421"/>
      <c r="N43" s="422"/>
      <c r="O43" s="421"/>
      <c r="P43" s="422"/>
      <c r="Q43" s="421"/>
      <c r="R43" s="422"/>
      <c r="AN43" s="44" t="s">
        <v>23</v>
      </c>
    </row>
    <row r="44" spans="1:54">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45"/>
      <c r="AO44" s="15"/>
      <c r="AP44" s="15"/>
      <c r="AQ44" s="15"/>
      <c r="AR44" s="15"/>
      <c r="AS44" s="15"/>
      <c r="AT44" s="15"/>
      <c r="AU44" s="15"/>
      <c r="AV44" s="15"/>
      <c r="AW44" s="15"/>
      <c r="AX44" s="15"/>
      <c r="AY44" s="15"/>
      <c r="AZ44" s="15"/>
      <c r="BA44" s="15"/>
      <c r="BB44" s="15"/>
    </row>
    <row r="47" spans="1:54">
      <c r="AM47" s="423"/>
    </row>
  </sheetData>
  <customSheetViews>
    <customSheetView guid="{9A28834D-6BE2-4884-BE97-BE00946B08BB}" scale="75" showPageBreaks="1" fitToPage="1" printArea="1" hiddenRows="1" hiddenColumns="1" view="pageBreakPreview">
      <pane xSplit="1" ySplit="12" topLeftCell="C13" activePane="bottomRight" state="frozen"/>
      <selection pane="bottomRight" activeCell="K37" sqref="K37:O37"/>
      <pageMargins left="0.25" right="0.25" top="0.75" bottom="0.5" header="0.5" footer="0.25"/>
      <printOptions horizontalCentered="1"/>
      <pageSetup scale="55" orientation="landscape" r:id="rId1"/>
      <headerFooter alignWithMargins="0">
        <oddFooter xml:space="preserve">&amp;C&amp;"Times New Roman,Regular"&amp;14Exhibit J - Financial Analysis of Program Changes&amp;12
</oddFooter>
      </headerFooter>
    </customSheetView>
  </customSheetViews>
  <mergeCells count="63">
    <mergeCell ref="A33:AM33"/>
    <mergeCell ref="F36:J36"/>
    <mergeCell ref="K36:O36"/>
    <mergeCell ref="D39:E40"/>
    <mergeCell ref="K39:R39"/>
    <mergeCell ref="AJ36:AM36"/>
    <mergeCell ref="A37:E37"/>
    <mergeCell ref="F37:J37"/>
    <mergeCell ref="K37:O37"/>
    <mergeCell ref="P37:T37"/>
    <mergeCell ref="U37:Y37"/>
    <mergeCell ref="Z37:AD37"/>
    <mergeCell ref="AE37:AI37"/>
    <mergeCell ref="AJ37:AM37"/>
    <mergeCell ref="A39:A40"/>
    <mergeCell ref="K40:L40"/>
    <mergeCell ref="O40:P40"/>
    <mergeCell ref="Q40:R40"/>
    <mergeCell ref="A34:E34"/>
    <mergeCell ref="A35:E35"/>
    <mergeCell ref="A36:E36"/>
    <mergeCell ref="A38:AM38"/>
    <mergeCell ref="P36:T36"/>
    <mergeCell ref="U36:Y36"/>
    <mergeCell ref="Z36:AD36"/>
    <mergeCell ref="AE36:AI36"/>
    <mergeCell ref="M40:N40"/>
    <mergeCell ref="A9:AM9"/>
    <mergeCell ref="A4:AM4"/>
    <mergeCell ref="A5:AM5"/>
    <mergeCell ref="A6:AM6"/>
    <mergeCell ref="A7:AM7"/>
    <mergeCell ref="A8:AM8"/>
    <mergeCell ref="AX11:AY11"/>
    <mergeCell ref="AZ11:BA11"/>
    <mergeCell ref="AT10:BA10"/>
    <mergeCell ref="L11:M11"/>
    <mergeCell ref="AF11:AG11"/>
    <mergeCell ref="AT11:AU11"/>
    <mergeCell ref="AV11:AW11"/>
    <mergeCell ref="T10:Y10"/>
    <mergeCell ref="Z10:AE10"/>
    <mergeCell ref="X11:Y11"/>
    <mergeCell ref="Z11:AA11"/>
    <mergeCell ref="AB11:AC11"/>
    <mergeCell ref="AD11:AE11"/>
    <mergeCell ref="AL10:AM11"/>
    <mergeCell ref="AH11:AI11"/>
    <mergeCell ref="J10:S10"/>
    <mergeCell ref="A10:A12"/>
    <mergeCell ref="T11:U11"/>
    <mergeCell ref="V11:W11"/>
    <mergeCell ref="AF10:AK10"/>
    <mergeCell ref="N11:O11"/>
    <mergeCell ref="P11:Q11"/>
    <mergeCell ref="R11:S11"/>
    <mergeCell ref="C10:I10"/>
    <mergeCell ref="B11:C11"/>
    <mergeCell ref="D11:E11"/>
    <mergeCell ref="F11:G11"/>
    <mergeCell ref="H11:I11"/>
    <mergeCell ref="J11:K11"/>
    <mergeCell ref="AJ11:AK11"/>
  </mergeCells>
  <printOptions horizontalCentered="1"/>
  <pageMargins left="0.25" right="0.25" top="0.75" bottom="0.5" header="0.5" footer="0.25"/>
  <pageSetup scale="55" orientation="landscape" r:id="rId2"/>
  <headerFooter alignWithMargins="0">
    <oddFooter xml:space="preserve">&amp;C&amp;"Times New Roman,Regular"&amp;14Exhibit J - Financial Analysis of Program Changes&amp;12
</oddFooter>
  </headerFooter>
</worksheet>
</file>

<file path=xl/worksheets/sheet14.xml><?xml version="1.0" encoding="utf-8"?>
<worksheet xmlns="http://schemas.openxmlformats.org/spreadsheetml/2006/main" xmlns:r="http://schemas.openxmlformats.org/officeDocument/2006/relationships">
  <sheetPr>
    <pageSetUpPr fitToPage="1"/>
  </sheetPr>
  <dimension ref="A1:J34"/>
  <sheetViews>
    <sheetView showGridLines="0" showOutlineSymbols="0" view="pageBreakPreview" zoomScale="75" zoomScaleNormal="75" workbookViewId="0">
      <pane xSplit="1" ySplit="11" topLeftCell="B12" activePane="bottomRight" state="frozen"/>
      <selection activeCell="O11" sqref="O11"/>
      <selection pane="topRight" activeCell="O11" sqref="O11"/>
      <selection pane="bottomLeft" activeCell="O11" sqref="O11"/>
      <selection pane="bottomRight" activeCell="G32" sqref="G32"/>
    </sheetView>
  </sheetViews>
  <sheetFormatPr defaultColWidth="9.6640625" defaultRowHeight="15.75"/>
  <cols>
    <col min="1" max="1" width="57" style="534" customWidth="1"/>
    <col min="2" max="2" width="8.33203125" style="534" customWidth="1"/>
    <col min="3" max="3" width="12.109375" style="534" customWidth="1"/>
    <col min="4" max="4" width="8.77734375" style="534" customWidth="1"/>
    <col min="5" max="5" width="9.77734375" style="534" customWidth="1"/>
    <col min="6" max="6" width="9.21875" style="534" customWidth="1"/>
    <col min="7" max="7" width="9.77734375" style="534" customWidth="1"/>
    <col min="8" max="8" width="7.77734375" style="534" customWidth="1"/>
    <col min="9" max="9" width="11.77734375" style="534" bestFit="1" customWidth="1"/>
    <col min="10" max="10" width="1.21875" style="553" customWidth="1"/>
    <col min="11" max="16384" width="9.6640625" style="534"/>
  </cols>
  <sheetData>
    <row r="1" spans="1:10" ht="20.25">
      <c r="A1" s="1012" t="s">
        <v>235</v>
      </c>
      <c r="B1" s="966"/>
      <c r="C1" s="966"/>
      <c r="D1" s="966"/>
      <c r="E1" s="966"/>
      <c r="F1" s="966"/>
      <c r="G1" s="966"/>
      <c r="H1" s="966"/>
      <c r="I1" s="966"/>
      <c r="J1" s="533" t="s">
        <v>0</v>
      </c>
    </row>
    <row r="2" spans="1:10" ht="18.75">
      <c r="A2" s="1013"/>
      <c r="B2" s="1013"/>
      <c r="C2" s="1013"/>
      <c r="D2" s="1013"/>
      <c r="E2" s="1013"/>
      <c r="F2" s="1013"/>
      <c r="G2" s="1013"/>
      <c r="H2" s="1013"/>
      <c r="I2" s="1013"/>
      <c r="J2" s="533" t="s">
        <v>0</v>
      </c>
    </row>
    <row r="3" spans="1:10">
      <c r="A3" s="964"/>
      <c r="B3" s="964"/>
      <c r="C3" s="964"/>
      <c r="D3" s="964"/>
      <c r="E3" s="964"/>
      <c r="F3" s="964"/>
      <c r="G3" s="964"/>
      <c r="H3" s="964"/>
      <c r="I3" s="964"/>
      <c r="J3" s="533" t="s">
        <v>0</v>
      </c>
    </row>
    <row r="4" spans="1:10" ht="20.25">
      <c r="A4" s="1014" t="s">
        <v>297</v>
      </c>
      <c r="B4" s="962"/>
      <c r="C4" s="962"/>
      <c r="D4" s="962"/>
      <c r="E4" s="962"/>
      <c r="F4" s="962"/>
      <c r="G4" s="962"/>
      <c r="H4" s="962"/>
      <c r="I4" s="962"/>
      <c r="J4" s="533" t="s">
        <v>0</v>
      </c>
    </row>
    <row r="5" spans="1:10" ht="18.75">
      <c r="A5" s="1015" t="str">
        <f>+'[3]B. Summary of Requirements_S&amp;E '!A5</f>
        <v>United States Marshals Service</v>
      </c>
      <c r="B5" s="962"/>
      <c r="C5" s="962"/>
      <c r="D5" s="962"/>
      <c r="E5" s="962"/>
      <c r="F5" s="962"/>
      <c r="G5" s="962"/>
      <c r="H5" s="962"/>
      <c r="I5" s="962"/>
      <c r="J5" s="533" t="s">
        <v>0</v>
      </c>
    </row>
    <row r="6" spans="1:10" ht="18.75">
      <c r="A6" s="1015" t="str">
        <f>+'[3]B. Summary of Requirements_S&amp;E '!A6</f>
        <v>Salaries and Expenses</v>
      </c>
      <c r="B6" s="962"/>
      <c r="C6" s="962"/>
      <c r="D6" s="962"/>
      <c r="E6" s="962"/>
      <c r="F6" s="962"/>
      <c r="G6" s="962"/>
      <c r="H6" s="962"/>
      <c r="I6" s="962"/>
      <c r="J6" s="533" t="s">
        <v>0</v>
      </c>
    </row>
    <row r="7" spans="1:10">
      <c r="A7" s="964"/>
      <c r="B7" s="964"/>
      <c r="C7" s="964"/>
      <c r="D7" s="964"/>
      <c r="E7" s="964"/>
      <c r="F7" s="964"/>
      <c r="G7" s="964"/>
      <c r="H7" s="964"/>
      <c r="I7" s="964"/>
      <c r="J7" s="533" t="s">
        <v>0</v>
      </c>
    </row>
    <row r="8" spans="1:10">
      <c r="A8" s="964" t="s">
        <v>288</v>
      </c>
      <c r="B8" s="964"/>
      <c r="C8" s="964"/>
      <c r="D8" s="964"/>
      <c r="E8" s="964"/>
      <c r="F8" s="964"/>
      <c r="G8" s="964"/>
      <c r="H8" s="964"/>
      <c r="I8" s="964"/>
      <c r="J8" s="533" t="s">
        <v>0</v>
      </c>
    </row>
    <row r="9" spans="1:10">
      <c r="A9" s="1018" t="s">
        <v>56</v>
      </c>
      <c r="B9" s="1021" t="s">
        <v>19</v>
      </c>
      <c r="C9" s="1022"/>
      <c r="D9" s="1025" t="s">
        <v>333</v>
      </c>
      <c r="E9" s="1026"/>
      <c r="F9" s="1025" t="s">
        <v>44</v>
      </c>
      <c r="G9" s="1026"/>
      <c r="H9" s="1025" t="s">
        <v>46</v>
      </c>
      <c r="I9" s="1026"/>
      <c r="J9" s="533" t="s">
        <v>0</v>
      </c>
    </row>
    <row r="10" spans="1:10" ht="30.75" customHeight="1">
      <c r="A10" s="1019"/>
      <c r="B10" s="1023"/>
      <c r="C10" s="1024"/>
      <c r="D10" s="1027"/>
      <c r="E10" s="1028"/>
      <c r="F10" s="1027"/>
      <c r="G10" s="1028"/>
      <c r="H10" s="1027"/>
      <c r="I10" s="1028"/>
      <c r="J10" s="533" t="s">
        <v>0</v>
      </c>
    </row>
    <row r="11" spans="1:10" ht="16.5" thickBot="1">
      <c r="A11" s="1020"/>
      <c r="B11" s="535" t="s">
        <v>287</v>
      </c>
      <c r="C11" s="536" t="s">
        <v>289</v>
      </c>
      <c r="D11" s="535" t="s">
        <v>287</v>
      </c>
      <c r="E11" s="536" t="s">
        <v>289</v>
      </c>
      <c r="F11" s="535" t="s">
        <v>287</v>
      </c>
      <c r="G11" s="536" t="s">
        <v>289</v>
      </c>
      <c r="H11" s="535" t="s">
        <v>287</v>
      </c>
      <c r="I11" s="537" t="s">
        <v>289</v>
      </c>
      <c r="J11" s="533" t="s">
        <v>0</v>
      </c>
    </row>
    <row r="12" spans="1:10">
      <c r="A12" s="538" t="s">
        <v>382</v>
      </c>
      <c r="B12" s="539">
        <v>1</v>
      </c>
      <c r="C12" s="540"/>
      <c r="D12" s="539">
        <v>1</v>
      </c>
      <c r="E12" s="540"/>
      <c r="F12" s="539">
        <v>1</v>
      </c>
      <c r="G12" s="540"/>
      <c r="H12" s="539">
        <f>+F12-B12</f>
        <v>0</v>
      </c>
      <c r="I12" s="595"/>
      <c r="J12" s="533" t="s">
        <v>0</v>
      </c>
    </row>
    <row r="13" spans="1:10">
      <c r="A13" s="538" t="s">
        <v>383</v>
      </c>
      <c r="B13" s="539">
        <v>36</v>
      </c>
      <c r="C13" s="540"/>
      <c r="D13" s="539">
        <v>36</v>
      </c>
      <c r="E13" s="540"/>
      <c r="F13" s="539">
        <v>36</v>
      </c>
      <c r="G13" s="540"/>
      <c r="H13" s="539">
        <f>+F13-B13</f>
        <v>0</v>
      </c>
      <c r="I13" s="596"/>
      <c r="J13" s="533" t="s">
        <v>0</v>
      </c>
    </row>
    <row r="14" spans="1:10">
      <c r="A14" s="538" t="s">
        <v>227</v>
      </c>
      <c r="B14" s="539">
        <v>15</v>
      </c>
      <c r="C14" s="540"/>
      <c r="D14" s="539">
        <v>15</v>
      </c>
      <c r="E14" s="540"/>
      <c r="F14" s="539">
        <v>15</v>
      </c>
      <c r="G14" s="540"/>
      <c r="H14" s="539">
        <f t="shared" ref="H14:H29" si="0">+F14-B14</f>
        <v>0</v>
      </c>
      <c r="I14" s="596"/>
      <c r="J14" s="533" t="s">
        <v>0</v>
      </c>
    </row>
    <row r="15" spans="1:10">
      <c r="A15" s="541" t="s">
        <v>226</v>
      </c>
      <c r="B15" s="539">
        <v>134</v>
      </c>
      <c r="C15" s="540"/>
      <c r="D15" s="539">
        <v>134</v>
      </c>
      <c r="E15" s="540"/>
      <c r="F15" s="539">
        <v>134</v>
      </c>
      <c r="G15" s="540"/>
      <c r="H15" s="539">
        <f t="shared" si="0"/>
        <v>0</v>
      </c>
      <c r="I15" s="596"/>
      <c r="J15" s="533" t="s">
        <v>0</v>
      </c>
    </row>
    <row r="16" spans="1:10">
      <c r="A16" s="541" t="s">
        <v>225</v>
      </c>
      <c r="B16" s="539">
        <v>204</v>
      </c>
      <c r="C16" s="540"/>
      <c r="D16" s="539">
        <v>204</v>
      </c>
      <c r="E16" s="540"/>
      <c r="F16" s="539">
        <v>204</v>
      </c>
      <c r="G16" s="540"/>
      <c r="H16" s="539">
        <f t="shared" si="0"/>
        <v>0</v>
      </c>
      <c r="I16" s="596"/>
      <c r="J16" s="533" t="s">
        <v>0</v>
      </c>
    </row>
    <row r="17" spans="1:10">
      <c r="A17" s="541" t="s">
        <v>224</v>
      </c>
      <c r="B17" s="539">
        <v>1004</v>
      </c>
      <c r="C17" s="540"/>
      <c r="D17" s="539">
        <v>1004</v>
      </c>
      <c r="E17" s="540"/>
      <c r="F17" s="539">
        <v>1004</v>
      </c>
      <c r="G17" s="540"/>
      <c r="H17" s="539">
        <f t="shared" si="0"/>
        <v>0</v>
      </c>
      <c r="I17" s="596"/>
      <c r="J17" s="533" t="s">
        <v>0</v>
      </c>
    </row>
    <row r="18" spans="1:10">
      <c r="A18" s="541" t="s">
        <v>223</v>
      </c>
      <c r="B18" s="539">
        <v>1791</v>
      </c>
      <c r="C18" s="540"/>
      <c r="D18" s="539">
        <v>1791</v>
      </c>
      <c r="E18" s="540"/>
      <c r="F18" s="539">
        <v>1791</v>
      </c>
      <c r="G18" s="540"/>
      <c r="H18" s="539">
        <f t="shared" si="0"/>
        <v>0</v>
      </c>
      <c r="I18" s="596"/>
      <c r="J18" s="533" t="s">
        <v>0</v>
      </c>
    </row>
    <row r="19" spans="1:10">
      <c r="A19" s="541" t="s">
        <v>222</v>
      </c>
      <c r="B19" s="539">
        <v>780</v>
      </c>
      <c r="C19" s="540"/>
      <c r="D19" s="539">
        <v>780</v>
      </c>
      <c r="E19" s="540"/>
      <c r="F19" s="539">
        <v>780</v>
      </c>
      <c r="G19" s="540"/>
      <c r="H19" s="539">
        <f t="shared" si="0"/>
        <v>0</v>
      </c>
      <c r="I19" s="596"/>
      <c r="J19" s="533" t="s">
        <v>0</v>
      </c>
    </row>
    <row r="20" spans="1:10">
      <c r="A20" s="541" t="s">
        <v>221</v>
      </c>
      <c r="B20" s="539">
        <v>9</v>
      </c>
      <c r="C20" s="540"/>
      <c r="D20" s="539">
        <v>9</v>
      </c>
      <c r="E20" s="540"/>
      <c r="F20" s="539">
        <v>9</v>
      </c>
      <c r="G20" s="540"/>
      <c r="H20" s="539">
        <f t="shared" si="0"/>
        <v>0</v>
      </c>
      <c r="I20" s="596"/>
      <c r="J20" s="533" t="s">
        <v>0</v>
      </c>
    </row>
    <row r="21" spans="1:10">
      <c r="A21" s="541" t="s">
        <v>220</v>
      </c>
      <c r="B21" s="539">
        <f>459+26</f>
        <v>485</v>
      </c>
      <c r="C21" s="540"/>
      <c r="D21" s="539">
        <v>459</v>
      </c>
      <c r="E21" s="540"/>
      <c r="F21" s="539">
        <f>459+39+2</f>
        <v>500</v>
      </c>
      <c r="G21" s="540"/>
      <c r="H21" s="539">
        <f t="shared" si="0"/>
        <v>15</v>
      </c>
      <c r="I21" s="596"/>
      <c r="J21" s="533" t="s">
        <v>0</v>
      </c>
    </row>
    <row r="22" spans="1:10">
      <c r="A22" s="541" t="s">
        <v>219</v>
      </c>
      <c r="B22" s="539">
        <v>51</v>
      </c>
      <c r="C22" s="540"/>
      <c r="D22" s="539">
        <v>51</v>
      </c>
      <c r="E22" s="540"/>
      <c r="F22" s="539">
        <v>51</v>
      </c>
      <c r="G22" s="540"/>
      <c r="H22" s="539">
        <f t="shared" si="0"/>
        <v>0</v>
      </c>
      <c r="I22" s="596"/>
      <c r="J22" s="533" t="s">
        <v>0</v>
      </c>
    </row>
    <row r="23" spans="1:10">
      <c r="A23" s="541" t="s">
        <v>218</v>
      </c>
      <c r="B23" s="539">
        <f>1045+96</f>
        <v>1141</v>
      </c>
      <c r="C23" s="540"/>
      <c r="D23" s="539">
        <v>1045</v>
      </c>
      <c r="E23" s="540"/>
      <c r="F23" s="539">
        <f>1045+83+6</f>
        <v>1134</v>
      </c>
      <c r="G23" s="540"/>
      <c r="H23" s="539">
        <f t="shared" si="0"/>
        <v>-7</v>
      </c>
      <c r="I23" s="596"/>
      <c r="J23" s="533" t="s">
        <v>0</v>
      </c>
    </row>
    <row r="24" spans="1:10">
      <c r="A24" s="541" t="s">
        <v>217</v>
      </c>
      <c r="B24" s="539">
        <v>3</v>
      </c>
      <c r="C24" s="540"/>
      <c r="D24" s="539">
        <v>3</v>
      </c>
      <c r="E24" s="540"/>
      <c r="F24" s="539">
        <v>3</v>
      </c>
      <c r="G24" s="540"/>
      <c r="H24" s="539">
        <f t="shared" si="0"/>
        <v>0</v>
      </c>
      <c r="I24" s="596"/>
      <c r="J24" s="533" t="s">
        <v>0</v>
      </c>
    </row>
    <row r="25" spans="1:10">
      <c r="A25" s="541" t="s">
        <v>216</v>
      </c>
      <c r="B25" s="539">
        <v>7</v>
      </c>
      <c r="C25" s="540"/>
      <c r="D25" s="539">
        <v>7</v>
      </c>
      <c r="E25" s="540"/>
      <c r="F25" s="539">
        <v>7</v>
      </c>
      <c r="G25" s="540"/>
      <c r="H25" s="539">
        <f t="shared" si="0"/>
        <v>0</v>
      </c>
      <c r="I25" s="596"/>
      <c r="J25" s="533" t="s">
        <v>0</v>
      </c>
    </row>
    <row r="26" spans="1:10">
      <c r="A26" s="541" t="s">
        <v>214</v>
      </c>
      <c r="B26" s="539">
        <v>4</v>
      </c>
      <c r="C26" s="540"/>
      <c r="D26" s="539">
        <v>4</v>
      </c>
      <c r="E26" s="540"/>
      <c r="F26" s="539">
        <v>4</v>
      </c>
      <c r="G26" s="540"/>
      <c r="H26" s="539">
        <f t="shared" si="0"/>
        <v>0</v>
      </c>
      <c r="I26" s="596"/>
      <c r="J26" s="533" t="s">
        <v>0</v>
      </c>
    </row>
    <row r="27" spans="1:10">
      <c r="A27" s="541" t="s">
        <v>215</v>
      </c>
      <c r="B27" s="542">
        <v>1</v>
      </c>
      <c r="C27" s="540"/>
      <c r="D27" s="539">
        <v>1</v>
      </c>
      <c r="E27" s="540"/>
      <c r="F27" s="539">
        <v>1</v>
      </c>
      <c r="G27" s="540"/>
      <c r="H27" s="539">
        <f t="shared" si="0"/>
        <v>0</v>
      </c>
      <c r="I27" s="596"/>
      <c r="J27" s="533" t="s">
        <v>0</v>
      </c>
    </row>
    <row r="28" spans="1:10">
      <c r="A28" s="541" t="s">
        <v>213</v>
      </c>
      <c r="B28" s="539">
        <v>0</v>
      </c>
      <c r="C28" s="540"/>
      <c r="D28" s="539">
        <v>0</v>
      </c>
      <c r="E28" s="540"/>
      <c r="F28" s="539">
        <v>0</v>
      </c>
      <c r="G28" s="540"/>
      <c r="H28" s="539">
        <f t="shared" si="0"/>
        <v>0</v>
      </c>
      <c r="I28" s="596"/>
      <c r="J28" s="533" t="s">
        <v>0</v>
      </c>
    </row>
    <row r="29" spans="1:10">
      <c r="A29" s="541" t="s">
        <v>212</v>
      </c>
      <c r="B29" s="543">
        <v>0</v>
      </c>
      <c r="C29" s="544"/>
      <c r="D29" s="543">
        <v>0</v>
      </c>
      <c r="E29" s="544"/>
      <c r="F29" s="543">
        <v>0</v>
      </c>
      <c r="G29" s="544"/>
      <c r="H29" s="604">
        <f t="shared" si="0"/>
        <v>0</v>
      </c>
      <c r="I29" s="597"/>
      <c r="J29" s="533" t="s">
        <v>0</v>
      </c>
    </row>
    <row r="30" spans="1:10">
      <c r="A30" s="545" t="s">
        <v>77</v>
      </c>
      <c r="B30" s="546">
        <f>SUM(B12:B29)</f>
        <v>5666</v>
      </c>
      <c r="C30" s="547"/>
      <c r="D30" s="546">
        <f>SUM(D12:D29)</f>
        <v>5544</v>
      </c>
      <c r="E30" s="547"/>
      <c r="F30" s="546">
        <f>SUM(F12:F29)</f>
        <v>5674</v>
      </c>
      <c r="G30" s="547"/>
      <c r="H30" s="546">
        <f>SUM(H14:H29)</f>
        <v>8</v>
      </c>
      <c r="I30" s="598"/>
      <c r="J30" s="533" t="s">
        <v>0</v>
      </c>
    </row>
    <row r="31" spans="1:10">
      <c r="A31" s="548" t="s">
        <v>16</v>
      </c>
      <c r="B31" s="549"/>
      <c r="C31" s="550">
        <v>168873</v>
      </c>
      <c r="D31" s="549"/>
      <c r="E31" s="550">
        <f>C31</f>
        <v>168873</v>
      </c>
      <c r="F31" s="551"/>
      <c r="G31" s="550">
        <f>E31+2419</f>
        <v>171292</v>
      </c>
      <c r="H31" s="549"/>
      <c r="I31" s="599"/>
      <c r="J31" s="533" t="s">
        <v>0</v>
      </c>
    </row>
    <row r="32" spans="1:10">
      <c r="A32" s="548" t="s">
        <v>89</v>
      </c>
      <c r="B32" s="552"/>
      <c r="C32" s="550">
        <v>78788</v>
      </c>
      <c r="D32" s="549"/>
      <c r="E32" s="550">
        <f>+C32</f>
        <v>78788</v>
      </c>
      <c r="F32" s="551"/>
      <c r="G32" s="550">
        <f>+E32+1129</f>
        <v>79917</v>
      </c>
      <c r="H32" s="549"/>
      <c r="I32" s="596"/>
      <c r="J32" s="533" t="s">
        <v>0</v>
      </c>
    </row>
    <row r="33" spans="1:10">
      <c r="A33" s="600" t="s">
        <v>90</v>
      </c>
      <c r="B33" s="601"/>
      <c r="C33" s="602">
        <v>11</v>
      </c>
      <c r="D33" s="603"/>
      <c r="E33" s="602">
        <v>11</v>
      </c>
      <c r="F33" s="603"/>
      <c r="G33" s="602">
        <v>11</v>
      </c>
      <c r="H33" s="603"/>
      <c r="I33" s="597"/>
      <c r="J33" s="533" t="s">
        <v>23</v>
      </c>
    </row>
    <row r="34" spans="1:10">
      <c r="A34" s="1016"/>
      <c r="B34" s="1017"/>
      <c r="C34" s="1017"/>
      <c r="D34" s="1017"/>
      <c r="E34" s="1017"/>
      <c r="F34" s="1017"/>
      <c r="G34" s="1017"/>
      <c r="H34" s="1017"/>
      <c r="I34" s="1017"/>
      <c r="J34" s="1017"/>
    </row>
  </sheetData>
  <customSheetViews>
    <customSheetView guid="{9A28834D-6BE2-4884-BE97-BE00946B08BB}" scale="75" showPageBreaks="1" showGridLines="0" outlineSymbols="0" fitToPage="1" printArea="1" view="pageBreakPreview">
      <pane xSplit="1" ySplit="11" topLeftCell="B12" activePane="bottomRight" state="frozen"/>
      <selection pane="bottomRight" activeCell="G32" sqref="G32"/>
      <pageMargins left="0.25" right="0.25" top="1" bottom="0.5" header="0" footer="0.25"/>
      <printOptions horizontalCentered="1"/>
      <pageSetup scale="83" orientation="landscape" horizontalDpi="300" verticalDpi="300" r:id="rId1"/>
      <headerFooter alignWithMargins="0">
        <oddFooter>&amp;C&amp;"Times New Roman,Regular"Exhibit K - Summary of Requirements by Grade</oddFooter>
      </headerFooter>
    </customSheetView>
  </customSheetViews>
  <mergeCells count="14">
    <mergeCell ref="A6:I6"/>
    <mergeCell ref="A34:J34"/>
    <mergeCell ref="A7:I7"/>
    <mergeCell ref="A8:I8"/>
    <mergeCell ref="A9:A11"/>
    <mergeCell ref="B9:C10"/>
    <mergeCell ref="D9:E10"/>
    <mergeCell ref="F9:G10"/>
    <mergeCell ref="H9:I10"/>
    <mergeCell ref="A1:I1"/>
    <mergeCell ref="A2:I2"/>
    <mergeCell ref="A3:I3"/>
    <mergeCell ref="A4:I4"/>
    <mergeCell ref="A5:I5"/>
  </mergeCells>
  <printOptions horizontalCentered="1"/>
  <pageMargins left="0.25" right="0.25" top="1" bottom="0.5" header="0" footer="0.25"/>
  <pageSetup scale="83" orientation="landscape" horizontalDpi="300" verticalDpi="300" r:id="rId2"/>
  <headerFooter alignWithMargins="0">
    <oddFooter>&amp;C&amp;"Times New Roman,Regular"Exhibit K - Summary of Requirements by Grade</oddFooter>
  </headerFooter>
</worksheet>
</file>

<file path=xl/worksheets/sheet15.xml><?xml version="1.0" encoding="utf-8"?>
<worksheet xmlns="http://schemas.openxmlformats.org/spreadsheetml/2006/main" xmlns:r="http://schemas.openxmlformats.org/officeDocument/2006/relationships">
  <sheetPr codeName="Sheet17">
    <pageSetUpPr fitToPage="1"/>
  </sheetPr>
  <dimension ref="A1:O196"/>
  <sheetViews>
    <sheetView view="pageBreakPreview" zoomScale="75" zoomScaleNormal="75" zoomScaleSheetLayoutView="50" workbookViewId="0">
      <pane xSplit="1" ySplit="9" topLeftCell="B10" activePane="bottomRight" state="frozen"/>
      <selection activeCell="O11" sqref="O11"/>
      <selection pane="topRight" activeCell="O11" sqref="O11"/>
      <selection pane="bottomLeft" activeCell="O11" sqref="O11"/>
      <selection pane="bottomRight" activeCell="B10" sqref="B10"/>
    </sheetView>
  </sheetViews>
  <sheetFormatPr defaultRowHeight="15.75"/>
  <cols>
    <col min="1" max="1" width="62.6640625" style="3" customWidth="1"/>
    <col min="2" max="2" width="8.88671875" style="3"/>
    <col min="3" max="3" width="10.109375" style="3" customWidth="1"/>
    <col min="4" max="4" width="8.88671875" style="3"/>
    <col min="5" max="5" width="10.6640625" style="3" customWidth="1"/>
    <col min="6" max="6" width="8.88671875" style="3"/>
    <col min="7" max="7" width="10.5546875" style="3" bestFit="1" customWidth="1"/>
    <col min="8" max="8" width="8.88671875" style="3"/>
    <col min="9" max="9" width="10.33203125" style="3" customWidth="1"/>
    <col min="10" max="12" width="0" style="3" hidden="1" customWidth="1"/>
    <col min="13" max="13" width="1" style="41" customWidth="1"/>
    <col min="15" max="16384" width="8.88671875" style="3"/>
  </cols>
  <sheetData>
    <row r="1" spans="1:13" ht="19.149999999999999" customHeight="1">
      <c r="A1" s="807" t="s">
        <v>234</v>
      </c>
      <c r="B1" s="1029"/>
      <c r="C1" s="1029"/>
      <c r="D1" s="1029"/>
      <c r="E1" s="1029"/>
      <c r="F1" s="1029"/>
      <c r="G1" s="1029"/>
      <c r="H1" s="1029"/>
      <c r="I1" s="1029"/>
      <c r="M1" s="40" t="s">
        <v>0</v>
      </c>
    </row>
    <row r="2" spans="1:13" ht="19.149999999999999" customHeight="1">
      <c r="A2" s="1030"/>
      <c r="B2" s="1031"/>
      <c r="C2" s="1031"/>
      <c r="D2" s="1031"/>
      <c r="E2" s="1031"/>
      <c r="F2" s="1031"/>
      <c r="G2" s="1031"/>
      <c r="H2" s="1031"/>
      <c r="I2" s="1031"/>
      <c r="M2" s="40" t="s">
        <v>0</v>
      </c>
    </row>
    <row r="3" spans="1:13" ht="18.75">
      <c r="A3" s="1032" t="s">
        <v>94</v>
      </c>
      <c r="B3" s="1029"/>
      <c r="C3" s="1029"/>
      <c r="D3" s="1029"/>
      <c r="E3" s="1029"/>
      <c r="F3" s="1029"/>
      <c r="G3" s="1029"/>
      <c r="H3" s="1029"/>
      <c r="I3" s="1029"/>
      <c r="M3" s="40" t="s">
        <v>0</v>
      </c>
    </row>
    <row r="4" spans="1:13" ht="16.5">
      <c r="A4" s="1033" t="str">
        <f ca="1">+'B. Summary of Requirements_S&amp;E '!A5</f>
        <v>United States Marshals Service</v>
      </c>
      <c r="B4" s="1029"/>
      <c r="C4" s="1029"/>
      <c r="D4" s="1029"/>
      <c r="E4" s="1029"/>
      <c r="F4" s="1029"/>
      <c r="G4" s="1029"/>
      <c r="H4" s="1029"/>
      <c r="I4" s="1029"/>
      <c r="M4" s="40" t="s">
        <v>0</v>
      </c>
    </row>
    <row r="5" spans="1:13" ht="16.5">
      <c r="A5" s="1033" t="str">
        <f ca="1">+'B. Summary of Requirements_S&amp;E '!A6</f>
        <v>Salaries and Expenses</v>
      </c>
      <c r="B5" s="1029"/>
      <c r="C5" s="1029"/>
      <c r="D5" s="1029"/>
      <c r="E5" s="1029"/>
      <c r="F5" s="1029"/>
      <c r="G5" s="1029"/>
      <c r="H5" s="1029"/>
      <c r="I5" s="1029"/>
      <c r="M5" s="40" t="s">
        <v>0</v>
      </c>
    </row>
    <row r="6" spans="1:13">
      <c r="A6" s="1039" t="s">
        <v>265</v>
      </c>
      <c r="B6" s="1029"/>
      <c r="C6" s="1029"/>
      <c r="D6" s="1029"/>
      <c r="E6" s="1029"/>
      <c r="F6" s="1029"/>
      <c r="G6" s="1029"/>
      <c r="H6" s="1029"/>
      <c r="I6" s="1029"/>
      <c r="M6" s="40" t="s">
        <v>0</v>
      </c>
    </row>
    <row r="7" spans="1:13" ht="11.25" customHeight="1">
      <c r="A7" s="1036"/>
      <c r="B7" s="1036"/>
      <c r="C7" s="1036"/>
      <c r="D7" s="1036"/>
      <c r="E7" s="1036"/>
      <c r="F7" s="1036"/>
      <c r="G7" s="1036"/>
      <c r="H7" s="1036"/>
      <c r="I7" s="1036"/>
      <c r="M7" s="40" t="s">
        <v>0</v>
      </c>
    </row>
    <row r="8" spans="1:13" ht="33" customHeight="1">
      <c r="A8" s="1037" t="s">
        <v>91</v>
      </c>
      <c r="B8" s="1034" t="s">
        <v>38</v>
      </c>
      <c r="C8" s="1035"/>
      <c r="D8" s="1047" t="s">
        <v>333</v>
      </c>
      <c r="E8" s="1048"/>
      <c r="F8" s="1044" t="s">
        <v>44</v>
      </c>
      <c r="G8" s="1046"/>
      <c r="H8" s="1044" t="s">
        <v>336</v>
      </c>
      <c r="I8" s="1045"/>
      <c r="J8" s="7"/>
      <c r="M8" s="40" t="s">
        <v>0</v>
      </c>
    </row>
    <row r="9" spans="1:13" ht="18.75" customHeight="1" thickBot="1">
      <c r="A9" s="1038"/>
      <c r="B9" s="104" t="s">
        <v>448</v>
      </c>
      <c r="C9" s="105" t="s">
        <v>289</v>
      </c>
      <c r="D9" s="104" t="s">
        <v>51</v>
      </c>
      <c r="E9" s="105" t="s">
        <v>289</v>
      </c>
      <c r="F9" s="104" t="s">
        <v>51</v>
      </c>
      <c r="G9" s="105" t="s">
        <v>289</v>
      </c>
      <c r="H9" s="104" t="s">
        <v>51</v>
      </c>
      <c r="I9" s="106" t="s">
        <v>289</v>
      </c>
      <c r="J9" s="7"/>
      <c r="M9" s="40" t="s">
        <v>0</v>
      </c>
    </row>
    <row r="10" spans="1:13">
      <c r="A10" s="97" t="s">
        <v>14</v>
      </c>
      <c r="B10" s="68">
        <f>4702-B11</f>
        <v>4677</v>
      </c>
      <c r="C10" s="154">
        <v>363475</v>
      </c>
      <c r="D10" s="68">
        <f>5109-D11</f>
        <v>5086</v>
      </c>
      <c r="E10" s="154">
        <v>386803.00000000006</v>
      </c>
      <c r="F10" s="68">
        <f>5585-F11</f>
        <v>5560</v>
      </c>
      <c r="G10" s="154">
        <v>439522</v>
      </c>
      <c r="H10" s="68">
        <f>F10-D10</f>
        <v>474</v>
      </c>
      <c r="I10" s="155">
        <f>G10-E10</f>
        <v>52718.999999999942</v>
      </c>
      <c r="J10" s="7"/>
      <c r="M10" s="40" t="s">
        <v>0</v>
      </c>
    </row>
    <row r="11" spans="1:13">
      <c r="A11" s="98" t="s">
        <v>76</v>
      </c>
      <c r="B11" s="68">
        <v>25</v>
      </c>
      <c r="C11" s="69">
        <v>11235</v>
      </c>
      <c r="D11" s="68">
        <v>23</v>
      </c>
      <c r="E11" s="69">
        <v>12753.999999999998</v>
      </c>
      <c r="F11" s="68">
        <v>25</v>
      </c>
      <c r="G11" s="69">
        <v>12756</v>
      </c>
      <c r="H11" s="68">
        <f>F11-D11</f>
        <v>2</v>
      </c>
      <c r="I11" s="59">
        <f>G11-E11</f>
        <v>2.000000000001819</v>
      </c>
      <c r="J11" s="14" t="s">
        <v>49</v>
      </c>
      <c r="K11" s="3" t="s">
        <v>50</v>
      </c>
      <c r="M11" s="40" t="s">
        <v>0</v>
      </c>
    </row>
    <row r="12" spans="1:13">
      <c r="A12" s="98" t="s">
        <v>58</v>
      </c>
      <c r="B12" s="334">
        <f t="shared" ref="B12:I12" si="0">B13+B14+B15</f>
        <v>754</v>
      </c>
      <c r="C12" s="69">
        <f t="shared" si="0"/>
        <v>73453</v>
      </c>
      <c r="D12" s="334">
        <f t="shared" si="0"/>
        <v>846</v>
      </c>
      <c r="E12" s="69">
        <f t="shared" si="0"/>
        <v>72446</v>
      </c>
      <c r="F12" s="334">
        <f t="shared" si="0"/>
        <v>846</v>
      </c>
      <c r="G12" s="69">
        <f t="shared" si="0"/>
        <v>90752</v>
      </c>
      <c r="H12" s="334">
        <f t="shared" si="0"/>
        <v>0</v>
      </c>
      <c r="I12" s="69">
        <f t="shared" si="0"/>
        <v>18305.999999999993</v>
      </c>
      <c r="J12" s="7">
        <v>93</v>
      </c>
      <c r="M12" s="40" t="s">
        <v>0</v>
      </c>
    </row>
    <row r="13" spans="1:13">
      <c r="A13" s="99" t="s">
        <v>351</v>
      </c>
      <c r="B13" s="74">
        <v>639</v>
      </c>
      <c r="C13" s="75">
        <v>61473</v>
      </c>
      <c r="D13" s="74">
        <v>639</v>
      </c>
      <c r="E13" s="75">
        <v>53828.000000000007</v>
      </c>
      <c r="F13" s="74">
        <v>639</v>
      </c>
      <c r="G13" s="75">
        <v>70872</v>
      </c>
      <c r="H13" s="74">
        <f t="shared" ref="H13:I16" si="1">F13-D13</f>
        <v>0</v>
      </c>
      <c r="I13" s="76">
        <f t="shared" si="1"/>
        <v>17043.999999999993</v>
      </c>
      <c r="J13" s="7"/>
      <c r="M13" s="40" t="s">
        <v>0</v>
      </c>
    </row>
    <row r="14" spans="1:13">
      <c r="A14" s="99" t="s">
        <v>60</v>
      </c>
      <c r="B14" s="74">
        <v>115</v>
      </c>
      <c r="C14" s="75">
        <v>7475</v>
      </c>
      <c r="D14" s="74">
        <v>207</v>
      </c>
      <c r="E14" s="75">
        <v>17307</v>
      </c>
      <c r="F14" s="74">
        <v>207</v>
      </c>
      <c r="G14" s="75">
        <v>18441</v>
      </c>
      <c r="H14" s="74">
        <f t="shared" si="1"/>
        <v>0</v>
      </c>
      <c r="I14" s="76">
        <f t="shared" si="1"/>
        <v>1134</v>
      </c>
      <c r="J14" s="7"/>
      <c r="M14" s="40" t="s">
        <v>0</v>
      </c>
    </row>
    <row r="15" spans="1:13">
      <c r="A15" s="99" t="s">
        <v>59</v>
      </c>
      <c r="B15" s="74"/>
      <c r="C15" s="75">
        <v>4505</v>
      </c>
      <c r="D15" s="74"/>
      <c r="E15" s="75">
        <v>1311</v>
      </c>
      <c r="F15" s="74"/>
      <c r="G15" s="75">
        <v>1439</v>
      </c>
      <c r="H15" s="74">
        <f t="shared" si="1"/>
        <v>0</v>
      </c>
      <c r="I15" s="76">
        <f t="shared" si="1"/>
        <v>128</v>
      </c>
      <c r="J15" s="7"/>
      <c r="M15" s="40" t="s">
        <v>0</v>
      </c>
    </row>
    <row r="16" spans="1:13">
      <c r="A16" s="100" t="s">
        <v>61</v>
      </c>
      <c r="B16" s="77"/>
      <c r="C16" s="78">
        <v>8673</v>
      </c>
      <c r="D16" s="77"/>
      <c r="E16" s="78">
        <v>11663</v>
      </c>
      <c r="F16" s="77"/>
      <c r="G16" s="78">
        <v>11663</v>
      </c>
      <c r="H16" s="77">
        <f t="shared" si="1"/>
        <v>0</v>
      </c>
      <c r="I16" s="79">
        <f t="shared" si="1"/>
        <v>0</v>
      </c>
      <c r="J16" s="7"/>
      <c r="M16" s="40" t="s">
        <v>0</v>
      </c>
    </row>
    <row r="17" spans="1:15">
      <c r="A17" s="385" t="s">
        <v>15</v>
      </c>
      <c r="B17" s="80">
        <f t="shared" ref="B17:I17" si="2">+B10+B11+B12+B16</f>
        <v>5456</v>
      </c>
      <c r="C17" s="81">
        <f t="shared" si="2"/>
        <v>456836</v>
      </c>
      <c r="D17" s="80">
        <f t="shared" si="2"/>
        <v>5955</v>
      </c>
      <c r="E17" s="81">
        <f t="shared" si="2"/>
        <v>483666.00000000006</v>
      </c>
      <c r="F17" s="80">
        <f t="shared" si="2"/>
        <v>6431</v>
      </c>
      <c r="G17" s="333">
        <f t="shared" si="2"/>
        <v>554693</v>
      </c>
      <c r="H17" s="81">
        <f t="shared" si="2"/>
        <v>476</v>
      </c>
      <c r="I17" s="333">
        <f t="shared" si="2"/>
        <v>71026.999999999942</v>
      </c>
      <c r="J17" s="20">
        <f>697+630+957+2333</f>
        <v>4617</v>
      </c>
      <c r="K17" s="3">
        <f>2451-93</f>
        <v>2358</v>
      </c>
      <c r="L17" s="3">
        <f>+E17-G17</f>
        <v>-71026.999999999942</v>
      </c>
      <c r="M17" s="40" t="s">
        <v>0</v>
      </c>
    </row>
    <row r="18" spans="1:15">
      <c r="A18" s="321" t="s">
        <v>92</v>
      </c>
      <c r="B18" s="68"/>
      <c r="C18" s="69"/>
      <c r="D18" s="68"/>
      <c r="E18" s="69"/>
      <c r="F18" s="68"/>
      <c r="G18" s="69"/>
      <c r="H18" s="68"/>
      <c r="I18" s="59"/>
      <c r="J18" s="7"/>
      <c r="M18" s="40" t="s">
        <v>0</v>
      </c>
    </row>
    <row r="19" spans="1:15">
      <c r="A19" s="101" t="s">
        <v>63</v>
      </c>
      <c r="B19" s="68"/>
      <c r="C19" s="69">
        <v>181869</v>
      </c>
      <c r="D19" s="68"/>
      <c r="E19" s="69">
        <v>180508</v>
      </c>
      <c r="F19" s="68"/>
      <c r="G19" s="69">
        <v>211425</v>
      </c>
      <c r="H19" s="68"/>
      <c r="I19" s="59">
        <f>G19-E19</f>
        <v>30917</v>
      </c>
      <c r="J19" s="7">
        <v>359</v>
      </c>
      <c r="K19" s="3">
        <f>1171+93</f>
        <v>1264</v>
      </c>
      <c r="L19" s="3">
        <f t="shared" ref="L19:L41" si="3">+E19-G19</f>
        <v>-30917</v>
      </c>
      <c r="M19" s="40" t="s">
        <v>0</v>
      </c>
    </row>
    <row r="20" spans="1:15">
      <c r="A20" s="101" t="s">
        <v>352</v>
      </c>
      <c r="B20" s="68"/>
      <c r="C20" s="69">
        <v>0</v>
      </c>
      <c r="D20" s="68"/>
      <c r="E20" s="69">
        <v>9</v>
      </c>
      <c r="F20" s="68"/>
      <c r="G20" s="69">
        <v>9</v>
      </c>
      <c r="H20" s="68"/>
      <c r="I20" s="59">
        <f>G20-E20</f>
        <v>0</v>
      </c>
      <c r="J20" s="7">
        <v>359</v>
      </c>
      <c r="K20" s="3">
        <f>1171+93</f>
        <v>1264</v>
      </c>
      <c r="L20" s="3">
        <f t="shared" si="3"/>
        <v>0</v>
      </c>
      <c r="M20" s="40" t="s">
        <v>0</v>
      </c>
    </row>
    <row r="21" spans="1:15">
      <c r="A21" s="101" t="s">
        <v>64</v>
      </c>
      <c r="B21" s="68"/>
      <c r="C21" s="69">
        <v>33384</v>
      </c>
      <c r="D21" s="68"/>
      <c r="E21" s="69">
        <v>60140</v>
      </c>
      <c r="F21" s="68"/>
      <c r="G21" s="69">
        <v>62017</v>
      </c>
      <c r="H21" s="68"/>
      <c r="I21" s="59">
        <f t="shared" ref="I21:I40" si="4">G21-E21</f>
        <v>1877</v>
      </c>
      <c r="J21" s="7"/>
      <c r="K21" s="3">
        <v>110</v>
      </c>
      <c r="L21" s="3">
        <f t="shared" si="3"/>
        <v>-1877</v>
      </c>
      <c r="M21" s="40" t="s">
        <v>0</v>
      </c>
    </row>
    <row r="22" spans="1:15">
      <c r="A22" s="101" t="s">
        <v>65</v>
      </c>
      <c r="B22" s="68"/>
      <c r="C22" s="69">
        <v>1071</v>
      </c>
      <c r="D22" s="68"/>
      <c r="E22" s="69">
        <v>958</v>
      </c>
      <c r="F22" s="68"/>
      <c r="G22" s="69">
        <v>1091</v>
      </c>
      <c r="H22" s="68"/>
      <c r="I22" s="59">
        <f t="shared" si="4"/>
        <v>133</v>
      </c>
      <c r="J22" s="7"/>
      <c r="K22" s="3">
        <v>0</v>
      </c>
      <c r="L22" s="3">
        <f t="shared" si="3"/>
        <v>-133</v>
      </c>
      <c r="M22" s="40" t="s">
        <v>0</v>
      </c>
    </row>
    <row r="23" spans="1:15">
      <c r="A23" s="101" t="s">
        <v>231</v>
      </c>
      <c r="B23" s="68"/>
      <c r="C23" s="69">
        <v>160694</v>
      </c>
      <c r="D23" s="68"/>
      <c r="E23" s="69">
        <v>172920</v>
      </c>
      <c r="F23" s="68"/>
      <c r="G23" s="69">
        <v>184473</v>
      </c>
      <c r="H23" s="68"/>
      <c r="I23" s="59">
        <f t="shared" si="4"/>
        <v>11553</v>
      </c>
      <c r="J23" s="7">
        <f>4220-576</f>
        <v>3644</v>
      </c>
      <c r="L23" s="3">
        <f t="shared" si="3"/>
        <v>-11553</v>
      </c>
      <c r="M23" s="40" t="s">
        <v>0</v>
      </c>
    </row>
    <row r="24" spans="1:15">
      <c r="A24" s="101" t="s">
        <v>353</v>
      </c>
      <c r="B24" s="68"/>
      <c r="C24" s="69">
        <f>1449+165</f>
        <v>1614</v>
      </c>
      <c r="D24" s="68"/>
      <c r="E24" s="69">
        <v>6136</v>
      </c>
      <c r="F24" s="68"/>
      <c r="G24" s="69">
        <v>6212</v>
      </c>
      <c r="H24" s="68"/>
      <c r="I24" s="59">
        <f t="shared" si="4"/>
        <v>76</v>
      </c>
      <c r="J24" s="7"/>
      <c r="L24" s="3">
        <f t="shared" si="3"/>
        <v>-76</v>
      </c>
      <c r="M24" s="40" t="s">
        <v>0</v>
      </c>
    </row>
    <row r="25" spans="1:15">
      <c r="A25" s="101" t="s">
        <v>39</v>
      </c>
      <c r="B25" s="68"/>
      <c r="C25" s="69">
        <v>0</v>
      </c>
      <c r="D25" s="68"/>
      <c r="E25" s="69">
        <v>595</v>
      </c>
      <c r="F25" s="68"/>
      <c r="G25" s="69">
        <v>595</v>
      </c>
      <c r="H25" s="68"/>
      <c r="I25" s="59">
        <f t="shared" si="4"/>
        <v>0</v>
      </c>
      <c r="J25" s="7">
        <v>332</v>
      </c>
      <c r="K25" s="3">
        <v>175</v>
      </c>
      <c r="L25" s="3">
        <f t="shared" si="3"/>
        <v>0</v>
      </c>
      <c r="M25" s="40" t="s">
        <v>0</v>
      </c>
    </row>
    <row r="26" spans="1:15">
      <c r="A26" s="101" t="s">
        <v>66</v>
      </c>
      <c r="B26" s="68"/>
      <c r="C26" s="69">
        <v>25170</v>
      </c>
      <c r="D26" s="68"/>
      <c r="E26" s="69">
        <v>25941</v>
      </c>
      <c r="F26" s="68"/>
      <c r="G26" s="69">
        <v>26988</v>
      </c>
      <c r="H26" s="68"/>
      <c r="I26" s="59">
        <f t="shared" si="4"/>
        <v>1047</v>
      </c>
      <c r="J26" s="7"/>
      <c r="L26" s="3">
        <f t="shared" si="3"/>
        <v>-1047</v>
      </c>
      <c r="M26" s="40" t="s">
        <v>0</v>
      </c>
    </row>
    <row r="27" spans="1:15">
      <c r="A27" s="101" t="s">
        <v>67</v>
      </c>
      <c r="B27" s="68"/>
      <c r="C27" s="69">
        <v>393</v>
      </c>
      <c r="D27" s="68"/>
      <c r="E27" s="69">
        <v>725.99999999999989</v>
      </c>
      <c r="F27" s="68"/>
      <c r="G27" s="69">
        <v>731</v>
      </c>
      <c r="H27" s="68"/>
      <c r="I27" s="59">
        <f t="shared" si="4"/>
        <v>5.0000000000001137</v>
      </c>
      <c r="J27" s="7"/>
      <c r="K27" s="3">
        <v>14918</v>
      </c>
      <c r="L27" s="3">
        <f t="shared" si="3"/>
        <v>-5.0000000000001137</v>
      </c>
      <c r="M27" s="40" t="s">
        <v>0</v>
      </c>
    </row>
    <row r="28" spans="1:15">
      <c r="A28" s="101" t="s">
        <v>68</v>
      </c>
      <c r="B28" s="68"/>
      <c r="C28" s="69">
        <v>2567</v>
      </c>
      <c r="D28" s="68"/>
      <c r="E28" s="69">
        <v>0</v>
      </c>
      <c r="F28" s="68"/>
      <c r="G28" s="69">
        <v>0</v>
      </c>
      <c r="H28" s="68"/>
      <c r="I28" s="59">
        <f t="shared" si="4"/>
        <v>0</v>
      </c>
      <c r="J28" s="7">
        <v>276</v>
      </c>
      <c r="K28" s="3">
        <v>14853</v>
      </c>
      <c r="L28" s="3">
        <f t="shared" si="3"/>
        <v>0</v>
      </c>
      <c r="M28" s="40" t="s">
        <v>0</v>
      </c>
    </row>
    <row r="29" spans="1:15">
      <c r="A29" s="101" t="s">
        <v>69</v>
      </c>
      <c r="B29" s="68"/>
      <c r="C29" s="69">
        <f>117431-6509</f>
        <v>110922</v>
      </c>
      <c r="D29" s="68"/>
      <c r="E29" s="69">
        <f>83471</f>
        <v>83471</v>
      </c>
      <c r="F29" s="68"/>
      <c r="G29" s="69">
        <v>80066</v>
      </c>
      <c r="H29" s="68"/>
      <c r="I29" s="59">
        <f t="shared" si="4"/>
        <v>-3405</v>
      </c>
      <c r="J29" s="7"/>
      <c r="K29" s="3">
        <v>135</v>
      </c>
      <c r="L29" s="3">
        <f t="shared" si="3"/>
        <v>3405</v>
      </c>
      <c r="M29" s="40" t="s">
        <v>0</v>
      </c>
    </row>
    <row r="30" spans="1:15">
      <c r="A30" s="101" t="s">
        <v>425</v>
      </c>
      <c r="B30" s="68"/>
      <c r="C30" s="69">
        <v>10593</v>
      </c>
      <c r="D30" s="68"/>
      <c r="E30" s="69">
        <f>13249+268</f>
        <v>13517</v>
      </c>
      <c r="F30" s="68"/>
      <c r="G30" s="69">
        <f>13249+267</f>
        <v>13516</v>
      </c>
      <c r="H30" s="68"/>
      <c r="I30" s="59">
        <f t="shared" si="4"/>
        <v>-1</v>
      </c>
      <c r="J30" s="7"/>
      <c r="L30" s="3">
        <f t="shared" si="3"/>
        <v>1</v>
      </c>
      <c r="M30" s="40" t="s">
        <v>0</v>
      </c>
      <c r="O30" s="20"/>
    </row>
    <row r="31" spans="1:15">
      <c r="A31" s="101" t="s">
        <v>409</v>
      </c>
      <c r="B31" s="68"/>
      <c r="C31" s="69">
        <v>17310</v>
      </c>
      <c r="D31" s="68"/>
      <c r="E31" s="69">
        <v>0</v>
      </c>
      <c r="F31" s="68"/>
      <c r="G31" s="69">
        <v>0</v>
      </c>
      <c r="H31" s="68"/>
      <c r="I31" s="59">
        <f t="shared" si="4"/>
        <v>0</v>
      </c>
      <c r="J31" s="7"/>
      <c r="L31" s="3">
        <f>+E31-G31</f>
        <v>0</v>
      </c>
      <c r="M31" s="40" t="s">
        <v>0</v>
      </c>
      <c r="O31" s="20"/>
    </row>
    <row r="32" spans="1:15">
      <c r="A32" s="101" t="s">
        <v>232</v>
      </c>
      <c r="B32" s="68"/>
      <c r="C32" s="69">
        <v>2002</v>
      </c>
      <c r="D32" s="68"/>
      <c r="E32" s="69">
        <v>0</v>
      </c>
      <c r="F32" s="68"/>
      <c r="G32" s="69">
        <v>0</v>
      </c>
      <c r="H32" s="68"/>
      <c r="I32" s="59">
        <f t="shared" si="4"/>
        <v>0</v>
      </c>
      <c r="J32" s="7"/>
      <c r="L32" s="3">
        <f t="shared" si="3"/>
        <v>0</v>
      </c>
      <c r="M32" s="40" t="s">
        <v>0</v>
      </c>
    </row>
    <row r="33" spans="1:15">
      <c r="A33" s="101" t="s">
        <v>408</v>
      </c>
      <c r="B33" s="68"/>
      <c r="C33" s="69">
        <v>3486</v>
      </c>
      <c r="D33" s="68"/>
      <c r="E33" s="69">
        <v>0</v>
      </c>
      <c r="F33" s="68"/>
      <c r="G33" s="69">
        <v>0</v>
      </c>
      <c r="H33" s="68"/>
      <c r="I33" s="59">
        <f t="shared" si="4"/>
        <v>0</v>
      </c>
      <c r="J33" s="7"/>
      <c r="L33" s="3">
        <f>+E33-G33</f>
        <v>0</v>
      </c>
      <c r="M33" s="40" t="s">
        <v>0</v>
      </c>
    </row>
    <row r="34" spans="1:15">
      <c r="A34" s="101" t="s">
        <v>239</v>
      </c>
      <c r="B34" s="68"/>
      <c r="C34" s="69">
        <v>9980</v>
      </c>
      <c r="D34" s="68"/>
      <c r="E34" s="69">
        <v>0</v>
      </c>
      <c r="F34" s="68"/>
      <c r="G34" s="69">
        <v>0</v>
      </c>
      <c r="H34" s="68"/>
      <c r="I34" s="59">
        <f t="shared" si="4"/>
        <v>0</v>
      </c>
      <c r="J34" s="7"/>
      <c r="K34" s="3">
        <v>85</v>
      </c>
      <c r="L34" s="3">
        <f t="shared" si="3"/>
        <v>0</v>
      </c>
      <c r="M34" s="40" t="s">
        <v>0</v>
      </c>
      <c r="O34" s="20"/>
    </row>
    <row r="35" spans="1:15">
      <c r="A35" s="101" t="s">
        <v>407</v>
      </c>
      <c r="B35" s="68"/>
      <c r="C35" s="69">
        <v>7</v>
      </c>
      <c r="D35" s="68"/>
      <c r="E35" s="69">
        <v>0</v>
      </c>
      <c r="F35" s="68"/>
      <c r="G35" s="69">
        <v>0</v>
      </c>
      <c r="H35" s="68"/>
      <c r="I35" s="59">
        <f t="shared" si="4"/>
        <v>0</v>
      </c>
      <c r="J35" s="7"/>
      <c r="K35" s="3">
        <v>85</v>
      </c>
      <c r="L35" s="3">
        <f>+E35-G35</f>
        <v>0</v>
      </c>
      <c r="M35" s="40" t="s">
        <v>0</v>
      </c>
      <c r="O35" s="20"/>
    </row>
    <row r="36" spans="1:15">
      <c r="A36" s="101" t="s">
        <v>70</v>
      </c>
      <c r="B36" s="68"/>
      <c r="C36" s="69">
        <v>35145</v>
      </c>
      <c r="D36" s="68"/>
      <c r="E36" s="69">
        <v>19641</v>
      </c>
      <c r="F36" s="68"/>
      <c r="G36" s="69">
        <v>20128</v>
      </c>
      <c r="H36" s="68"/>
      <c r="I36" s="59">
        <f t="shared" si="4"/>
        <v>487</v>
      </c>
      <c r="J36" s="7"/>
      <c r="K36" s="3">
        <v>10</v>
      </c>
      <c r="L36" s="3">
        <f t="shared" si="3"/>
        <v>-487</v>
      </c>
      <c r="M36" s="40" t="s">
        <v>0</v>
      </c>
      <c r="O36" s="20"/>
    </row>
    <row r="37" spans="1:15">
      <c r="A37" s="101" t="s">
        <v>71</v>
      </c>
      <c r="B37" s="68"/>
      <c r="C37" s="69">
        <v>76931</v>
      </c>
      <c r="D37" s="68"/>
      <c r="E37" s="69">
        <v>70330</v>
      </c>
      <c r="F37" s="68"/>
      <c r="G37" s="69">
        <v>68446</v>
      </c>
      <c r="H37" s="68"/>
      <c r="I37" s="59">
        <f t="shared" si="4"/>
        <v>-1884</v>
      </c>
      <c r="J37" s="7"/>
      <c r="K37" s="3">
        <v>85</v>
      </c>
      <c r="L37" s="3">
        <f t="shared" si="3"/>
        <v>1884</v>
      </c>
      <c r="M37" s="40" t="s">
        <v>0</v>
      </c>
      <c r="O37" s="20"/>
    </row>
    <row r="38" spans="1:15">
      <c r="A38" s="101" t="s">
        <v>354</v>
      </c>
      <c r="B38" s="68"/>
      <c r="C38" s="69">
        <v>740</v>
      </c>
      <c r="D38" s="68"/>
      <c r="E38" s="69">
        <v>6979</v>
      </c>
      <c r="F38" s="68"/>
      <c r="G38" s="69">
        <v>5754</v>
      </c>
      <c r="H38" s="68"/>
      <c r="I38" s="59">
        <f t="shared" si="4"/>
        <v>-1225</v>
      </c>
      <c r="J38" s="7"/>
      <c r="K38" s="3">
        <v>85</v>
      </c>
      <c r="L38" s="3">
        <f t="shared" si="3"/>
        <v>1225</v>
      </c>
      <c r="M38" s="40" t="s">
        <v>0</v>
      </c>
      <c r="O38" s="20"/>
    </row>
    <row r="39" spans="1:15">
      <c r="A39" s="101" t="s">
        <v>355</v>
      </c>
      <c r="B39" s="68"/>
      <c r="C39" s="69">
        <v>433</v>
      </c>
      <c r="D39" s="68"/>
      <c r="E39" s="69">
        <v>226</v>
      </c>
      <c r="F39" s="68"/>
      <c r="G39" s="69">
        <v>226</v>
      </c>
      <c r="H39" s="68"/>
      <c r="I39" s="59">
        <f t="shared" si="4"/>
        <v>0</v>
      </c>
      <c r="J39" s="7"/>
      <c r="K39" s="3">
        <v>37758</v>
      </c>
      <c r="L39" s="3">
        <f>+E39-G39</f>
        <v>0</v>
      </c>
      <c r="M39" s="40" t="s">
        <v>0</v>
      </c>
    </row>
    <row r="40" spans="1:15">
      <c r="A40" s="101" t="s">
        <v>406</v>
      </c>
      <c r="B40" s="68"/>
      <c r="C40" s="69">
        <v>2</v>
      </c>
      <c r="D40" s="68"/>
      <c r="E40" s="69">
        <v>0</v>
      </c>
      <c r="F40" s="68"/>
      <c r="G40" s="69">
        <v>0</v>
      </c>
      <c r="H40" s="68"/>
      <c r="I40" s="59">
        <f t="shared" si="4"/>
        <v>0</v>
      </c>
      <c r="J40" s="7"/>
      <c r="K40" s="3">
        <v>37758</v>
      </c>
      <c r="L40" s="3">
        <f t="shared" si="3"/>
        <v>0</v>
      </c>
      <c r="M40" s="40" t="s">
        <v>0</v>
      </c>
    </row>
    <row r="41" spans="1:15">
      <c r="A41" s="102" t="s">
        <v>455</v>
      </c>
      <c r="B41" s="38"/>
      <c r="C41" s="29">
        <f>SUM(C17:C40)</f>
        <v>1131149</v>
      </c>
      <c r="D41" s="38"/>
      <c r="E41" s="29">
        <f>SUM(E17:E40)</f>
        <v>1125763</v>
      </c>
      <c r="F41" s="38"/>
      <c r="G41" s="29">
        <f>SUM(G17:G40)</f>
        <v>1236370</v>
      </c>
      <c r="H41" s="38"/>
      <c r="I41" s="28">
        <f>SUM(I17:I40)</f>
        <v>110606.99999999994</v>
      </c>
      <c r="J41" s="7">
        <f>SUM(J12:J40)</f>
        <v>9680</v>
      </c>
      <c r="K41" s="3">
        <f>SUM(K17:K40)</f>
        <v>110943</v>
      </c>
      <c r="L41" s="3">
        <f t="shared" si="3"/>
        <v>-110607</v>
      </c>
      <c r="M41" s="40" t="s">
        <v>0</v>
      </c>
    </row>
    <row r="42" spans="1:15" ht="16.899999999999999" customHeight="1">
      <c r="A42" s="103" t="s">
        <v>73</v>
      </c>
      <c r="B42" s="71"/>
      <c r="C42" s="72">
        <v>-20612</v>
      </c>
      <c r="D42" s="71"/>
      <c r="E42" s="72">
        <f ca="1">-C43</f>
        <v>-54291</v>
      </c>
      <c r="F42" s="71"/>
      <c r="G42" s="72">
        <f ca="1">-E43</f>
        <v>-54291</v>
      </c>
      <c r="H42" s="71"/>
      <c r="I42" s="73"/>
      <c r="J42" s="7"/>
      <c r="M42" s="40" t="s">
        <v>0</v>
      </c>
    </row>
    <row r="43" spans="1:15">
      <c r="A43" s="103" t="s">
        <v>74</v>
      </c>
      <c r="B43" s="71"/>
      <c r="C43" s="72">
        <v>54291</v>
      </c>
      <c r="D43" s="71"/>
      <c r="E43" s="72">
        <f ca="1">-E42</f>
        <v>54291</v>
      </c>
      <c r="F43" s="71"/>
      <c r="G43" s="72">
        <f ca="1">-G42</f>
        <v>54291</v>
      </c>
      <c r="H43" s="71"/>
      <c r="I43" s="73"/>
      <c r="J43" s="7"/>
      <c r="M43" s="40" t="s">
        <v>0</v>
      </c>
    </row>
    <row r="44" spans="1:15">
      <c r="A44" s="103" t="s">
        <v>459</v>
      </c>
      <c r="B44" s="71"/>
      <c r="C44" s="72">
        <v>190</v>
      </c>
      <c r="D44" s="71"/>
      <c r="E44" s="72">
        <v>0</v>
      </c>
      <c r="F44" s="71"/>
      <c r="G44" s="72">
        <v>0</v>
      </c>
      <c r="H44" s="71"/>
      <c r="I44" s="73"/>
      <c r="J44" s="7"/>
      <c r="M44" s="40" t="s">
        <v>0</v>
      </c>
      <c r="N44" s="726"/>
    </row>
    <row r="45" spans="1:15">
      <c r="A45" s="103" t="s">
        <v>404</v>
      </c>
      <c r="B45" s="71"/>
      <c r="C45" s="72">
        <f ca="1">-5485-10095</f>
        <v>-15580</v>
      </c>
      <c r="D45" s="71"/>
      <c r="E45" s="72">
        <v>0</v>
      </c>
      <c r="F45" s="71"/>
      <c r="G45" s="72">
        <v>0</v>
      </c>
      <c r="H45" s="71"/>
      <c r="I45" s="73"/>
      <c r="J45" s="7"/>
      <c r="M45" s="40" t="s">
        <v>0</v>
      </c>
    </row>
    <row r="46" spans="1:15">
      <c r="A46" s="103" t="s">
        <v>405</v>
      </c>
      <c r="B46" s="71"/>
      <c r="C46" s="72">
        <f ca="1">10007+6509</f>
        <v>16516</v>
      </c>
      <c r="D46" s="71"/>
      <c r="E46" s="72">
        <v>0</v>
      </c>
      <c r="F46" s="71"/>
      <c r="G46" s="72">
        <v>0</v>
      </c>
      <c r="H46" s="71"/>
      <c r="I46" s="73"/>
      <c r="J46" s="7"/>
      <c r="M46" s="40" t="s">
        <v>0</v>
      </c>
    </row>
    <row r="47" spans="1:15">
      <c r="A47" s="103" t="s">
        <v>75</v>
      </c>
      <c r="B47" s="71"/>
      <c r="C47" s="72">
        <v>-10540</v>
      </c>
      <c r="D47" s="71"/>
      <c r="E47" s="72">
        <v>0</v>
      </c>
      <c r="F47" s="71"/>
      <c r="G47" s="72">
        <v>0</v>
      </c>
      <c r="H47" s="71"/>
      <c r="I47" s="73"/>
      <c r="J47" s="7"/>
      <c r="M47" s="40" t="s">
        <v>0</v>
      </c>
    </row>
    <row r="48" spans="1:15" ht="16.5" thickBot="1">
      <c r="A48" s="322" t="s">
        <v>1</v>
      </c>
      <c r="B48" s="323"/>
      <c r="C48" s="324">
        <f ca="1">SUM(C41:C47)</f>
        <v>1155414</v>
      </c>
      <c r="D48" s="323"/>
      <c r="E48" s="324">
        <f ca="1">SUM(E41:E47)</f>
        <v>1125763</v>
      </c>
      <c r="F48" s="323"/>
      <c r="G48" s="324">
        <f ca="1">SUM(G41:G47)</f>
        <v>1236370</v>
      </c>
      <c r="H48" s="323"/>
      <c r="I48" s="325"/>
      <c r="J48" s="7"/>
      <c r="M48" s="40" t="s">
        <v>0</v>
      </c>
    </row>
    <row r="49" spans="1:13" ht="9" customHeight="1">
      <c r="A49" s="326"/>
      <c r="B49" s="327"/>
      <c r="C49" s="328"/>
      <c r="D49" s="327"/>
      <c r="E49" s="328"/>
      <c r="F49" s="327"/>
      <c r="G49" s="328"/>
      <c r="H49" s="327"/>
      <c r="I49" s="329"/>
      <c r="J49" s="7"/>
      <c r="M49" s="40"/>
    </row>
    <row r="50" spans="1:13">
      <c r="A50" s="321" t="s">
        <v>277</v>
      </c>
      <c r="B50" s="68"/>
      <c r="C50" s="69"/>
      <c r="D50" s="68"/>
      <c r="E50" s="69"/>
      <c r="F50" s="68"/>
      <c r="G50" s="69"/>
      <c r="H50" s="68"/>
      <c r="I50" s="59"/>
      <c r="J50" s="7"/>
      <c r="M50" s="40" t="s">
        <v>0</v>
      </c>
    </row>
    <row r="51" spans="1:13">
      <c r="A51" s="101" t="s">
        <v>62</v>
      </c>
      <c r="B51" s="70">
        <v>315</v>
      </c>
      <c r="C51" s="154"/>
      <c r="D51" s="70">
        <v>355</v>
      </c>
      <c r="E51" s="154"/>
      <c r="F51" s="70">
        <v>418</v>
      </c>
      <c r="G51" s="154"/>
      <c r="H51" s="71">
        <f>+F51-D51</f>
        <v>63</v>
      </c>
      <c r="I51" s="155"/>
      <c r="J51" s="7"/>
      <c r="M51" s="40" t="s">
        <v>0</v>
      </c>
    </row>
    <row r="52" spans="1:13">
      <c r="A52" s="98" t="s">
        <v>2</v>
      </c>
      <c r="B52" s="68"/>
      <c r="C52" s="154">
        <v>18952</v>
      </c>
      <c r="D52" s="68"/>
      <c r="E52" s="154">
        <f>20165-E53</f>
        <v>18951.62</v>
      </c>
      <c r="F52" s="68"/>
      <c r="G52" s="154">
        <f>+E52*1.04</f>
        <v>19709.684799999999</v>
      </c>
      <c r="H52" s="71"/>
      <c r="I52" s="155">
        <f>G52-E52</f>
        <v>758.0648000000001</v>
      </c>
      <c r="J52" s="7"/>
      <c r="M52" s="40" t="s">
        <v>0</v>
      </c>
    </row>
    <row r="53" spans="1:13">
      <c r="A53" s="100" t="s">
        <v>3</v>
      </c>
      <c r="B53" s="88"/>
      <c r="C53" s="347">
        <v>1213.3799999999999</v>
      </c>
      <c r="D53" s="88"/>
      <c r="E53" s="347">
        <f>+C53</f>
        <v>1213.3799999999999</v>
      </c>
      <c r="F53" s="88"/>
      <c r="G53" s="347">
        <f>+E53*1.04</f>
        <v>1261.9151999999999</v>
      </c>
      <c r="H53" s="89"/>
      <c r="I53" s="348">
        <f>G53-E53</f>
        <v>48.535200000000032</v>
      </c>
      <c r="J53" s="7"/>
      <c r="M53" s="40" t="s">
        <v>0</v>
      </c>
    </row>
    <row r="54" spans="1:13">
      <c r="A54" s="1040" t="s">
        <v>456</v>
      </c>
      <c r="B54" s="1041"/>
      <c r="C54" s="1041"/>
      <c r="D54" s="1041"/>
      <c r="E54" s="1041"/>
      <c r="F54" s="1041"/>
      <c r="G54" s="1041"/>
      <c r="H54" s="1041"/>
      <c r="I54" s="1041"/>
      <c r="J54" s="7"/>
      <c r="M54" s="40" t="s">
        <v>23</v>
      </c>
    </row>
    <row r="55" spans="1:13">
      <c r="A55" s="1043"/>
      <c r="B55" s="852"/>
      <c r="C55" s="852"/>
      <c r="D55" s="852"/>
      <c r="E55" s="852"/>
      <c r="F55" s="852"/>
      <c r="G55" s="852"/>
      <c r="H55" s="852"/>
      <c r="I55" s="852"/>
      <c r="J55" s="852"/>
      <c r="K55" s="852"/>
      <c r="L55" s="852"/>
      <c r="M55" s="852"/>
    </row>
    <row r="56" spans="1:13">
      <c r="A56" s="25"/>
      <c r="B56" s="25"/>
      <c r="C56" s="25"/>
      <c r="D56" s="25"/>
      <c r="E56" s="25"/>
      <c r="F56" s="25"/>
      <c r="G56" s="25"/>
      <c r="H56" s="26"/>
      <c r="I56" s="27"/>
      <c r="J56" s="7"/>
    </row>
    <row r="57" spans="1:13">
      <c r="A57" s="25"/>
      <c r="B57" s="25"/>
      <c r="C57" s="25"/>
      <c r="D57" s="25"/>
      <c r="E57" s="25"/>
      <c r="F57" s="25"/>
      <c r="G57" s="25"/>
      <c r="H57" s="27"/>
      <c r="I57" s="27"/>
      <c r="J57" s="7"/>
    </row>
    <row r="58" spans="1:13">
      <c r="A58" s="25"/>
      <c r="B58" s="25"/>
      <c r="C58" s="25"/>
      <c r="D58" s="25"/>
      <c r="E58" s="25"/>
      <c r="F58" s="25"/>
      <c r="G58" s="25"/>
      <c r="H58" s="27"/>
      <c r="I58" s="27"/>
      <c r="J58" s="7"/>
    </row>
    <row r="59" spans="1:13" ht="65.45" customHeight="1">
      <c r="A59" s="25"/>
      <c r="B59" s="1042"/>
      <c r="C59" s="1042"/>
      <c r="D59" s="1042"/>
      <c r="E59" s="1042"/>
      <c r="F59" s="1042"/>
      <c r="G59" s="1042"/>
      <c r="H59" s="1042"/>
      <c r="I59" s="1042"/>
      <c r="J59" s="7"/>
    </row>
    <row r="60" spans="1:13">
      <c r="H60" s="11"/>
      <c r="I60" s="11"/>
      <c r="J60" s="7"/>
    </row>
    <row r="61" spans="1:13">
      <c r="H61" s="11"/>
      <c r="I61" s="37"/>
      <c r="J61" s="7"/>
    </row>
    <row r="62" spans="1:13">
      <c r="H62" s="11"/>
      <c r="I62" s="11"/>
      <c r="J62" s="7"/>
    </row>
    <row r="63" spans="1:13">
      <c r="H63" s="11"/>
      <c r="I63" s="11"/>
      <c r="J63" s="7"/>
    </row>
    <row r="64" spans="1:13">
      <c r="H64" s="11"/>
      <c r="I64" s="11"/>
      <c r="J64" s="7"/>
    </row>
    <row r="65" spans="8:10">
      <c r="H65" s="11"/>
      <c r="I65" s="11"/>
      <c r="J65" s="7"/>
    </row>
    <row r="66" spans="8:10">
      <c r="H66" s="11"/>
      <c r="I66" s="11"/>
      <c r="J66" s="7"/>
    </row>
    <row r="67" spans="8:10">
      <c r="H67" s="11"/>
      <c r="I67" s="11"/>
      <c r="J67" s="7"/>
    </row>
    <row r="68" spans="8:10">
      <c r="H68" s="11"/>
      <c r="I68" s="11"/>
      <c r="J68" s="7"/>
    </row>
    <row r="69" spans="8:10">
      <c r="H69" s="11"/>
      <c r="I69" s="11"/>
      <c r="J69" s="7"/>
    </row>
    <row r="70" spans="8:10">
      <c r="H70" s="11"/>
      <c r="I70" s="11"/>
      <c r="J70" s="7"/>
    </row>
    <row r="71" spans="8:10">
      <c r="H71" s="11"/>
      <c r="I71" s="11"/>
      <c r="J71" s="7"/>
    </row>
    <row r="72" spans="8:10">
      <c r="H72" s="11"/>
      <c r="I72" s="12"/>
      <c r="J72" s="7"/>
    </row>
    <row r="73" spans="8:10">
      <c r="H73" s="11"/>
      <c r="I73" s="12"/>
      <c r="J73" s="7"/>
    </row>
    <row r="74" spans="8:10">
      <c r="H74" s="11"/>
      <c r="I74" s="11"/>
      <c r="J74" s="7"/>
    </row>
    <row r="75" spans="8:10">
      <c r="H75" s="11"/>
      <c r="I75" s="11"/>
      <c r="J75" s="7"/>
    </row>
    <row r="76" spans="8:10">
      <c r="H76" s="11"/>
      <c r="I76" s="11"/>
      <c r="J76" s="7"/>
    </row>
    <row r="77" spans="8:10">
      <c r="H77" s="11"/>
      <c r="I77" s="11"/>
      <c r="J77" s="7"/>
    </row>
    <row r="78" spans="8:10">
      <c r="H78" s="11"/>
      <c r="I78" s="11"/>
      <c r="J78" s="7"/>
    </row>
    <row r="79" spans="8:10">
      <c r="H79" s="11"/>
      <c r="I79" s="11"/>
      <c r="J79" s="7"/>
    </row>
    <row r="80" spans="8:10">
      <c r="H80" s="11"/>
      <c r="I80" s="11"/>
      <c r="J80" s="7"/>
    </row>
    <row r="81" spans="8:10">
      <c r="H81" s="11"/>
      <c r="I81" s="11"/>
      <c r="J81" s="7"/>
    </row>
    <row r="82" spans="8:10">
      <c r="H82" s="11"/>
      <c r="I82" s="11"/>
      <c r="J82" s="7"/>
    </row>
    <row r="83" spans="8:10">
      <c r="H83" s="11"/>
      <c r="I83" s="11"/>
      <c r="J83" s="7"/>
    </row>
    <row r="84" spans="8:10">
      <c r="H84" s="11"/>
      <c r="I84" s="11"/>
      <c r="J84" s="7"/>
    </row>
    <row r="85" spans="8:10">
      <c r="H85" s="11"/>
      <c r="I85" s="11"/>
      <c r="J85" s="7"/>
    </row>
    <row r="86" spans="8:10">
      <c r="H86" s="11"/>
      <c r="I86" s="11"/>
      <c r="J86" s="7"/>
    </row>
    <row r="87" spans="8:10">
      <c r="H87" s="13"/>
      <c r="I87" s="11"/>
      <c r="J87" s="7"/>
    </row>
    <row r="88" spans="8:10">
      <c r="H88" s="7"/>
      <c r="I88" s="7"/>
      <c r="J88" s="7"/>
    </row>
    <row r="89" spans="8:10">
      <c r="H89" s="6"/>
      <c r="I89" s="6"/>
      <c r="J89" s="7"/>
    </row>
    <row r="90" spans="8:10">
      <c r="H90" s="6"/>
      <c r="I90" s="6"/>
      <c r="J90" s="7"/>
    </row>
    <row r="91" spans="8:10">
      <c r="H91" s="6"/>
      <c r="I91" s="6"/>
      <c r="J91" s="7"/>
    </row>
    <row r="92" spans="8:10">
      <c r="H92" s="6"/>
      <c r="I92" s="6"/>
      <c r="J92" s="7"/>
    </row>
    <row r="93" spans="8:10">
      <c r="J93" s="7"/>
    </row>
    <row r="94" spans="8:10">
      <c r="J94" s="7"/>
    </row>
    <row r="196" spans="1:1">
      <c r="A196" s="3" t="s">
        <v>229</v>
      </c>
    </row>
  </sheetData>
  <customSheetViews>
    <customSheetView guid="{9A28834D-6BE2-4884-BE97-BE00946B08BB}" scale="75" showPageBreaks="1" fitToPage="1" printArea="1" hiddenRows="1" hiddenColumns="1" view="pageBreakPreview">
      <pane xSplit="1" ySplit="9" topLeftCell="B10" activePane="bottomRight" state="frozen"/>
      <selection pane="bottomRight" activeCell="A42" sqref="A42"/>
      <pageMargins left="0.5" right="0.5" top="0.5" bottom="0.5" header="0.5" footer="0.25"/>
      <printOptions horizontalCentered="1"/>
      <pageSetup scale="63" orientation="landscape" r:id="rId1"/>
      <headerFooter alignWithMargins="0">
        <oddFooter>&amp;C&amp;"Times New Roman,Regular"Exhibit L - Summary of Requirements by Object Class - Salaries and Expenses</oddFooter>
      </headerFooter>
    </customSheetView>
  </customSheetViews>
  <mergeCells count="15">
    <mergeCell ref="A54:I54"/>
    <mergeCell ref="B59:I59"/>
    <mergeCell ref="A55:M55"/>
    <mergeCell ref="H8:I8"/>
    <mergeCell ref="F8:G8"/>
    <mergeCell ref="D8:E8"/>
    <mergeCell ref="A1:I1"/>
    <mergeCell ref="A2:I2"/>
    <mergeCell ref="A3:I3"/>
    <mergeCell ref="A4:I4"/>
    <mergeCell ref="B8:C8"/>
    <mergeCell ref="A7:I7"/>
    <mergeCell ref="A5:I5"/>
    <mergeCell ref="A8:A9"/>
    <mergeCell ref="A6:I6"/>
  </mergeCells>
  <phoneticPr fontId="0" type="noConversion"/>
  <printOptions horizontalCentered="1"/>
  <pageMargins left="0.5" right="0.5" top="0.5" bottom="0.5" header="0.5" footer="0.25"/>
  <pageSetup scale="63" orientation="landscape" r:id="rId2"/>
  <headerFooter alignWithMargins="0">
    <oddFooter>&amp;C&amp;"Times New Roman,Regular"Exhibit L - Summary of Requirements by Object Class - Salaries and Expenses</oddFooter>
  </headerFooter>
</worksheet>
</file>

<file path=xl/worksheets/sheet16.xml><?xml version="1.0" encoding="utf-8"?>
<worksheet xmlns="http://schemas.openxmlformats.org/spreadsheetml/2006/main" xmlns:r="http://schemas.openxmlformats.org/officeDocument/2006/relationships">
  <sheetPr>
    <pageSetUpPr fitToPage="1"/>
  </sheetPr>
  <dimension ref="A1:O155"/>
  <sheetViews>
    <sheetView view="pageBreakPreview" zoomScale="75" zoomScaleNormal="75" zoomScaleSheetLayoutView="50" workbookViewId="0">
      <pane xSplit="1" ySplit="11" topLeftCell="C12" activePane="bottomRight" state="frozen"/>
      <selection activeCell="O11" sqref="O11"/>
      <selection pane="topRight" activeCell="O11" sqref="O11"/>
      <selection pane="bottomLeft" activeCell="O11" sqref="O11"/>
      <selection pane="bottomRight" activeCell="C18" sqref="C18"/>
    </sheetView>
  </sheetViews>
  <sheetFormatPr defaultRowHeight="15.75"/>
  <cols>
    <col min="1" max="1" width="62.6640625" style="3" customWidth="1"/>
    <col min="2" max="2" width="8.88671875" style="3"/>
    <col min="3" max="3" width="10.109375" style="3" customWidth="1"/>
    <col min="4" max="4" width="8.88671875" style="3"/>
    <col min="5" max="5" width="10.6640625" style="3" customWidth="1"/>
    <col min="6" max="6" width="8.88671875" style="3"/>
    <col min="7" max="7" width="10.5546875" style="3" bestFit="1" customWidth="1"/>
    <col min="8" max="8" width="8.88671875" style="3"/>
    <col min="9" max="9" width="10.33203125" style="3" customWidth="1"/>
    <col min="10" max="12" width="0" style="3" hidden="1" customWidth="1"/>
    <col min="13" max="13" width="1" style="41" customWidth="1"/>
    <col min="15" max="16384" width="8.88671875" style="3"/>
  </cols>
  <sheetData>
    <row r="1" spans="1:15" ht="19.149999999999999" customHeight="1">
      <c r="A1" s="1049" t="s">
        <v>234</v>
      </c>
      <c r="B1" s="1029"/>
      <c r="C1" s="1029"/>
      <c r="D1" s="1029"/>
      <c r="E1" s="1029"/>
      <c r="F1" s="1029"/>
      <c r="G1" s="1029"/>
      <c r="H1" s="1029"/>
      <c r="I1" s="1029"/>
      <c r="M1" s="40" t="s">
        <v>0</v>
      </c>
    </row>
    <row r="2" spans="1:15" ht="19.149999999999999" customHeight="1">
      <c r="A2" s="695"/>
      <c r="B2" s="569"/>
      <c r="C2" s="569"/>
      <c r="D2" s="569"/>
      <c r="E2" s="569"/>
      <c r="F2" s="569"/>
      <c r="G2" s="569"/>
      <c r="H2" s="569"/>
      <c r="I2" s="569"/>
      <c r="M2" s="40"/>
    </row>
    <row r="3" spans="1:15" ht="19.149999999999999" customHeight="1">
      <c r="A3" s="695"/>
      <c r="B3" s="569"/>
      <c r="C3" s="569"/>
      <c r="D3" s="569"/>
      <c r="E3" s="569"/>
      <c r="F3" s="569"/>
      <c r="G3" s="569"/>
      <c r="H3" s="569"/>
      <c r="I3" s="569"/>
      <c r="M3" s="40"/>
    </row>
    <row r="4" spans="1:15" ht="19.149999999999999" customHeight="1">
      <c r="A4" s="1030"/>
      <c r="B4" s="1031"/>
      <c r="C4" s="1031"/>
      <c r="D4" s="1031"/>
      <c r="E4" s="1031"/>
      <c r="F4" s="1031"/>
      <c r="G4" s="1031"/>
      <c r="H4" s="1031"/>
      <c r="I4" s="1031"/>
      <c r="M4" s="40" t="s">
        <v>0</v>
      </c>
    </row>
    <row r="5" spans="1:15" ht="18.75">
      <c r="A5" s="1032" t="s">
        <v>94</v>
      </c>
      <c r="B5" s="1029"/>
      <c r="C5" s="1029"/>
      <c r="D5" s="1029"/>
      <c r="E5" s="1029"/>
      <c r="F5" s="1029"/>
      <c r="G5" s="1029"/>
      <c r="H5" s="1029"/>
      <c r="I5" s="1029"/>
      <c r="M5" s="40" t="s">
        <v>0</v>
      </c>
    </row>
    <row r="6" spans="1:15" ht="16.5">
      <c r="A6" s="1033" t="str">
        <f ca="1">+'B. Summary of Requirements_S&amp;E '!A5</f>
        <v>United States Marshals Service</v>
      </c>
      <c r="B6" s="1029"/>
      <c r="C6" s="1029"/>
      <c r="D6" s="1029"/>
      <c r="E6" s="1029"/>
      <c r="F6" s="1029"/>
      <c r="G6" s="1029"/>
      <c r="H6" s="1029"/>
      <c r="I6" s="1029"/>
      <c r="M6" s="40" t="s">
        <v>0</v>
      </c>
    </row>
    <row r="7" spans="1:15" ht="16.5">
      <c r="A7" s="1033" t="s">
        <v>338</v>
      </c>
      <c r="B7" s="1029"/>
      <c r="C7" s="1029"/>
      <c r="D7" s="1029"/>
      <c r="E7" s="1029"/>
      <c r="F7" s="1029"/>
      <c r="G7" s="1029"/>
      <c r="H7" s="1029"/>
      <c r="I7" s="1029"/>
      <c r="M7" s="40" t="s">
        <v>0</v>
      </c>
    </row>
    <row r="8" spans="1:15">
      <c r="A8" s="1039" t="s">
        <v>265</v>
      </c>
      <c r="B8" s="1029"/>
      <c r="C8" s="1029"/>
      <c r="D8" s="1029"/>
      <c r="E8" s="1029"/>
      <c r="F8" s="1029"/>
      <c r="G8" s="1029"/>
      <c r="H8" s="1029"/>
      <c r="I8" s="1029"/>
      <c r="M8" s="40" t="s">
        <v>0</v>
      </c>
    </row>
    <row r="9" spans="1:15" ht="11.25" customHeight="1">
      <c r="A9" s="1036"/>
      <c r="B9" s="1036"/>
      <c r="C9" s="1036"/>
      <c r="D9" s="1036"/>
      <c r="E9" s="1036"/>
      <c r="F9" s="1036"/>
      <c r="G9" s="1036"/>
      <c r="H9" s="1036"/>
      <c r="I9" s="1036"/>
      <c r="M9" s="40" t="s">
        <v>0</v>
      </c>
    </row>
    <row r="10" spans="1:15" ht="44.25" customHeight="1">
      <c r="A10" s="1037" t="s">
        <v>91</v>
      </c>
      <c r="B10" s="1034" t="s">
        <v>38</v>
      </c>
      <c r="C10" s="1035"/>
      <c r="D10" s="1047" t="s">
        <v>333</v>
      </c>
      <c r="E10" s="1048"/>
      <c r="F10" s="1044" t="s">
        <v>44</v>
      </c>
      <c r="G10" s="1046"/>
      <c r="H10" s="1044" t="s">
        <v>336</v>
      </c>
      <c r="I10" s="1045"/>
      <c r="J10" s="7"/>
      <c r="M10" s="40" t="s">
        <v>0</v>
      </c>
    </row>
    <row r="11" spans="1:15" ht="25.5" customHeight="1" thickBot="1">
      <c r="A11" s="1038"/>
      <c r="B11" s="104" t="s">
        <v>51</v>
      </c>
      <c r="C11" s="105" t="s">
        <v>289</v>
      </c>
      <c r="D11" s="104" t="s">
        <v>51</v>
      </c>
      <c r="E11" s="105" t="s">
        <v>289</v>
      </c>
      <c r="F11" s="104" t="s">
        <v>51</v>
      </c>
      <c r="G11" s="105" t="s">
        <v>289</v>
      </c>
      <c r="H11" s="104" t="s">
        <v>51</v>
      </c>
      <c r="I11" s="106" t="s">
        <v>289</v>
      </c>
      <c r="J11" s="7"/>
      <c r="M11" s="40" t="s">
        <v>0</v>
      </c>
    </row>
    <row r="12" spans="1:15">
      <c r="A12" s="321" t="s">
        <v>92</v>
      </c>
      <c r="B12" s="68"/>
      <c r="C12" s="69"/>
      <c r="D12" s="68"/>
      <c r="E12" s="69"/>
      <c r="F12" s="68"/>
      <c r="G12" s="69"/>
      <c r="H12" s="68"/>
      <c r="I12" s="59"/>
      <c r="J12" s="7"/>
      <c r="M12" s="40" t="s">
        <v>0</v>
      </c>
    </row>
    <row r="13" spans="1:15">
      <c r="A13" s="101" t="s">
        <v>64</v>
      </c>
      <c r="B13" s="68"/>
      <c r="C13" s="154">
        <v>100</v>
      </c>
      <c r="D13" s="68"/>
      <c r="E13" s="154">
        <v>0</v>
      </c>
      <c r="F13" s="68"/>
      <c r="G13" s="154">
        <v>0</v>
      </c>
      <c r="H13" s="68"/>
      <c r="I13" s="155">
        <f>G13-C13</f>
        <v>-100</v>
      </c>
      <c r="J13" s="7"/>
      <c r="K13" s="3">
        <v>110</v>
      </c>
      <c r="L13" s="3">
        <f>+E13-G13</f>
        <v>0</v>
      </c>
      <c r="M13" s="40" t="s">
        <v>0</v>
      </c>
    </row>
    <row r="14" spans="1:15">
      <c r="A14" s="101" t="s">
        <v>66</v>
      </c>
      <c r="B14" s="68"/>
      <c r="C14" s="69">
        <v>0</v>
      </c>
      <c r="D14" s="68"/>
      <c r="E14" s="69">
        <v>1340</v>
      </c>
      <c r="F14" s="68"/>
      <c r="G14" s="69">
        <v>1340</v>
      </c>
      <c r="H14" s="68"/>
      <c r="I14" s="59">
        <f>G14-C14</f>
        <v>1340</v>
      </c>
      <c r="J14" s="7"/>
      <c r="L14" s="3">
        <f>+E14-G14</f>
        <v>0</v>
      </c>
      <c r="M14" s="40" t="s">
        <v>0</v>
      </c>
    </row>
    <row r="15" spans="1:15">
      <c r="A15" s="101" t="s">
        <v>69</v>
      </c>
      <c r="B15" s="68"/>
      <c r="C15" s="69">
        <f>20380</f>
        <v>20380</v>
      </c>
      <c r="D15" s="68"/>
      <c r="E15" s="69">
        <f>26625-1340+8000</f>
        <v>33285</v>
      </c>
      <c r="F15" s="68"/>
      <c r="G15" s="69">
        <f>15625-G14</f>
        <v>14285</v>
      </c>
      <c r="H15" s="68"/>
      <c r="I15" s="59">
        <f>G15-C15</f>
        <v>-6095</v>
      </c>
      <c r="J15" s="7"/>
      <c r="K15" s="3">
        <v>135</v>
      </c>
      <c r="L15" s="3">
        <f>+E15-G15</f>
        <v>19000</v>
      </c>
      <c r="M15" s="40" t="s">
        <v>0</v>
      </c>
    </row>
    <row r="16" spans="1:15">
      <c r="A16" s="101" t="s">
        <v>71</v>
      </c>
      <c r="B16" s="68"/>
      <c r="C16" s="69">
        <v>6107</v>
      </c>
      <c r="D16" s="68"/>
      <c r="E16" s="69">
        <v>0</v>
      </c>
      <c r="F16" s="68"/>
      <c r="G16" s="69">
        <v>0</v>
      </c>
      <c r="H16" s="68"/>
      <c r="I16" s="59">
        <f>G16-C16</f>
        <v>-6107</v>
      </c>
      <c r="J16" s="7"/>
      <c r="K16" s="3">
        <v>85</v>
      </c>
      <c r="L16" s="3">
        <f>+E16-G16</f>
        <v>0</v>
      </c>
      <c r="M16" s="40" t="s">
        <v>0</v>
      </c>
      <c r="O16" s="20"/>
    </row>
    <row r="17" spans="1:13">
      <c r="A17" s="102" t="s">
        <v>72</v>
      </c>
      <c r="B17" s="38"/>
      <c r="C17" s="29">
        <f>SUM(C12:C16)</f>
        <v>26587</v>
      </c>
      <c r="D17" s="38"/>
      <c r="E17" s="29">
        <f>SUM(E12:E16)</f>
        <v>34625</v>
      </c>
      <c r="F17" s="38"/>
      <c r="G17" s="29">
        <f>SUM(G12:G16)</f>
        <v>15625</v>
      </c>
      <c r="H17" s="38"/>
      <c r="I17" s="28">
        <f>SUM(I12:I16)</f>
        <v>-10962</v>
      </c>
      <c r="J17" s="7">
        <f>SUM(J12:J16)</f>
        <v>0</v>
      </c>
      <c r="K17" s="3">
        <f>SUM(K12:K16)</f>
        <v>330</v>
      </c>
      <c r="L17" s="3">
        <f>+E17-G17</f>
        <v>19000</v>
      </c>
      <c r="M17" s="40" t="s">
        <v>0</v>
      </c>
    </row>
    <row r="18" spans="1:13" ht="16.899999999999999" customHeight="1">
      <c r="A18" s="103" t="s">
        <v>73</v>
      </c>
      <c r="B18" s="71"/>
      <c r="C18" s="72">
        <v>-752</v>
      </c>
      <c r="D18" s="71"/>
      <c r="E18" s="72">
        <f>-C19</f>
        <v>-10054</v>
      </c>
      <c r="F18" s="71"/>
      <c r="G18" s="72">
        <f>-E19</f>
        <v>-2155</v>
      </c>
      <c r="H18" s="71"/>
      <c r="I18" s="73"/>
      <c r="J18" s="7"/>
      <c r="M18" s="40" t="s">
        <v>0</v>
      </c>
    </row>
    <row r="19" spans="1:13">
      <c r="A19" s="103" t="s">
        <v>74</v>
      </c>
      <c r="B19" s="71"/>
      <c r="C19" s="72">
        <v>10054</v>
      </c>
      <c r="D19" s="71"/>
      <c r="E19" s="72">
        <v>2155</v>
      </c>
      <c r="F19" s="71"/>
      <c r="G19" s="72">
        <f>-G18</f>
        <v>2155</v>
      </c>
      <c r="H19" s="71"/>
      <c r="I19" s="73"/>
      <c r="J19" s="7"/>
      <c r="M19" s="40" t="s">
        <v>0</v>
      </c>
    </row>
    <row r="20" spans="1:13">
      <c r="A20" s="103" t="s">
        <v>75</v>
      </c>
      <c r="B20" s="71"/>
      <c r="C20" s="72">
        <v>-1264</v>
      </c>
      <c r="D20" s="71"/>
      <c r="E20" s="72">
        <v>-101</v>
      </c>
      <c r="F20" s="71"/>
      <c r="G20" s="72">
        <v>0</v>
      </c>
      <c r="H20" s="71"/>
      <c r="I20" s="73"/>
      <c r="J20" s="7"/>
      <c r="M20" s="40" t="s">
        <v>0</v>
      </c>
    </row>
    <row r="21" spans="1:13">
      <c r="A21" s="591" t="s">
        <v>1</v>
      </c>
      <c r="B21" s="592"/>
      <c r="C21" s="593">
        <f>SUM(C17:C20)</f>
        <v>34625</v>
      </c>
      <c r="D21" s="592"/>
      <c r="E21" s="593">
        <f>SUM(E17:E20)</f>
        <v>26625</v>
      </c>
      <c r="F21" s="592"/>
      <c r="G21" s="593">
        <f>SUM(G17:G20)</f>
        <v>15625</v>
      </c>
      <c r="H21" s="592"/>
      <c r="I21" s="594"/>
      <c r="J21" s="7"/>
      <c r="M21" s="40" t="s">
        <v>23</v>
      </c>
    </row>
    <row r="22" spans="1:13">
      <c r="A22" s="1043"/>
      <c r="B22" s="852"/>
      <c r="C22" s="852"/>
      <c r="D22" s="852"/>
      <c r="E22" s="852"/>
      <c r="F22" s="852"/>
      <c r="G22" s="852"/>
      <c r="H22" s="852"/>
      <c r="I22" s="852"/>
      <c r="J22" s="852"/>
      <c r="K22" s="852"/>
      <c r="L22" s="852"/>
      <c r="M22" s="852"/>
    </row>
    <row r="23" spans="1:13">
      <c r="H23" s="11"/>
      <c r="I23" s="11"/>
      <c r="J23" s="7"/>
    </row>
    <row r="24" spans="1:13">
      <c r="H24" s="11"/>
      <c r="I24" s="11"/>
      <c r="J24" s="7"/>
    </row>
    <row r="25" spans="1:13">
      <c r="H25" s="11"/>
      <c r="I25" s="11"/>
      <c r="J25" s="7"/>
    </row>
    <row r="26" spans="1:13">
      <c r="H26" s="11"/>
      <c r="I26" s="11"/>
      <c r="J26" s="7"/>
    </row>
    <row r="27" spans="1:13">
      <c r="H27" s="11"/>
      <c r="I27" s="11"/>
      <c r="J27" s="7"/>
    </row>
    <row r="28" spans="1:13">
      <c r="H28" s="11"/>
      <c r="I28" s="11"/>
      <c r="J28" s="7"/>
    </row>
    <row r="29" spans="1:13">
      <c r="H29" s="11"/>
      <c r="I29" s="11"/>
      <c r="J29" s="7"/>
    </row>
    <row r="30" spans="1:13">
      <c r="H30" s="11"/>
      <c r="I30" s="11"/>
      <c r="J30" s="7"/>
    </row>
    <row r="31" spans="1:13">
      <c r="H31" s="11"/>
      <c r="I31" s="12"/>
      <c r="J31" s="7"/>
    </row>
    <row r="32" spans="1:13">
      <c r="H32" s="11"/>
      <c r="I32" s="12"/>
      <c r="J32" s="7"/>
    </row>
    <row r="33" spans="8:10">
      <c r="H33" s="11"/>
      <c r="I33" s="11"/>
      <c r="J33" s="7"/>
    </row>
    <row r="34" spans="8:10">
      <c r="H34" s="11"/>
      <c r="I34" s="11"/>
      <c r="J34" s="7"/>
    </row>
    <row r="35" spans="8:10">
      <c r="H35" s="11"/>
      <c r="I35" s="11"/>
      <c r="J35" s="7"/>
    </row>
    <row r="36" spans="8:10">
      <c r="H36" s="11"/>
      <c r="I36" s="11"/>
      <c r="J36" s="7"/>
    </row>
    <row r="37" spans="8:10">
      <c r="H37" s="11"/>
      <c r="I37" s="11"/>
      <c r="J37" s="7"/>
    </row>
    <row r="38" spans="8:10">
      <c r="H38" s="11"/>
      <c r="I38" s="11"/>
      <c r="J38" s="7"/>
    </row>
    <row r="39" spans="8:10">
      <c r="H39" s="11"/>
      <c r="I39" s="11"/>
      <c r="J39" s="7"/>
    </row>
    <row r="40" spans="8:10">
      <c r="H40" s="11"/>
      <c r="I40" s="11"/>
      <c r="J40" s="7"/>
    </row>
    <row r="41" spans="8:10">
      <c r="H41" s="11"/>
      <c r="I41" s="11"/>
      <c r="J41" s="7"/>
    </row>
    <row r="42" spans="8:10">
      <c r="H42" s="11"/>
      <c r="I42" s="11"/>
      <c r="J42" s="7"/>
    </row>
    <row r="43" spans="8:10">
      <c r="H43" s="11"/>
      <c r="I43" s="11"/>
      <c r="J43" s="7"/>
    </row>
    <row r="44" spans="8:10">
      <c r="H44" s="11"/>
      <c r="I44" s="11"/>
      <c r="J44" s="7"/>
    </row>
    <row r="45" spans="8:10">
      <c r="H45" s="11"/>
      <c r="I45" s="11"/>
      <c r="J45" s="7"/>
    </row>
    <row r="46" spans="8:10">
      <c r="H46" s="13"/>
      <c r="I46" s="11"/>
      <c r="J46" s="7"/>
    </row>
    <row r="47" spans="8:10">
      <c r="H47" s="7"/>
      <c r="I47" s="7"/>
      <c r="J47" s="7"/>
    </row>
    <row r="48" spans="8:10">
      <c r="H48" s="6"/>
      <c r="I48" s="6"/>
      <c r="J48" s="7"/>
    </row>
    <row r="49" spans="8:10">
      <c r="H49" s="6"/>
      <c r="I49" s="6"/>
      <c r="J49" s="7"/>
    </row>
    <row r="50" spans="8:10">
      <c r="H50" s="6"/>
      <c r="I50" s="6"/>
      <c r="J50" s="7"/>
    </row>
    <row r="51" spans="8:10">
      <c r="H51" s="6"/>
      <c r="I51" s="6"/>
      <c r="J51" s="7"/>
    </row>
    <row r="52" spans="8:10">
      <c r="J52" s="7"/>
    </row>
    <row r="53" spans="8:10">
      <c r="J53" s="7"/>
    </row>
    <row r="155" spans="1:1">
      <c r="A155" s="3" t="s">
        <v>229</v>
      </c>
    </row>
  </sheetData>
  <customSheetViews>
    <customSheetView guid="{9A28834D-6BE2-4884-BE97-BE00946B08BB}" scale="75" showPageBreaks="1" fitToPage="1" printArea="1" hiddenRows="1" hiddenColumns="1" view="pageBreakPreview">
      <pane xSplit="1" ySplit="11" topLeftCell="B12" activePane="bottomRight" state="frozen"/>
      <selection pane="bottomRight" activeCell="C43" sqref="C43"/>
      <pageMargins left="0.25" right="0.25" top="1" bottom="1" header="0.5" footer="0.25"/>
      <printOptions horizontalCentered="1"/>
      <pageSetup scale="80" orientation="landscape" r:id="rId1"/>
      <headerFooter alignWithMargins="0">
        <oddFooter>&amp;C&amp;"Times New Roman,Regular"Exhibit L - Summary of Requirements by Object Class - Construction</oddFooter>
      </headerFooter>
    </customSheetView>
  </customSheetViews>
  <mergeCells count="13">
    <mergeCell ref="A22:M22"/>
    <mergeCell ref="A9:I9"/>
    <mergeCell ref="A8:I8"/>
    <mergeCell ref="A1:I1"/>
    <mergeCell ref="A4:I4"/>
    <mergeCell ref="A5:I5"/>
    <mergeCell ref="A6:I6"/>
    <mergeCell ref="A7:I7"/>
    <mergeCell ref="A10:A11"/>
    <mergeCell ref="B10:C10"/>
    <mergeCell ref="D10:E10"/>
    <mergeCell ref="F10:G10"/>
    <mergeCell ref="H10:I10"/>
  </mergeCells>
  <printOptions horizontalCentered="1"/>
  <pageMargins left="0.25" right="0.25" top="1" bottom="1" header="0.5" footer="0.25"/>
  <pageSetup scale="80" orientation="landscape" r:id="rId2"/>
  <headerFooter alignWithMargins="0">
    <oddFooter>&amp;C&amp;"Times New Roman,Regular"Exhibit L - Summary of Requirements by Object Class - Construction</oddFooter>
  </headerFooter>
</worksheet>
</file>

<file path=xl/worksheets/sheet17.xml><?xml version="1.0" encoding="utf-8"?>
<worksheet xmlns="http://schemas.openxmlformats.org/spreadsheetml/2006/main" xmlns:r="http://schemas.openxmlformats.org/officeDocument/2006/relationships">
  <sheetPr codeName="Sheet1"/>
  <dimension ref="A1:R80"/>
  <sheetViews>
    <sheetView view="pageBreakPreview" zoomScale="95" zoomScaleNormal="100" zoomScaleSheetLayoutView="95" workbookViewId="0">
      <selection activeCell="B17" sqref="B17"/>
    </sheetView>
  </sheetViews>
  <sheetFormatPr defaultRowHeight="12.75"/>
  <cols>
    <col min="1" max="1" width="10.6640625" style="128" customWidth="1"/>
    <col min="2" max="2" width="37.77734375" style="128" customWidth="1"/>
    <col min="3" max="10" width="9.88671875" style="130" customWidth="1"/>
    <col min="11" max="16384" width="8.88671875" style="128"/>
  </cols>
  <sheetData>
    <row r="1" spans="1:11" s="144" customFormat="1" ht="15.75">
      <c r="A1" s="1051" t="s">
        <v>112</v>
      </c>
      <c r="B1" s="1051"/>
      <c r="C1" s="1051"/>
      <c r="D1" s="1051"/>
      <c r="E1" s="1051"/>
      <c r="F1" s="1051"/>
      <c r="G1" s="1051"/>
      <c r="H1" s="1051"/>
      <c r="I1" s="1051"/>
      <c r="J1" s="1051"/>
      <c r="K1" s="127" t="s">
        <v>0</v>
      </c>
    </row>
    <row r="2" spans="1:11" s="144" customFormat="1" ht="15.75">
      <c r="A2" s="1050"/>
      <c r="B2" s="1050"/>
      <c r="C2" s="1050"/>
      <c r="D2" s="1050"/>
      <c r="E2" s="1050"/>
      <c r="F2" s="1050"/>
      <c r="G2" s="1050"/>
      <c r="H2" s="1050"/>
      <c r="I2" s="1050"/>
      <c r="J2" s="1050"/>
    </row>
    <row r="3" spans="1:11" s="144" customFormat="1" ht="15.75">
      <c r="A3" s="1052" t="s">
        <v>211</v>
      </c>
      <c r="B3" s="1052"/>
      <c r="C3" s="1052"/>
      <c r="D3" s="1052"/>
      <c r="E3" s="1052"/>
      <c r="F3" s="1052"/>
      <c r="G3" s="1052"/>
      <c r="H3" s="1052"/>
      <c r="I3" s="1052"/>
      <c r="J3" s="1052"/>
      <c r="K3" s="127" t="s">
        <v>0</v>
      </c>
    </row>
    <row r="4" spans="1:11" s="144" customFormat="1" ht="15.75">
      <c r="A4" s="1052" t="s">
        <v>266</v>
      </c>
      <c r="B4" s="1052"/>
      <c r="C4" s="1052"/>
      <c r="D4" s="1052"/>
      <c r="E4" s="1052"/>
      <c r="F4" s="1052"/>
      <c r="G4" s="1052"/>
      <c r="H4" s="1052"/>
      <c r="I4" s="1052"/>
      <c r="J4" s="1052"/>
      <c r="K4" s="127" t="s">
        <v>0</v>
      </c>
    </row>
    <row r="5" spans="1:11" s="144" customFormat="1" ht="15.75">
      <c r="A5" s="1050" t="s">
        <v>265</v>
      </c>
      <c r="B5" s="1050"/>
      <c r="C5" s="1050"/>
      <c r="D5" s="1050"/>
      <c r="E5" s="1050"/>
      <c r="F5" s="1050"/>
      <c r="G5" s="1050"/>
      <c r="H5" s="1050"/>
      <c r="I5" s="1050"/>
      <c r="J5" s="1050"/>
      <c r="K5" s="127" t="s">
        <v>0</v>
      </c>
    </row>
    <row r="6" spans="1:11" s="144" customFormat="1" ht="15.75">
      <c r="A6" s="1050"/>
      <c r="B6" s="1050"/>
      <c r="C6" s="1050"/>
      <c r="D6" s="1050"/>
      <c r="E6" s="1050"/>
      <c r="F6" s="1050"/>
      <c r="G6" s="1050"/>
      <c r="H6" s="1050"/>
      <c r="I6" s="1050"/>
      <c r="J6" s="1050"/>
    </row>
    <row r="7" spans="1:11">
      <c r="A7" s="1053"/>
      <c r="B7" s="1053"/>
      <c r="C7" s="1053"/>
      <c r="D7" s="1053"/>
      <c r="E7" s="1053"/>
      <c r="F7" s="1053"/>
      <c r="G7" s="1053"/>
      <c r="H7" s="1053"/>
      <c r="I7" s="1053"/>
      <c r="J7" s="1053"/>
    </row>
    <row r="8" spans="1:11">
      <c r="A8" s="217" t="s">
        <v>113</v>
      </c>
      <c r="B8" s="216"/>
      <c r="C8" s="1055"/>
      <c r="D8" s="1055"/>
      <c r="E8" s="1055"/>
      <c r="F8" s="1055"/>
      <c r="G8" s="1055"/>
      <c r="H8" s="1055"/>
      <c r="I8" s="1055"/>
      <c r="J8" s="1055"/>
      <c r="K8" s="127" t="s">
        <v>0</v>
      </c>
    </row>
    <row r="9" spans="1:11">
      <c r="A9" s="217" t="s">
        <v>114</v>
      </c>
      <c r="B9" s="218" t="s">
        <v>184</v>
      </c>
      <c r="C9" s="1055"/>
      <c r="D9" s="1055"/>
      <c r="E9" s="1055"/>
      <c r="F9" s="1055"/>
      <c r="G9" s="1055"/>
      <c r="H9" s="1055"/>
      <c r="I9" s="1055"/>
      <c r="J9" s="1055"/>
      <c r="K9" s="127" t="s">
        <v>0</v>
      </c>
    </row>
    <row r="10" spans="1:11">
      <c r="A10" s="217" t="s">
        <v>115</v>
      </c>
      <c r="B10" s="218" t="s">
        <v>116</v>
      </c>
      <c r="C10" s="1055"/>
      <c r="D10" s="1055"/>
      <c r="E10" s="1055"/>
      <c r="F10" s="1055"/>
      <c r="G10" s="1055"/>
      <c r="H10" s="1055"/>
      <c r="I10" s="1055"/>
      <c r="J10" s="1055"/>
      <c r="K10" s="127" t="s">
        <v>0</v>
      </c>
    </row>
    <row r="11" spans="1:11">
      <c r="A11" s="1054"/>
      <c r="B11" s="1054"/>
      <c r="C11" s="1054"/>
      <c r="D11" s="1054"/>
      <c r="E11" s="1054"/>
      <c r="F11" s="1054"/>
      <c r="G11" s="1054"/>
      <c r="H11" s="1054"/>
      <c r="I11" s="1054"/>
      <c r="J11" s="1054"/>
    </row>
    <row r="12" spans="1:11" ht="18" customHeight="1">
      <c r="A12" s="1058" t="s">
        <v>117</v>
      </c>
      <c r="B12" s="1059"/>
      <c r="C12" s="1069" t="s">
        <v>319</v>
      </c>
      <c r="D12" s="1067" t="s">
        <v>316</v>
      </c>
      <c r="E12" s="1067" t="s">
        <v>118</v>
      </c>
      <c r="F12" s="1067" t="s">
        <v>119</v>
      </c>
      <c r="G12" s="1067" t="s">
        <v>317</v>
      </c>
      <c r="H12" s="1067" t="s">
        <v>318</v>
      </c>
      <c r="I12" s="1067" t="s">
        <v>118</v>
      </c>
      <c r="J12" s="1065" t="s">
        <v>320</v>
      </c>
      <c r="K12" s="127" t="s">
        <v>0</v>
      </c>
    </row>
    <row r="13" spans="1:11">
      <c r="A13" s="1060"/>
      <c r="B13" s="1061"/>
      <c r="C13" s="1070"/>
      <c r="D13" s="1068"/>
      <c r="E13" s="1068"/>
      <c r="F13" s="1068"/>
      <c r="G13" s="1068"/>
      <c r="H13" s="1068"/>
      <c r="I13" s="1068"/>
      <c r="J13" s="1066"/>
      <c r="K13" s="127" t="s">
        <v>0</v>
      </c>
    </row>
    <row r="14" spans="1:11">
      <c r="A14" s="233" t="s">
        <v>120</v>
      </c>
      <c r="B14" s="234"/>
      <c r="C14" s="260"/>
      <c r="D14" s="260"/>
      <c r="E14" s="260"/>
      <c r="F14" s="260"/>
      <c r="G14" s="260"/>
      <c r="H14" s="260"/>
      <c r="I14" s="260"/>
      <c r="J14" s="261"/>
      <c r="K14" s="127" t="s">
        <v>0</v>
      </c>
    </row>
    <row r="15" spans="1:11">
      <c r="A15" s="235" t="s">
        <v>121</v>
      </c>
      <c r="B15" s="220" t="s">
        <v>122</v>
      </c>
      <c r="C15" s="262"/>
      <c r="D15" s="262"/>
      <c r="E15" s="262"/>
      <c r="F15" s="262"/>
      <c r="G15" s="262"/>
      <c r="H15" s="262"/>
      <c r="I15" s="262"/>
      <c r="J15" s="263"/>
      <c r="K15" s="127" t="s">
        <v>0</v>
      </c>
    </row>
    <row r="16" spans="1:11">
      <c r="A16" s="225" t="s">
        <v>123</v>
      </c>
      <c r="B16" s="224" t="s">
        <v>124</v>
      </c>
      <c r="C16" s="264"/>
      <c r="D16" s="264"/>
      <c r="E16" s="264"/>
      <c r="F16" s="264"/>
      <c r="G16" s="264"/>
      <c r="H16" s="264"/>
      <c r="I16" s="264"/>
      <c r="J16" s="265"/>
      <c r="K16" s="127" t="s">
        <v>0</v>
      </c>
    </row>
    <row r="17" spans="1:11">
      <c r="A17" s="225" t="s">
        <v>123</v>
      </c>
      <c r="B17" s="224" t="s">
        <v>125</v>
      </c>
      <c r="C17" s="264"/>
      <c r="D17" s="264"/>
      <c r="E17" s="264"/>
      <c r="F17" s="264"/>
      <c r="G17" s="264"/>
      <c r="H17" s="264"/>
      <c r="I17" s="264"/>
      <c r="J17" s="265"/>
      <c r="K17" s="127" t="s">
        <v>0</v>
      </c>
    </row>
    <row r="18" spans="1:11">
      <c r="A18" s="225" t="s">
        <v>123</v>
      </c>
      <c r="B18" s="224" t="s">
        <v>126</v>
      </c>
      <c r="C18" s="264"/>
      <c r="D18" s="264"/>
      <c r="E18" s="264"/>
      <c r="F18" s="264"/>
      <c r="G18" s="264"/>
      <c r="H18" s="264"/>
      <c r="I18" s="264"/>
      <c r="J18" s="265"/>
      <c r="K18" s="127" t="s">
        <v>0</v>
      </c>
    </row>
    <row r="19" spans="1:11">
      <c r="A19" s="225" t="s">
        <v>123</v>
      </c>
      <c r="B19" s="224" t="s">
        <v>127</v>
      </c>
      <c r="C19" s="264"/>
      <c r="D19" s="264"/>
      <c r="E19" s="264"/>
      <c r="F19" s="264"/>
      <c r="G19" s="264"/>
      <c r="H19" s="264"/>
      <c r="I19" s="264"/>
      <c r="J19" s="265"/>
      <c r="K19" s="127" t="s">
        <v>0</v>
      </c>
    </row>
    <row r="20" spans="1:11">
      <c r="A20" s="225" t="s">
        <v>129</v>
      </c>
      <c r="B20" s="224" t="s">
        <v>128</v>
      </c>
      <c r="C20" s="264"/>
      <c r="D20" s="266"/>
      <c r="E20" s="266"/>
      <c r="F20" s="266"/>
      <c r="G20" s="266"/>
      <c r="H20" s="266"/>
      <c r="I20" s="266"/>
      <c r="J20" s="267"/>
      <c r="K20" s="127" t="s">
        <v>0</v>
      </c>
    </row>
    <row r="21" spans="1:11">
      <c r="A21" s="233" t="s">
        <v>130</v>
      </c>
      <c r="B21" s="234"/>
      <c r="C21" s="260"/>
      <c r="D21" s="260"/>
      <c r="E21" s="260"/>
      <c r="F21" s="260"/>
      <c r="G21" s="260"/>
      <c r="H21" s="260"/>
      <c r="I21" s="260"/>
      <c r="J21" s="261"/>
      <c r="K21" s="127" t="s">
        <v>0</v>
      </c>
    </row>
    <row r="22" spans="1:11">
      <c r="A22" s="235" t="s">
        <v>131</v>
      </c>
      <c r="B22" s="236" t="s">
        <v>132</v>
      </c>
      <c r="C22" s="262"/>
      <c r="D22" s="262"/>
      <c r="E22" s="262"/>
      <c r="F22" s="262"/>
      <c r="G22" s="262"/>
      <c r="H22" s="262"/>
      <c r="I22" s="262"/>
      <c r="J22" s="263"/>
      <c r="K22" s="127" t="s">
        <v>0</v>
      </c>
    </row>
    <row r="23" spans="1:11">
      <c r="A23" s="225">
        <v>22</v>
      </c>
      <c r="B23" s="224" t="s">
        <v>133</v>
      </c>
      <c r="C23" s="264"/>
      <c r="D23" s="264"/>
      <c r="E23" s="264"/>
      <c r="F23" s="264"/>
      <c r="G23" s="264"/>
      <c r="H23" s="264"/>
      <c r="I23" s="264"/>
      <c r="J23" s="265"/>
      <c r="K23" s="127" t="s">
        <v>0</v>
      </c>
    </row>
    <row r="24" spans="1:11">
      <c r="A24" s="225" t="s">
        <v>189</v>
      </c>
      <c r="B24" s="224" t="s">
        <v>190</v>
      </c>
      <c r="C24" s="264"/>
      <c r="D24" s="264"/>
      <c r="E24" s="264"/>
      <c r="F24" s="264"/>
      <c r="G24" s="264"/>
      <c r="H24" s="264"/>
      <c r="I24" s="264"/>
      <c r="J24" s="265"/>
      <c r="K24" s="127" t="s">
        <v>0</v>
      </c>
    </row>
    <row r="25" spans="1:11">
      <c r="A25" s="225" t="s">
        <v>134</v>
      </c>
      <c r="B25" s="224" t="s">
        <v>135</v>
      </c>
      <c r="C25" s="264"/>
      <c r="D25" s="264"/>
      <c r="E25" s="264"/>
      <c r="F25" s="264"/>
      <c r="G25" s="264"/>
      <c r="H25" s="264"/>
      <c r="I25" s="264"/>
      <c r="J25" s="265"/>
      <c r="K25" s="127" t="s">
        <v>0</v>
      </c>
    </row>
    <row r="26" spans="1:11">
      <c r="A26" s="225" t="s">
        <v>136</v>
      </c>
      <c r="B26" s="224" t="s">
        <v>137</v>
      </c>
      <c r="C26" s="264"/>
      <c r="D26" s="264"/>
      <c r="E26" s="264"/>
      <c r="F26" s="264"/>
      <c r="G26" s="264"/>
      <c r="H26" s="264"/>
      <c r="I26" s="264"/>
      <c r="J26" s="265"/>
      <c r="K26" s="127" t="s">
        <v>0</v>
      </c>
    </row>
    <row r="27" spans="1:11">
      <c r="A27" s="225" t="s">
        <v>136</v>
      </c>
      <c r="B27" s="224" t="s">
        <v>138</v>
      </c>
      <c r="C27" s="264"/>
      <c r="D27" s="264"/>
      <c r="E27" s="264"/>
      <c r="F27" s="264"/>
      <c r="G27" s="264"/>
      <c r="H27" s="264"/>
      <c r="I27" s="264"/>
      <c r="J27" s="265"/>
      <c r="K27" s="127" t="s">
        <v>0</v>
      </c>
    </row>
    <row r="28" spans="1:11">
      <c r="A28" s="225" t="s">
        <v>136</v>
      </c>
      <c r="B28" s="224" t="s">
        <v>139</v>
      </c>
      <c r="C28" s="264"/>
      <c r="D28" s="264"/>
      <c r="E28" s="264"/>
      <c r="F28" s="264"/>
      <c r="G28" s="264"/>
      <c r="H28" s="264"/>
      <c r="I28" s="264"/>
      <c r="J28" s="265"/>
      <c r="K28" s="127" t="s">
        <v>0</v>
      </c>
    </row>
    <row r="29" spans="1:11">
      <c r="A29" s="225">
        <v>25.3</v>
      </c>
      <c r="B29" s="224" t="s">
        <v>140</v>
      </c>
      <c r="C29" s="264"/>
      <c r="D29" s="264"/>
      <c r="E29" s="264"/>
      <c r="F29" s="264"/>
      <c r="G29" s="264"/>
      <c r="H29" s="264"/>
      <c r="I29" s="264"/>
      <c r="J29" s="265"/>
      <c r="K29" s="127" t="s">
        <v>0</v>
      </c>
    </row>
    <row r="30" spans="1:11">
      <c r="A30" s="221">
        <v>25.3</v>
      </c>
      <c r="B30" s="222" t="s">
        <v>141</v>
      </c>
      <c r="C30" s="264"/>
      <c r="D30" s="264"/>
      <c r="E30" s="264"/>
      <c r="F30" s="264"/>
      <c r="G30" s="264"/>
      <c r="H30" s="264"/>
      <c r="I30" s="264"/>
      <c r="J30" s="265"/>
      <c r="K30" s="127" t="s">
        <v>0</v>
      </c>
    </row>
    <row r="31" spans="1:11">
      <c r="A31" s="221">
        <v>25.3</v>
      </c>
      <c r="B31" s="222" t="s">
        <v>142</v>
      </c>
      <c r="C31" s="264"/>
      <c r="D31" s="264"/>
      <c r="E31" s="264"/>
      <c r="F31" s="264"/>
      <c r="G31" s="264"/>
      <c r="H31" s="264"/>
      <c r="I31" s="264"/>
      <c r="J31" s="265"/>
      <c r="K31" s="127" t="s">
        <v>0</v>
      </c>
    </row>
    <row r="32" spans="1:11">
      <c r="A32" s="221">
        <v>25.3</v>
      </c>
      <c r="B32" s="222" t="s">
        <v>143</v>
      </c>
      <c r="C32" s="264"/>
      <c r="D32" s="264"/>
      <c r="E32" s="264"/>
      <c r="F32" s="264"/>
      <c r="G32" s="264"/>
      <c r="H32" s="264"/>
      <c r="I32" s="264"/>
      <c r="J32" s="265"/>
      <c r="K32" s="127" t="s">
        <v>0</v>
      </c>
    </row>
    <row r="33" spans="1:11">
      <c r="A33" s="221">
        <v>25.3</v>
      </c>
      <c r="B33" s="222" t="s">
        <v>144</v>
      </c>
      <c r="C33" s="264"/>
      <c r="D33" s="264"/>
      <c r="E33" s="264"/>
      <c r="F33" s="264"/>
      <c r="G33" s="264"/>
      <c r="H33" s="264"/>
      <c r="I33" s="264"/>
      <c r="J33" s="265"/>
      <c r="K33" s="127" t="s">
        <v>0</v>
      </c>
    </row>
    <row r="34" spans="1:11">
      <c r="A34" s="225">
        <v>25.2</v>
      </c>
      <c r="B34" s="224" t="s">
        <v>203</v>
      </c>
      <c r="C34" s="264"/>
      <c r="D34" s="264"/>
      <c r="E34" s="264"/>
      <c r="F34" s="264"/>
      <c r="G34" s="264"/>
      <c r="H34" s="264"/>
      <c r="I34" s="264"/>
      <c r="J34" s="265"/>
      <c r="K34" s="127" t="s">
        <v>0</v>
      </c>
    </row>
    <row r="35" spans="1:11">
      <c r="A35" s="225">
        <v>25.6</v>
      </c>
      <c r="B35" s="224" t="s">
        <v>146</v>
      </c>
      <c r="C35" s="264"/>
      <c r="D35" s="264"/>
      <c r="E35" s="264"/>
      <c r="F35" s="264"/>
      <c r="G35" s="264"/>
      <c r="H35" s="264"/>
      <c r="I35" s="264"/>
      <c r="J35" s="265"/>
      <c r="K35" s="127" t="s">
        <v>0</v>
      </c>
    </row>
    <row r="36" spans="1:11">
      <c r="A36" s="225">
        <v>25.6</v>
      </c>
      <c r="B36" s="224" t="s">
        <v>147</v>
      </c>
      <c r="C36" s="264"/>
      <c r="D36" s="264"/>
      <c r="E36" s="264"/>
      <c r="F36" s="264"/>
      <c r="G36" s="264"/>
      <c r="H36" s="264"/>
      <c r="I36" s="264"/>
      <c r="J36" s="265"/>
      <c r="K36" s="127" t="s">
        <v>0</v>
      </c>
    </row>
    <row r="37" spans="1:11">
      <c r="A37" s="225">
        <v>25.2</v>
      </c>
      <c r="B37" s="224" t="s">
        <v>148</v>
      </c>
      <c r="C37" s="264"/>
      <c r="D37" s="264"/>
      <c r="E37" s="264"/>
      <c r="F37" s="264"/>
      <c r="G37" s="264"/>
      <c r="H37" s="264"/>
      <c r="I37" s="264"/>
      <c r="J37" s="265"/>
      <c r="K37" s="127" t="s">
        <v>0</v>
      </c>
    </row>
    <row r="38" spans="1:11">
      <c r="A38" s="225">
        <v>25.2</v>
      </c>
      <c r="B38" s="224" t="s">
        <v>150</v>
      </c>
      <c r="C38" s="264"/>
      <c r="D38" s="264"/>
      <c r="E38" s="264"/>
      <c r="F38" s="264"/>
      <c r="G38" s="264"/>
      <c r="H38" s="264"/>
      <c r="I38" s="264"/>
      <c r="J38" s="265"/>
      <c r="K38" s="127" t="s">
        <v>0</v>
      </c>
    </row>
    <row r="39" spans="1:11">
      <c r="A39" s="225" t="s">
        <v>145</v>
      </c>
      <c r="B39" s="224" t="s">
        <v>204</v>
      </c>
      <c r="C39" s="264"/>
      <c r="D39" s="264"/>
      <c r="E39" s="264"/>
      <c r="F39" s="264"/>
      <c r="G39" s="264"/>
      <c r="H39" s="264"/>
      <c r="I39" s="264"/>
      <c r="J39" s="265"/>
      <c r="K39" s="127" t="s">
        <v>0</v>
      </c>
    </row>
    <row r="40" spans="1:11">
      <c r="A40" s="225" t="s">
        <v>152</v>
      </c>
      <c r="B40" s="224" t="s">
        <v>153</v>
      </c>
      <c r="C40" s="264"/>
      <c r="D40" s="264"/>
      <c r="E40" s="264"/>
      <c r="F40" s="264"/>
      <c r="G40" s="264"/>
      <c r="H40" s="264"/>
      <c r="I40" s="264"/>
      <c r="J40" s="265"/>
      <c r="K40" s="127" t="s">
        <v>0</v>
      </c>
    </row>
    <row r="41" spans="1:11">
      <c r="A41" s="225" t="s">
        <v>152</v>
      </c>
      <c r="B41" s="224" t="s">
        <v>154</v>
      </c>
      <c r="C41" s="264"/>
      <c r="D41" s="264"/>
      <c r="E41" s="264"/>
      <c r="F41" s="264"/>
      <c r="G41" s="264"/>
      <c r="H41" s="264"/>
      <c r="I41" s="264"/>
      <c r="J41" s="265"/>
      <c r="K41" s="127" t="s">
        <v>0</v>
      </c>
    </row>
    <row r="42" spans="1:11">
      <c r="A42" s="225" t="s">
        <v>152</v>
      </c>
      <c r="B42" s="224" t="s">
        <v>155</v>
      </c>
      <c r="C42" s="264"/>
      <c r="D42" s="264"/>
      <c r="E42" s="264"/>
      <c r="F42" s="264"/>
      <c r="G42" s="264"/>
      <c r="H42" s="264"/>
      <c r="I42" s="264"/>
      <c r="J42" s="265"/>
      <c r="K42" s="127" t="s">
        <v>0</v>
      </c>
    </row>
    <row r="43" spans="1:11">
      <c r="A43" s="225" t="s">
        <v>152</v>
      </c>
      <c r="B43" s="224" t="s">
        <v>157</v>
      </c>
      <c r="C43" s="264"/>
      <c r="D43" s="264"/>
      <c r="E43" s="264"/>
      <c r="F43" s="264"/>
      <c r="G43" s="264"/>
      <c r="H43" s="264"/>
      <c r="I43" s="264"/>
      <c r="J43" s="265"/>
      <c r="K43" s="127" t="s">
        <v>0</v>
      </c>
    </row>
    <row r="44" spans="1:11">
      <c r="A44" s="231" t="s">
        <v>152</v>
      </c>
      <c r="B44" s="232" t="s">
        <v>158</v>
      </c>
      <c r="C44" s="268"/>
      <c r="D44" s="268"/>
      <c r="E44" s="268"/>
      <c r="F44" s="268"/>
      <c r="G44" s="268"/>
      <c r="H44" s="268"/>
      <c r="I44" s="268"/>
      <c r="J44" s="269"/>
      <c r="K44" s="127" t="s">
        <v>0</v>
      </c>
    </row>
    <row r="45" spans="1:11">
      <c r="A45" s="233" t="s">
        <v>159</v>
      </c>
      <c r="B45" s="234"/>
      <c r="C45" s="260"/>
      <c r="D45" s="260"/>
      <c r="E45" s="260"/>
      <c r="F45" s="260"/>
      <c r="G45" s="260"/>
      <c r="H45" s="260"/>
      <c r="I45" s="260"/>
      <c r="J45" s="261"/>
      <c r="K45" s="127" t="s">
        <v>0</v>
      </c>
    </row>
    <row r="46" spans="1:11">
      <c r="A46" s="225" t="s">
        <v>160</v>
      </c>
      <c r="B46" s="236" t="s">
        <v>198</v>
      </c>
      <c r="C46" s="262"/>
      <c r="D46" s="262"/>
      <c r="E46" s="262"/>
      <c r="F46" s="262"/>
      <c r="G46" s="262"/>
      <c r="H46" s="262"/>
      <c r="I46" s="262"/>
      <c r="J46" s="263"/>
      <c r="K46" s="127" t="s">
        <v>0</v>
      </c>
    </row>
    <row r="47" spans="1:11">
      <c r="A47" s="225" t="s">
        <v>160</v>
      </c>
      <c r="B47" s="224" t="s">
        <v>161</v>
      </c>
      <c r="C47" s="270"/>
      <c r="D47" s="270"/>
      <c r="E47" s="270"/>
      <c r="F47" s="270"/>
      <c r="G47" s="270"/>
      <c r="H47" s="270"/>
      <c r="I47" s="270"/>
      <c r="J47" s="271"/>
      <c r="K47" s="127" t="s">
        <v>0</v>
      </c>
    </row>
    <row r="48" spans="1:11">
      <c r="A48" s="221" t="s">
        <v>160</v>
      </c>
      <c r="B48" s="222" t="s">
        <v>162</v>
      </c>
      <c r="C48" s="250"/>
      <c r="D48" s="250"/>
      <c r="E48" s="250"/>
      <c r="F48" s="250"/>
      <c r="G48" s="250"/>
      <c r="H48" s="250"/>
      <c r="I48" s="250"/>
      <c r="J48" s="251"/>
      <c r="K48" s="127" t="s">
        <v>0</v>
      </c>
    </row>
    <row r="49" spans="1:11">
      <c r="A49" s="221" t="s">
        <v>160</v>
      </c>
      <c r="B49" s="222" t="s">
        <v>163</v>
      </c>
      <c r="C49" s="250"/>
      <c r="D49" s="250"/>
      <c r="E49" s="250"/>
      <c r="F49" s="250"/>
      <c r="G49" s="250"/>
      <c r="H49" s="250"/>
      <c r="I49" s="250"/>
      <c r="J49" s="251"/>
      <c r="K49" s="127" t="s">
        <v>0</v>
      </c>
    </row>
    <row r="50" spans="1:11">
      <c r="A50" s="225">
        <v>25.2</v>
      </c>
      <c r="B50" s="224" t="s">
        <v>164</v>
      </c>
      <c r="C50" s="270"/>
      <c r="D50" s="270"/>
      <c r="E50" s="270"/>
      <c r="F50" s="270"/>
      <c r="G50" s="270"/>
      <c r="H50" s="270"/>
      <c r="I50" s="270"/>
      <c r="J50" s="271"/>
      <c r="K50" s="127" t="s">
        <v>0</v>
      </c>
    </row>
    <row r="51" spans="1:11">
      <c r="A51" s="225" t="s">
        <v>160</v>
      </c>
      <c r="B51" s="224" t="s">
        <v>165</v>
      </c>
      <c r="C51" s="264"/>
      <c r="D51" s="264"/>
      <c r="E51" s="264"/>
      <c r="F51" s="264"/>
      <c r="G51" s="264"/>
      <c r="H51" s="264"/>
      <c r="I51" s="264"/>
      <c r="J51" s="265"/>
      <c r="K51" s="127" t="s">
        <v>0</v>
      </c>
    </row>
    <row r="52" spans="1:11">
      <c r="A52" s="225" t="s">
        <v>160</v>
      </c>
      <c r="B52" s="224" t="s">
        <v>166</v>
      </c>
      <c r="C52" s="264"/>
      <c r="D52" s="264"/>
      <c r="E52" s="264"/>
      <c r="F52" s="264"/>
      <c r="G52" s="264"/>
      <c r="H52" s="264"/>
      <c r="I52" s="264"/>
      <c r="J52" s="265"/>
      <c r="K52" s="127" t="s">
        <v>0</v>
      </c>
    </row>
    <row r="53" spans="1:11">
      <c r="A53" s="225" t="s">
        <v>160</v>
      </c>
      <c r="B53" s="224" t="s">
        <v>167</v>
      </c>
      <c r="C53" s="264"/>
      <c r="D53" s="264"/>
      <c r="E53" s="264"/>
      <c r="F53" s="264"/>
      <c r="G53" s="264"/>
      <c r="H53" s="264"/>
      <c r="I53" s="264"/>
      <c r="J53" s="265"/>
      <c r="K53" s="127" t="s">
        <v>0</v>
      </c>
    </row>
    <row r="54" spans="1:11">
      <c r="A54" s="225" t="s">
        <v>160</v>
      </c>
      <c r="B54" s="224" t="s">
        <v>168</v>
      </c>
      <c r="C54" s="264"/>
      <c r="D54" s="264"/>
      <c r="E54" s="264"/>
      <c r="F54" s="264"/>
      <c r="G54" s="264"/>
      <c r="H54" s="264"/>
      <c r="I54" s="264"/>
      <c r="J54" s="265"/>
      <c r="K54" s="127" t="s">
        <v>0</v>
      </c>
    </row>
    <row r="55" spans="1:11">
      <c r="A55" s="225" t="s">
        <v>160</v>
      </c>
      <c r="B55" s="224" t="s">
        <v>169</v>
      </c>
      <c r="C55" s="264"/>
      <c r="D55" s="264"/>
      <c r="E55" s="264"/>
      <c r="F55" s="264"/>
      <c r="G55" s="264"/>
      <c r="H55" s="264"/>
      <c r="I55" s="264"/>
      <c r="J55" s="265"/>
      <c r="K55" s="127" t="s">
        <v>0</v>
      </c>
    </row>
    <row r="56" spans="1:11">
      <c r="A56" s="225" t="s">
        <v>160</v>
      </c>
      <c r="B56" s="224" t="s">
        <v>170</v>
      </c>
      <c r="C56" s="264"/>
      <c r="D56" s="264"/>
      <c r="E56" s="264"/>
      <c r="F56" s="264"/>
      <c r="G56" s="264"/>
      <c r="H56" s="264"/>
      <c r="I56" s="264"/>
      <c r="J56" s="265"/>
      <c r="K56" s="127" t="s">
        <v>0</v>
      </c>
    </row>
    <row r="57" spans="1:11">
      <c r="A57" s="225" t="s">
        <v>160</v>
      </c>
      <c r="B57" s="224" t="s">
        <v>171</v>
      </c>
      <c r="C57" s="264"/>
      <c r="D57" s="264"/>
      <c r="E57" s="264"/>
      <c r="F57" s="264"/>
      <c r="G57" s="264"/>
      <c r="H57" s="264"/>
      <c r="I57" s="264"/>
      <c r="J57" s="265"/>
      <c r="K57" s="127" t="s">
        <v>0</v>
      </c>
    </row>
    <row r="58" spans="1:11">
      <c r="A58" s="225" t="s">
        <v>160</v>
      </c>
      <c r="B58" s="224" t="s">
        <v>205</v>
      </c>
      <c r="C58" s="264"/>
      <c r="D58" s="264"/>
      <c r="E58" s="264"/>
      <c r="F58" s="264"/>
      <c r="G58" s="264"/>
      <c r="H58" s="264"/>
      <c r="I58" s="264"/>
      <c r="J58" s="265"/>
      <c r="K58" s="127" t="s">
        <v>0</v>
      </c>
    </row>
    <row r="59" spans="1:11">
      <c r="A59" s="237" t="s">
        <v>200</v>
      </c>
      <c r="B59" s="238" t="s">
        <v>201</v>
      </c>
      <c r="C59" s="266"/>
      <c r="D59" s="266"/>
      <c r="E59" s="266"/>
      <c r="F59" s="266"/>
      <c r="G59" s="266"/>
      <c r="H59" s="266"/>
      <c r="I59" s="266"/>
      <c r="J59" s="267"/>
      <c r="K59" s="127" t="s">
        <v>0</v>
      </c>
    </row>
    <row r="60" spans="1:11">
      <c r="A60" s="233" t="s">
        <v>172</v>
      </c>
      <c r="B60" s="239"/>
      <c r="C60" s="272"/>
      <c r="D60" s="272"/>
      <c r="E60" s="272"/>
      <c r="F60" s="272"/>
      <c r="G60" s="272"/>
      <c r="H60" s="272"/>
      <c r="I60" s="272"/>
      <c r="J60" s="273"/>
      <c r="K60" s="127" t="s">
        <v>0</v>
      </c>
    </row>
    <row r="61" spans="1:11">
      <c r="A61" s="240" t="s">
        <v>173</v>
      </c>
      <c r="B61" s="241" t="s">
        <v>206</v>
      </c>
      <c r="C61" s="270"/>
      <c r="D61" s="270"/>
      <c r="E61" s="270"/>
      <c r="F61" s="270"/>
      <c r="G61" s="270"/>
      <c r="H61" s="270"/>
      <c r="I61" s="270"/>
      <c r="J61" s="271"/>
      <c r="K61" s="127" t="s">
        <v>0</v>
      </c>
    </row>
    <row r="62" spans="1:11">
      <c r="A62" s="240" t="s">
        <v>173</v>
      </c>
      <c r="B62" s="241" t="s">
        <v>174</v>
      </c>
      <c r="C62" s="270"/>
      <c r="D62" s="270"/>
      <c r="E62" s="270"/>
      <c r="F62" s="270"/>
      <c r="G62" s="270"/>
      <c r="H62" s="270"/>
      <c r="I62" s="270"/>
      <c r="J62" s="271"/>
      <c r="K62" s="127" t="s">
        <v>0</v>
      </c>
    </row>
    <row r="63" spans="1:11">
      <c r="A63" s="240" t="s">
        <v>173</v>
      </c>
      <c r="B63" s="238" t="s">
        <v>175</v>
      </c>
      <c r="C63" s="270"/>
      <c r="D63" s="270"/>
      <c r="E63" s="270"/>
      <c r="F63" s="270"/>
      <c r="G63" s="270"/>
      <c r="H63" s="270"/>
      <c r="I63" s="270"/>
      <c r="J63" s="271"/>
      <c r="K63" s="127" t="s">
        <v>0</v>
      </c>
    </row>
    <row r="64" spans="1:11">
      <c r="A64" s="240" t="s">
        <v>173</v>
      </c>
      <c r="B64" s="224" t="s">
        <v>176</v>
      </c>
      <c r="C64" s="264"/>
      <c r="D64" s="264"/>
      <c r="E64" s="264"/>
      <c r="F64" s="264"/>
      <c r="G64" s="264"/>
      <c r="H64" s="264"/>
      <c r="I64" s="264"/>
      <c r="J64" s="265"/>
      <c r="K64" s="127" t="s">
        <v>0</v>
      </c>
    </row>
    <row r="65" spans="1:18">
      <c r="A65" s="240" t="s">
        <v>173</v>
      </c>
      <c r="B65" s="224" t="s">
        <v>177</v>
      </c>
      <c r="C65" s="264"/>
      <c r="D65" s="264"/>
      <c r="E65" s="264"/>
      <c r="F65" s="264"/>
      <c r="G65" s="264"/>
      <c r="H65" s="264"/>
      <c r="I65" s="264"/>
      <c r="J65" s="265"/>
      <c r="K65" s="127" t="s">
        <v>0</v>
      </c>
    </row>
    <row r="66" spans="1:18">
      <c r="A66" s="242" t="s">
        <v>173</v>
      </c>
      <c r="B66" s="238" t="s">
        <v>178</v>
      </c>
      <c r="C66" s="266"/>
      <c r="D66" s="266"/>
      <c r="E66" s="266"/>
      <c r="F66" s="266"/>
      <c r="G66" s="266"/>
      <c r="H66" s="266"/>
      <c r="I66" s="266"/>
      <c r="J66" s="267"/>
      <c r="K66" s="127" t="s">
        <v>0</v>
      </c>
    </row>
    <row r="67" spans="1:18">
      <c r="A67" s="231" t="s">
        <v>173</v>
      </c>
      <c r="B67" s="232" t="s">
        <v>179</v>
      </c>
      <c r="C67" s="268"/>
      <c r="D67" s="268"/>
      <c r="E67" s="268"/>
      <c r="F67" s="268"/>
      <c r="G67" s="268"/>
      <c r="H67" s="268"/>
      <c r="I67" s="268"/>
      <c r="J67" s="269"/>
      <c r="K67" s="127" t="s">
        <v>0</v>
      </c>
    </row>
    <row r="68" spans="1:18">
      <c r="A68" s="233"/>
      <c r="B68" s="243" t="s">
        <v>180</v>
      </c>
      <c r="C68" s="272"/>
      <c r="D68" s="272"/>
      <c r="E68" s="272"/>
      <c r="F68" s="272"/>
      <c r="G68" s="272"/>
      <c r="H68" s="272"/>
      <c r="I68" s="272"/>
      <c r="J68" s="273"/>
      <c r="K68" s="131" t="s">
        <v>23</v>
      </c>
    </row>
    <row r="69" spans="1:18">
      <c r="A69" s="216"/>
      <c r="B69" s="216"/>
      <c r="C69" s="259"/>
      <c r="D69" s="259"/>
      <c r="E69" s="259"/>
      <c r="F69" s="259"/>
      <c r="G69" s="259"/>
      <c r="H69" s="259"/>
      <c r="I69" s="259"/>
      <c r="J69" s="259"/>
    </row>
    <row r="70" spans="1:18">
      <c r="B70" s="137"/>
      <c r="C70" s="145"/>
      <c r="D70" s="145"/>
      <c r="E70" s="145"/>
      <c r="F70" s="145"/>
      <c r="G70" s="145"/>
      <c r="H70" s="145"/>
      <c r="I70" s="145"/>
      <c r="J70" s="145"/>
      <c r="K70" s="137"/>
      <c r="L70" s="137"/>
      <c r="M70" s="137"/>
      <c r="N70" s="137"/>
      <c r="O70" s="137"/>
      <c r="P70" s="137"/>
      <c r="Q70" s="137"/>
      <c r="R70" s="137"/>
    </row>
    <row r="71" spans="1:18" ht="15.75">
      <c r="A71" s="1062" t="s">
        <v>285</v>
      </c>
      <c r="B71" s="860"/>
      <c r="C71" s="860"/>
      <c r="D71" s="860"/>
      <c r="E71" s="860"/>
      <c r="F71" s="860"/>
      <c r="G71" s="860"/>
      <c r="H71" s="860"/>
      <c r="I71" s="860"/>
      <c r="J71" s="860"/>
      <c r="K71" s="132"/>
      <c r="L71" s="132"/>
      <c r="M71" s="132"/>
      <c r="N71" s="132"/>
      <c r="O71" s="132"/>
      <c r="P71" s="132"/>
      <c r="Q71" s="132"/>
      <c r="R71" s="132"/>
    </row>
    <row r="72" spans="1:18" ht="16.5" customHeight="1">
      <c r="A72" s="1063" t="s">
        <v>181</v>
      </c>
      <c r="B72" s="1031"/>
      <c r="C72" s="1031"/>
      <c r="D72" s="1031"/>
      <c r="E72" s="1031"/>
      <c r="F72" s="1031"/>
      <c r="G72" s="1031"/>
      <c r="H72" s="1031"/>
      <c r="I72" s="1031"/>
      <c r="J72" s="1031"/>
      <c r="K72" s="146"/>
      <c r="L72" s="146"/>
      <c r="M72" s="146"/>
      <c r="N72" s="146"/>
      <c r="O72" s="146"/>
      <c r="P72" s="146"/>
      <c r="Q72" s="146"/>
      <c r="R72" s="146"/>
    </row>
    <row r="73" spans="1:18" ht="13.5">
      <c r="A73" s="133"/>
      <c r="B73" s="132"/>
      <c r="C73" s="132"/>
      <c r="D73" s="132"/>
      <c r="E73" s="132"/>
      <c r="F73" s="132"/>
      <c r="G73" s="132"/>
      <c r="H73" s="132"/>
      <c r="I73" s="132"/>
      <c r="J73" s="132"/>
      <c r="K73" s="132"/>
      <c r="L73" s="132"/>
      <c r="M73" s="132"/>
      <c r="N73" s="132"/>
      <c r="O73" s="132"/>
      <c r="P73" s="132"/>
      <c r="Q73" s="132"/>
      <c r="R73" s="132"/>
    </row>
    <row r="74" spans="1:18" ht="18.75" customHeight="1">
      <c r="A74" s="1064" t="s">
        <v>182</v>
      </c>
      <c r="B74" s="1031"/>
      <c r="C74" s="1031"/>
      <c r="D74" s="1031"/>
      <c r="E74" s="1031"/>
      <c r="F74" s="1031"/>
      <c r="G74" s="1031"/>
      <c r="H74" s="1031"/>
      <c r="I74" s="1031"/>
      <c r="J74" s="1031"/>
      <c r="K74" s="146"/>
      <c r="L74" s="146"/>
      <c r="M74" s="146"/>
      <c r="N74" s="146"/>
      <c r="O74" s="146"/>
      <c r="P74" s="146"/>
      <c r="Q74" s="146"/>
      <c r="R74" s="146"/>
    </row>
    <row r="75" spans="1:18">
      <c r="A75" s="135"/>
      <c r="B75" s="136"/>
      <c r="C75" s="136"/>
      <c r="D75" s="136"/>
      <c r="E75" s="136"/>
      <c r="F75" s="136"/>
      <c r="G75" s="136"/>
      <c r="H75" s="136"/>
      <c r="I75" s="136"/>
      <c r="J75" s="136"/>
      <c r="K75" s="136"/>
      <c r="L75" s="136"/>
      <c r="M75" s="136"/>
      <c r="N75" s="136"/>
      <c r="O75" s="136"/>
      <c r="P75" s="136"/>
      <c r="Q75" s="136"/>
      <c r="R75" s="136"/>
    </row>
    <row r="76" spans="1:18" ht="15">
      <c r="A76" s="1056" t="s">
        <v>183</v>
      </c>
      <c r="B76" s="1057"/>
      <c r="C76" s="1057"/>
      <c r="D76" s="1057"/>
      <c r="E76" s="1057"/>
      <c r="F76" s="1057"/>
      <c r="G76" s="1057"/>
      <c r="H76" s="1057"/>
      <c r="I76" s="1057"/>
      <c r="J76" s="1057"/>
      <c r="K76" s="134"/>
      <c r="L76" s="134"/>
      <c r="M76" s="134"/>
      <c r="N76" s="134"/>
      <c r="O76" s="134"/>
      <c r="P76" s="134"/>
      <c r="Q76" s="134"/>
      <c r="R76" s="134"/>
    </row>
    <row r="77" spans="1:18">
      <c r="A77" s="147"/>
      <c r="B77" s="148"/>
      <c r="C77" s="148"/>
      <c r="D77" s="148"/>
      <c r="E77" s="148"/>
      <c r="F77" s="148"/>
      <c r="G77" s="148"/>
      <c r="H77" s="148"/>
      <c r="I77" s="148"/>
      <c r="J77" s="148"/>
      <c r="K77" s="148"/>
      <c r="L77" s="148"/>
      <c r="M77" s="148"/>
      <c r="N77" s="148"/>
      <c r="O77" s="148"/>
      <c r="P77" s="148"/>
      <c r="Q77" s="148"/>
      <c r="R77" s="148"/>
    </row>
    <row r="78" spans="1:18">
      <c r="A78" s="137"/>
      <c r="B78" s="137"/>
      <c r="C78" s="145"/>
      <c r="D78" s="145"/>
      <c r="E78" s="145"/>
      <c r="F78" s="145"/>
      <c r="G78" s="145"/>
      <c r="H78" s="145"/>
      <c r="I78" s="145"/>
      <c r="J78" s="145"/>
    </row>
    <row r="80" spans="1:18">
      <c r="C80" s="149"/>
      <c r="D80" s="149"/>
    </row>
  </sheetData>
  <customSheetViews>
    <customSheetView guid="{9A28834D-6BE2-4884-BE97-BE00946B08BB}" scale="95" showPageBreaks="1" printArea="1" state="hidden" view="pageBreakPreview">
      <selection activeCell="B17" sqref="B17"/>
      <rowBreaks count="1" manualBreakCount="1">
        <brk id="44" max="9" man="1"/>
      </rowBreaks>
      <pageMargins left="0.75" right="0.75" top="0.3" bottom="1" header="0.1" footer="0.5"/>
      <printOptions horizontalCentered="1"/>
      <pageSetup scale="75" fitToHeight="2" orientation="landscape" cellComments="asDisplayed" r:id="rId1"/>
      <headerFooter alignWithMargins="0">
        <oddFooter>&amp;C&amp;11Exhibit N:  Modular Cost for New Positions</oddFooter>
      </headerFooter>
    </customSheetView>
  </customSheetViews>
  <mergeCells count="24">
    <mergeCell ref="A76:J76"/>
    <mergeCell ref="A12:B13"/>
    <mergeCell ref="A71:J71"/>
    <mergeCell ref="A72:J72"/>
    <mergeCell ref="A74:J74"/>
    <mergeCell ref="J12:J13"/>
    <mergeCell ref="E12:E13"/>
    <mergeCell ref="F12:F13"/>
    <mergeCell ref="G12:G13"/>
    <mergeCell ref="C12:C13"/>
    <mergeCell ref="D12:D13"/>
    <mergeCell ref="H12:H13"/>
    <mergeCell ref="I12:I13"/>
    <mergeCell ref="A7:J7"/>
    <mergeCell ref="A11:J11"/>
    <mergeCell ref="C10:J10"/>
    <mergeCell ref="C9:J9"/>
    <mergeCell ref="C8:J8"/>
    <mergeCell ref="A6:J6"/>
    <mergeCell ref="A1:J1"/>
    <mergeCell ref="A2:J2"/>
    <mergeCell ref="A3:J3"/>
    <mergeCell ref="A4:J4"/>
    <mergeCell ref="A5:J5"/>
  </mergeCells>
  <phoneticPr fontId="41" type="noConversion"/>
  <printOptions horizontalCentered="1"/>
  <pageMargins left="0.75" right="0.75" top="0.3" bottom="1" header="0.1" footer="0.5"/>
  <pageSetup scale="75" fitToHeight="2" orientation="landscape" cellComments="asDisplayed" r:id="rId2"/>
  <headerFooter alignWithMargins="0">
    <oddFooter>&amp;C&amp;11Exhibit N:  Modular Cost for New Positions</oddFooter>
  </headerFooter>
  <rowBreaks count="1" manualBreakCount="1">
    <brk id="44" max="9" man="1"/>
  </rowBreaks>
  <legacyDrawing r:id="rId3"/>
</worksheet>
</file>

<file path=xl/worksheets/sheet18.xml><?xml version="1.0" encoding="utf-8"?>
<worksheet xmlns="http://schemas.openxmlformats.org/spreadsheetml/2006/main" xmlns:r="http://schemas.openxmlformats.org/officeDocument/2006/relationships">
  <sheetPr codeName="Sheet5"/>
  <dimension ref="A1:R60"/>
  <sheetViews>
    <sheetView view="pageBreakPreview" zoomScaleNormal="100" zoomScaleSheetLayoutView="100" workbookViewId="0">
      <selection activeCell="B17" sqref="B17"/>
    </sheetView>
  </sheetViews>
  <sheetFormatPr defaultRowHeight="12.75"/>
  <cols>
    <col min="1" max="1" width="10.6640625" style="128" customWidth="1"/>
    <col min="2" max="2" width="38" style="128" customWidth="1"/>
    <col min="3" max="8" width="9.88671875" style="130" customWidth="1"/>
    <col min="9" max="16384" width="8.88671875" style="128"/>
  </cols>
  <sheetData>
    <row r="1" spans="1:10" ht="15.75">
      <c r="A1" s="1051" t="s">
        <v>112</v>
      </c>
      <c r="B1" s="1051"/>
      <c r="C1" s="1051"/>
      <c r="D1" s="1051"/>
      <c r="E1" s="1051"/>
      <c r="F1" s="1051"/>
      <c r="G1" s="1051"/>
      <c r="H1" s="1051"/>
      <c r="I1" s="127" t="s">
        <v>0</v>
      </c>
      <c r="J1" s="126"/>
    </row>
    <row r="2" spans="1:10" ht="15.75">
      <c r="A2" s="1050"/>
      <c r="B2" s="1050"/>
      <c r="C2" s="1050"/>
      <c r="D2" s="1050"/>
      <c r="E2" s="1050"/>
      <c r="F2" s="1050"/>
      <c r="G2" s="1050"/>
      <c r="H2" s="1050"/>
      <c r="I2" s="126"/>
      <c r="J2" s="126"/>
    </row>
    <row r="3" spans="1:10" ht="15.75">
      <c r="A3" s="1052" t="s">
        <v>211</v>
      </c>
      <c r="B3" s="1052"/>
      <c r="C3" s="1052"/>
      <c r="D3" s="1052"/>
      <c r="E3" s="1052"/>
      <c r="F3" s="1052"/>
      <c r="G3" s="1052"/>
      <c r="H3" s="1052"/>
      <c r="I3" s="127" t="s">
        <v>0</v>
      </c>
      <c r="J3" s="129"/>
    </row>
    <row r="4" spans="1:10" ht="15.75">
      <c r="A4" s="1052" t="s">
        <v>266</v>
      </c>
      <c r="B4" s="1052"/>
      <c r="C4" s="1052"/>
      <c r="D4" s="1052"/>
      <c r="E4" s="1052"/>
      <c r="F4" s="1052"/>
      <c r="G4" s="1052"/>
      <c r="H4" s="1052"/>
      <c r="I4" s="127" t="s">
        <v>0</v>
      </c>
      <c r="J4" s="129"/>
    </row>
    <row r="5" spans="1:10" ht="15.75">
      <c r="A5" s="1050" t="s">
        <v>265</v>
      </c>
      <c r="B5" s="1050"/>
      <c r="C5" s="1050"/>
      <c r="D5" s="1050"/>
      <c r="E5" s="1050"/>
      <c r="F5" s="1050"/>
      <c r="G5" s="1050"/>
      <c r="H5" s="1050"/>
      <c r="I5" s="127" t="s">
        <v>0</v>
      </c>
      <c r="J5" s="129"/>
    </row>
    <row r="6" spans="1:10" ht="15.75">
      <c r="A6" s="1074"/>
      <c r="B6" s="1074"/>
      <c r="C6" s="1074"/>
      <c r="D6" s="1074"/>
      <c r="E6" s="1074"/>
      <c r="F6" s="1074"/>
      <c r="G6" s="1074"/>
      <c r="H6" s="1074"/>
    </row>
    <row r="7" spans="1:10">
      <c r="A7" s="1053"/>
      <c r="B7" s="1053"/>
      <c r="C7" s="1053"/>
      <c r="D7" s="1053"/>
      <c r="E7" s="1053"/>
      <c r="F7" s="1053"/>
      <c r="G7" s="1053"/>
      <c r="H7" s="1053"/>
    </row>
    <row r="8" spans="1:10">
      <c r="A8" s="217" t="s">
        <v>113</v>
      </c>
      <c r="B8" s="216"/>
      <c r="C8" s="1055"/>
      <c r="D8" s="1055"/>
      <c r="E8" s="1055"/>
      <c r="F8" s="1055"/>
      <c r="G8" s="1055"/>
      <c r="H8" s="1055"/>
      <c r="I8" s="127" t="s">
        <v>0</v>
      </c>
    </row>
    <row r="9" spans="1:10">
      <c r="A9" s="217" t="s">
        <v>114</v>
      </c>
      <c r="B9" s="218" t="s">
        <v>184</v>
      </c>
      <c r="C9" s="1055"/>
      <c r="D9" s="1055"/>
      <c r="E9" s="1055"/>
      <c r="F9" s="1055"/>
      <c r="G9" s="1055"/>
      <c r="H9" s="1055"/>
      <c r="I9" s="127" t="s">
        <v>0</v>
      </c>
    </row>
    <row r="10" spans="1:10">
      <c r="A10" s="217" t="s">
        <v>115</v>
      </c>
      <c r="B10" s="218" t="s">
        <v>185</v>
      </c>
      <c r="C10" s="1055"/>
      <c r="D10" s="1055"/>
      <c r="E10" s="1055"/>
      <c r="F10" s="1055"/>
      <c r="G10" s="1055"/>
      <c r="H10" s="1055"/>
      <c r="I10" s="127" t="s">
        <v>0</v>
      </c>
    </row>
    <row r="11" spans="1:10">
      <c r="A11" s="1075"/>
      <c r="B11" s="1075"/>
      <c r="C11" s="1075"/>
      <c r="D11" s="1075"/>
      <c r="E11" s="1075"/>
      <c r="F11" s="1075"/>
      <c r="G11" s="1075"/>
      <c r="H11" s="1075"/>
    </row>
    <row r="12" spans="1:10" ht="12.75" customHeight="1">
      <c r="A12" s="1058" t="s">
        <v>117</v>
      </c>
      <c r="B12" s="1059"/>
      <c r="C12" s="1069" t="s">
        <v>321</v>
      </c>
      <c r="D12" s="1067" t="s">
        <v>316</v>
      </c>
      <c r="E12" s="1067" t="s">
        <v>118</v>
      </c>
      <c r="F12" s="1067" t="s">
        <v>119</v>
      </c>
      <c r="G12" s="1067" t="s">
        <v>317</v>
      </c>
      <c r="H12" s="1065" t="s">
        <v>322</v>
      </c>
      <c r="I12" s="127" t="s">
        <v>0</v>
      </c>
    </row>
    <row r="13" spans="1:10" ht="12.75" customHeight="1">
      <c r="A13" s="1060"/>
      <c r="B13" s="1061"/>
      <c r="C13" s="1070"/>
      <c r="D13" s="1068"/>
      <c r="E13" s="1068"/>
      <c r="F13" s="1068"/>
      <c r="G13" s="1068"/>
      <c r="H13" s="1066"/>
      <c r="I13" s="127" t="s">
        <v>0</v>
      </c>
    </row>
    <row r="14" spans="1:10">
      <c r="A14" s="1072" t="s">
        <v>120</v>
      </c>
      <c r="B14" s="1073"/>
      <c r="C14" s="246"/>
      <c r="D14" s="246"/>
      <c r="E14" s="246"/>
      <c r="F14" s="246"/>
      <c r="G14" s="246"/>
      <c r="H14" s="247"/>
      <c r="I14" s="127" t="s">
        <v>0</v>
      </c>
    </row>
    <row r="15" spans="1:10">
      <c r="A15" s="228" t="s">
        <v>121</v>
      </c>
      <c r="B15" s="220" t="s">
        <v>122</v>
      </c>
      <c r="C15" s="248"/>
      <c r="D15" s="248"/>
      <c r="E15" s="248"/>
      <c r="F15" s="248"/>
      <c r="G15" s="248"/>
      <c r="H15" s="249"/>
      <c r="I15" s="127" t="s">
        <v>0</v>
      </c>
    </row>
    <row r="16" spans="1:10">
      <c r="A16" s="229" t="s">
        <v>123</v>
      </c>
      <c r="B16" s="222" t="s">
        <v>186</v>
      </c>
      <c r="C16" s="250"/>
      <c r="D16" s="250"/>
      <c r="E16" s="250"/>
      <c r="F16" s="250"/>
      <c r="G16" s="250"/>
      <c r="H16" s="251"/>
      <c r="I16" s="127" t="s">
        <v>0</v>
      </c>
    </row>
    <row r="17" spans="1:9">
      <c r="A17" s="229" t="s">
        <v>123</v>
      </c>
      <c r="B17" s="222" t="s">
        <v>127</v>
      </c>
      <c r="C17" s="250"/>
      <c r="D17" s="250"/>
      <c r="E17" s="250"/>
      <c r="F17" s="250"/>
      <c r="G17" s="250"/>
      <c r="H17" s="251"/>
      <c r="I17" s="127" t="s">
        <v>0</v>
      </c>
    </row>
    <row r="18" spans="1:9">
      <c r="A18" s="229" t="s">
        <v>129</v>
      </c>
      <c r="B18" s="222" t="s">
        <v>128</v>
      </c>
      <c r="C18" s="250"/>
      <c r="D18" s="250"/>
      <c r="E18" s="250"/>
      <c r="F18" s="250"/>
      <c r="G18" s="250"/>
      <c r="H18" s="251"/>
      <c r="I18" s="127" t="s">
        <v>0</v>
      </c>
    </row>
    <row r="19" spans="1:9">
      <c r="A19" s="229" t="s">
        <v>129</v>
      </c>
      <c r="B19" s="222" t="s">
        <v>187</v>
      </c>
      <c r="C19" s="250"/>
      <c r="D19" s="250"/>
      <c r="E19" s="250"/>
      <c r="F19" s="250"/>
      <c r="G19" s="250"/>
      <c r="H19" s="251"/>
      <c r="I19" s="127" t="s">
        <v>0</v>
      </c>
    </row>
    <row r="20" spans="1:9">
      <c r="A20" s="1072" t="s">
        <v>130</v>
      </c>
      <c r="B20" s="1073"/>
      <c r="C20" s="246"/>
      <c r="D20" s="246"/>
      <c r="E20" s="246"/>
      <c r="F20" s="246"/>
      <c r="G20" s="246"/>
      <c r="H20" s="247"/>
      <c r="I20" s="127" t="s">
        <v>0</v>
      </c>
    </row>
    <row r="21" spans="1:9">
      <c r="A21" s="229" t="s">
        <v>131</v>
      </c>
      <c r="B21" s="222" t="s">
        <v>132</v>
      </c>
      <c r="C21" s="250"/>
      <c r="D21" s="250"/>
      <c r="E21" s="250"/>
      <c r="F21" s="250"/>
      <c r="G21" s="250"/>
      <c r="H21" s="251"/>
      <c r="I21" s="127" t="s">
        <v>0</v>
      </c>
    </row>
    <row r="22" spans="1:9">
      <c r="A22" s="229" t="s">
        <v>188</v>
      </c>
      <c r="B22" s="222" t="s">
        <v>133</v>
      </c>
      <c r="C22" s="250"/>
      <c r="D22" s="250"/>
      <c r="E22" s="250"/>
      <c r="F22" s="250"/>
      <c r="G22" s="250"/>
      <c r="H22" s="251"/>
      <c r="I22" s="127" t="s">
        <v>0</v>
      </c>
    </row>
    <row r="23" spans="1:9">
      <c r="A23" s="229" t="s">
        <v>189</v>
      </c>
      <c r="B23" s="222" t="s">
        <v>190</v>
      </c>
      <c r="C23" s="250"/>
      <c r="D23" s="250"/>
      <c r="E23" s="250"/>
      <c r="F23" s="250"/>
      <c r="G23" s="250"/>
      <c r="H23" s="251"/>
      <c r="I23" s="127" t="s">
        <v>0</v>
      </c>
    </row>
    <row r="24" spans="1:9">
      <c r="A24" s="221">
        <v>23.2</v>
      </c>
      <c r="B24" s="222" t="s">
        <v>191</v>
      </c>
      <c r="C24" s="250"/>
      <c r="D24" s="250"/>
      <c r="E24" s="250"/>
      <c r="F24" s="250"/>
      <c r="G24" s="250"/>
      <c r="H24" s="251"/>
      <c r="I24" s="127" t="s">
        <v>0</v>
      </c>
    </row>
    <row r="25" spans="1:9">
      <c r="A25" s="229" t="s">
        <v>136</v>
      </c>
      <c r="B25" s="222" t="s">
        <v>137</v>
      </c>
      <c r="C25" s="250"/>
      <c r="D25" s="250"/>
      <c r="E25" s="250"/>
      <c r="F25" s="250"/>
      <c r="G25" s="250"/>
      <c r="H25" s="251"/>
      <c r="I25" s="127" t="s">
        <v>0</v>
      </c>
    </row>
    <row r="26" spans="1:9">
      <c r="A26" s="229" t="s">
        <v>136</v>
      </c>
      <c r="B26" s="222" t="s">
        <v>138</v>
      </c>
      <c r="C26" s="250"/>
      <c r="D26" s="250"/>
      <c r="E26" s="250"/>
      <c r="F26" s="250"/>
      <c r="G26" s="250"/>
      <c r="H26" s="251"/>
      <c r="I26" s="127" t="s">
        <v>0</v>
      </c>
    </row>
    <row r="27" spans="1:9">
      <c r="A27" s="229" t="s">
        <v>136</v>
      </c>
      <c r="B27" s="222" t="s">
        <v>139</v>
      </c>
      <c r="C27" s="250"/>
      <c r="D27" s="250"/>
      <c r="E27" s="250"/>
      <c r="F27" s="250"/>
      <c r="G27" s="250"/>
      <c r="H27" s="251"/>
      <c r="I27" s="127" t="s">
        <v>0</v>
      </c>
    </row>
    <row r="28" spans="1:9">
      <c r="A28" s="229" t="s">
        <v>136</v>
      </c>
      <c r="B28" s="222" t="s">
        <v>192</v>
      </c>
      <c r="C28" s="250"/>
      <c r="D28" s="250"/>
      <c r="E28" s="250"/>
      <c r="F28" s="250"/>
      <c r="G28" s="250"/>
      <c r="H28" s="251"/>
      <c r="I28" s="127" t="s">
        <v>0</v>
      </c>
    </row>
    <row r="29" spans="1:9">
      <c r="A29" s="229" t="s">
        <v>136</v>
      </c>
      <c r="B29" s="222" t="s">
        <v>193</v>
      </c>
      <c r="C29" s="250"/>
      <c r="D29" s="250"/>
      <c r="E29" s="250"/>
      <c r="F29" s="250"/>
      <c r="G29" s="250"/>
      <c r="H29" s="251"/>
      <c r="I29" s="127" t="s">
        <v>0</v>
      </c>
    </row>
    <row r="30" spans="1:9">
      <c r="A30" s="229" t="s">
        <v>194</v>
      </c>
      <c r="B30" s="222" t="s">
        <v>195</v>
      </c>
      <c r="C30" s="250"/>
      <c r="D30" s="250"/>
      <c r="E30" s="250"/>
      <c r="F30" s="250"/>
      <c r="G30" s="250"/>
      <c r="H30" s="251"/>
      <c r="I30" s="127" t="s">
        <v>0</v>
      </c>
    </row>
    <row r="31" spans="1:9">
      <c r="A31" s="221">
        <v>25.3</v>
      </c>
      <c r="B31" s="222" t="s">
        <v>140</v>
      </c>
      <c r="C31" s="250"/>
      <c r="D31" s="250"/>
      <c r="E31" s="250"/>
      <c r="F31" s="250"/>
      <c r="G31" s="250"/>
      <c r="H31" s="251"/>
      <c r="I31" s="127" t="s">
        <v>0</v>
      </c>
    </row>
    <row r="32" spans="1:9">
      <c r="A32" s="229" t="s">
        <v>149</v>
      </c>
      <c r="B32" s="222" t="s">
        <v>196</v>
      </c>
      <c r="C32" s="250"/>
      <c r="D32" s="250"/>
      <c r="E32" s="250"/>
      <c r="F32" s="250"/>
      <c r="G32" s="250"/>
      <c r="H32" s="251"/>
      <c r="I32" s="127" t="s">
        <v>0</v>
      </c>
    </row>
    <row r="33" spans="1:9">
      <c r="A33" s="221">
        <v>25.3</v>
      </c>
      <c r="B33" s="222" t="s">
        <v>141</v>
      </c>
      <c r="C33" s="250"/>
      <c r="D33" s="250"/>
      <c r="E33" s="250"/>
      <c r="F33" s="250"/>
      <c r="G33" s="250"/>
      <c r="H33" s="251"/>
      <c r="I33" s="127" t="s">
        <v>0</v>
      </c>
    </row>
    <row r="34" spans="1:9">
      <c r="A34" s="221">
        <v>25.3</v>
      </c>
      <c r="B34" s="222" t="s">
        <v>142</v>
      </c>
      <c r="C34" s="250"/>
      <c r="D34" s="250"/>
      <c r="E34" s="250"/>
      <c r="F34" s="250"/>
      <c r="G34" s="250"/>
      <c r="H34" s="251"/>
      <c r="I34" s="127" t="s">
        <v>0</v>
      </c>
    </row>
    <row r="35" spans="1:9">
      <c r="A35" s="221">
        <v>25.3</v>
      </c>
      <c r="B35" s="222" t="s">
        <v>143</v>
      </c>
      <c r="C35" s="250"/>
      <c r="D35" s="250"/>
      <c r="E35" s="250"/>
      <c r="F35" s="250"/>
      <c r="G35" s="250"/>
      <c r="H35" s="251"/>
      <c r="I35" s="127" t="s">
        <v>0</v>
      </c>
    </row>
    <row r="36" spans="1:9">
      <c r="A36" s="221">
        <v>25.3</v>
      </c>
      <c r="B36" s="222" t="s">
        <v>144</v>
      </c>
      <c r="C36" s="250"/>
      <c r="D36" s="250"/>
      <c r="E36" s="250"/>
      <c r="F36" s="250"/>
      <c r="G36" s="250"/>
      <c r="H36" s="251"/>
      <c r="I36" s="127" t="s">
        <v>0</v>
      </c>
    </row>
    <row r="37" spans="1:9">
      <c r="A37" s="229" t="s">
        <v>149</v>
      </c>
      <c r="B37" s="222" t="s">
        <v>150</v>
      </c>
      <c r="C37" s="250"/>
      <c r="D37" s="250"/>
      <c r="E37" s="250"/>
      <c r="F37" s="250"/>
      <c r="G37" s="250"/>
      <c r="H37" s="251"/>
      <c r="I37" s="127" t="s">
        <v>0</v>
      </c>
    </row>
    <row r="38" spans="1:9">
      <c r="A38" s="221">
        <v>25.3</v>
      </c>
      <c r="B38" s="222" t="s">
        <v>197</v>
      </c>
      <c r="C38" s="250"/>
      <c r="D38" s="250"/>
      <c r="E38" s="250"/>
      <c r="F38" s="250"/>
      <c r="G38" s="250"/>
      <c r="H38" s="251"/>
      <c r="I38" s="127" t="s">
        <v>0</v>
      </c>
    </row>
    <row r="39" spans="1:9">
      <c r="A39" s="221">
        <v>25.6</v>
      </c>
      <c r="B39" s="222" t="s">
        <v>151</v>
      </c>
      <c r="C39" s="250"/>
      <c r="D39" s="250"/>
      <c r="E39" s="250"/>
      <c r="F39" s="250"/>
      <c r="G39" s="250"/>
      <c r="H39" s="251"/>
      <c r="I39" s="127" t="s">
        <v>0</v>
      </c>
    </row>
    <row r="40" spans="1:9">
      <c r="A40" s="331" t="s">
        <v>152</v>
      </c>
      <c r="B40" s="330" t="s">
        <v>153</v>
      </c>
      <c r="C40" s="255"/>
      <c r="D40" s="255"/>
      <c r="E40" s="255"/>
      <c r="F40" s="255"/>
      <c r="G40" s="255"/>
      <c r="H40" s="256"/>
      <c r="I40" s="127" t="s">
        <v>0</v>
      </c>
    </row>
    <row r="41" spans="1:9">
      <c r="A41" s="1072" t="s">
        <v>159</v>
      </c>
      <c r="B41" s="1073"/>
      <c r="C41" s="246"/>
      <c r="D41" s="246"/>
      <c r="E41" s="246"/>
      <c r="F41" s="246"/>
      <c r="G41" s="246"/>
      <c r="H41" s="247"/>
      <c r="I41" s="127" t="s">
        <v>0</v>
      </c>
    </row>
    <row r="42" spans="1:9">
      <c r="A42" s="229" t="s">
        <v>160</v>
      </c>
      <c r="B42" s="222" t="s">
        <v>198</v>
      </c>
      <c r="C42" s="250"/>
      <c r="D42" s="250"/>
      <c r="E42" s="250"/>
      <c r="F42" s="250"/>
      <c r="G42" s="250"/>
      <c r="H42" s="251"/>
      <c r="I42" s="127" t="s">
        <v>0</v>
      </c>
    </row>
    <row r="43" spans="1:9">
      <c r="A43" s="225" t="s">
        <v>160</v>
      </c>
      <c r="B43" s="224" t="s">
        <v>165</v>
      </c>
      <c r="C43" s="250"/>
      <c r="D43" s="250"/>
      <c r="E43" s="250"/>
      <c r="F43" s="250"/>
      <c r="G43" s="250"/>
      <c r="H43" s="251"/>
      <c r="I43" s="127" t="s">
        <v>0</v>
      </c>
    </row>
    <row r="44" spans="1:9">
      <c r="A44" s="225" t="s">
        <v>160</v>
      </c>
      <c r="B44" s="224" t="s">
        <v>166</v>
      </c>
      <c r="C44" s="250"/>
      <c r="D44" s="250"/>
      <c r="E44" s="250"/>
      <c r="F44" s="250"/>
      <c r="G44" s="250"/>
      <c r="H44" s="251"/>
      <c r="I44" s="127" t="s">
        <v>0</v>
      </c>
    </row>
    <row r="45" spans="1:9">
      <c r="A45" s="225" t="s">
        <v>160</v>
      </c>
      <c r="B45" s="224" t="s">
        <v>167</v>
      </c>
      <c r="C45" s="250"/>
      <c r="D45" s="250"/>
      <c r="E45" s="250"/>
      <c r="F45" s="250"/>
      <c r="G45" s="250"/>
      <c r="H45" s="251"/>
      <c r="I45" s="127" t="s">
        <v>0</v>
      </c>
    </row>
    <row r="46" spans="1:9">
      <c r="A46" s="225" t="s">
        <v>160</v>
      </c>
      <c r="B46" s="224" t="s">
        <v>168</v>
      </c>
      <c r="C46" s="250"/>
      <c r="D46" s="250"/>
      <c r="E46" s="250"/>
      <c r="F46" s="250"/>
      <c r="G46" s="250"/>
      <c r="H46" s="251"/>
      <c r="I46" s="127" t="s">
        <v>0</v>
      </c>
    </row>
    <row r="47" spans="1:9">
      <c r="A47" s="225" t="s">
        <v>160</v>
      </c>
      <c r="B47" s="224" t="s">
        <v>169</v>
      </c>
      <c r="C47" s="250"/>
      <c r="D47" s="250"/>
      <c r="E47" s="250"/>
      <c r="F47" s="250"/>
      <c r="G47" s="250"/>
      <c r="H47" s="251"/>
      <c r="I47" s="127" t="s">
        <v>0</v>
      </c>
    </row>
    <row r="48" spans="1:9">
      <c r="A48" s="229" t="s">
        <v>160</v>
      </c>
      <c r="B48" s="222" t="s">
        <v>199</v>
      </c>
      <c r="C48" s="250"/>
      <c r="D48" s="250"/>
      <c r="E48" s="250"/>
      <c r="F48" s="250"/>
      <c r="G48" s="250"/>
      <c r="H48" s="251"/>
      <c r="I48" s="127" t="s">
        <v>0</v>
      </c>
    </row>
    <row r="49" spans="1:18">
      <c r="A49" s="229" t="s">
        <v>200</v>
      </c>
      <c r="B49" s="222" t="s">
        <v>201</v>
      </c>
      <c r="C49" s="250"/>
      <c r="D49" s="250"/>
      <c r="E49" s="252"/>
      <c r="F49" s="252"/>
      <c r="G49" s="250"/>
      <c r="H49" s="251"/>
      <c r="I49" s="127" t="s">
        <v>0</v>
      </c>
    </row>
    <row r="50" spans="1:18">
      <c r="A50" s="1072" t="s">
        <v>172</v>
      </c>
      <c r="B50" s="1073"/>
      <c r="C50" s="246"/>
      <c r="D50" s="246"/>
      <c r="E50" s="246"/>
      <c r="F50" s="246"/>
      <c r="G50" s="246"/>
      <c r="H50" s="247"/>
      <c r="I50" s="127" t="s">
        <v>0</v>
      </c>
    </row>
    <row r="51" spans="1:18">
      <c r="A51" s="230" t="s">
        <v>173</v>
      </c>
      <c r="B51" s="226" t="s">
        <v>202</v>
      </c>
      <c r="C51" s="252"/>
      <c r="D51" s="252"/>
      <c r="E51" s="252"/>
      <c r="F51" s="252"/>
      <c r="G51" s="252"/>
      <c r="H51" s="254"/>
      <c r="I51" s="127" t="s">
        <v>0</v>
      </c>
    </row>
    <row r="52" spans="1:18">
      <c r="A52" s="231" t="s">
        <v>173</v>
      </c>
      <c r="B52" s="232" t="s">
        <v>179</v>
      </c>
      <c r="C52" s="255"/>
      <c r="D52" s="255"/>
      <c r="E52" s="255"/>
      <c r="F52" s="255"/>
      <c r="G52" s="255"/>
      <c r="H52" s="256"/>
      <c r="I52" s="127" t="s">
        <v>0</v>
      </c>
    </row>
    <row r="53" spans="1:18">
      <c r="A53" s="227"/>
      <c r="B53" s="219" t="s">
        <v>180</v>
      </c>
      <c r="C53" s="246"/>
      <c r="D53" s="246"/>
      <c r="E53" s="246"/>
      <c r="F53" s="246"/>
      <c r="G53" s="246"/>
      <c r="H53" s="247"/>
      <c r="I53" s="131" t="s">
        <v>23</v>
      </c>
    </row>
    <row r="55" spans="1:18" s="137" customFormat="1" ht="15.75">
      <c r="A55" s="1062" t="s">
        <v>285</v>
      </c>
      <c r="B55" s="860"/>
      <c r="C55" s="860"/>
      <c r="D55" s="860"/>
      <c r="E55" s="860"/>
      <c r="F55" s="860"/>
      <c r="G55" s="860"/>
      <c r="H55" s="860"/>
      <c r="I55" s="132"/>
      <c r="J55" s="132"/>
      <c r="K55" s="132"/>
      <c r="L55" s="132"/>
      <c r="M55" s="132"/>
      <c r="N55" s="132"/>
      <c r="O55" s="132"/>
      <c r="P55" s="132"/>
      <c r="Q55" s="132"/>
      <c r="R55" s="132"/>
    </row>
    <row r="56" spans="1:18" s="137" customFormat="1" ht="15">
      <c r="A56" s="1063" t="s">
        <v>181</v>
      </c>
      <c r="B56" s="1071"/>
      <c r="C56" s="1071"/>
      <c r="D56" s="1071"/>
      <c r="E56" s="1071"/>
      <c r="F56" s="1071"/>
      <c r="G56" s="1071"/>
      <c r="H56" s="1071"/>
      <c r="I56" s="138"/>
      <c r="J56" s="138"/>
      <c r="K56" s="138"/>
      <c r="L56" s="138"/>
      <c r="M56" s="138"/>
      <c r="N56" s="138"/>
      <c r="O56" s="138"/>
      <c r="P56" s="138"/>
      <c r="Q56" s="138"/>
      <c r="R56" s="138"/>
    </row>
    <row r="57" spans="1:18" s="137" customFormat="1" ht="13.5">
      <c r="A57" s="139"/>
      <c r="B57" s="140"/>
      <c r="C57" s="140"/>
      <c r="D57" s="140"/>
      <c r="E57" s="140"/>
      <c r="F57" s="140"/>
      <c r="G57" s="140"/>
      <c r="H57" s="140"/>
      <c r="I57" s="140"/>
      <c r="J57" s="140"/>
      <c r="K57" s="140"/>
      <c r="L57" s="140"/>
      <c r="M57" s="140"/>
      <c r="N57" s="140"/>
      <c r="O57" s="140"/>
      <c r="P57" s="140"/>
      <c r="Q57" s="140"/>
      <c r="R57" s="140"/>
    </row>
    <row r="58" spans="1:18" s="137" customFormat="1" ht="30.75" customHeight="1">
      <c r="A58" s="1064" t="s">
        <v>182</v>
      </c>
      <c r="B58" s="1071"/>
      <c r="C58" s="1071"/>
      <c r="D58" s="1071"/>
      <c r="E58" s="1071"/>
      <c r="F58" s="1071"/>
      <c r="G58" s="1071"/>
      <c r="H58" s="1071"/>
      <c r="I58" s="138"/>
      <c r="J58" s="138"/>
      <c r="K58" s="138"/>
      <c r="L58" s="138"/>
      <c r="M58" s="138"/>
      <c r="N58" s="138"/>
      <c r="O58" s="138"/>
      <c r="P58" s="138"/>
      <c r="Q58" s="138"/>
      <c r="R58" s="138"/>
    </row>
    <row r="59" spans="1:18" s="137" customFormat="1">
      <c r="A59" s="141"/>
      <c r="B59" s="142"/>
      <c r="C59" s="142"/>
      <c r="D59" s="142"/>
      <c r="E59" s="142"/>
      <c r="F59" s="142"/>
      <c r="G59" s="142"/>
      <c r="H59" s="142"/>
      <c r="I59" s="142"/>
      <c r="J59" s="142"/>
      <c r="K59" s="142"/>
      <c r="L59" s="142"/>
      <c r="M59" s="142"/>
      <c r="N59" s="142"/>
      <c r="O59" s="142"/>
      <c r="P59" s="142"/>
      <c r="Q59" s="142"/>
      <c r="R59" s="142"/>
    </row>
    <row r="60" spans="1:18" s="137" customFormat="1" ht="26.25" customHeight="1">
      <c r="A60" s="1056" t="s">
        <v>183</v>
      </c>
      <c r="B60" s="1071"/>
      <c r="C60" s="1071"/>
      <c r="D60" s="1071"/>
      <c r="E60" s="1071"/>
      <c r="F60" s="1071"/>
      <c r="G60" s="1071"/>
      <c r="H60" s="1071"/>
      <c r="I60" s="143"/>
      <c r="J60" s="143"/>
      <c r="K60" s="143"/>
      <c r="L60" s="143"/>
      <c r="M60" s="143"/>
      <c r="N60" s="143"/>
      <c r="O60" s="143"/>
      <c r="P60" s="143"/>
      <c r="Q60" s="143"/>
      <c r="R60" s="143"/>
    </row>
  </sheetData>
  <customSheetViews>
    <customSheetView guid="{9A28834D-6BE2-4884-BE97-BE00946B08BB}" showPageBreaks="1" printArea="1" state="hidden" view="pageBreakPreview">
      <selection activeCell="B17" sqref="B17"/>
      <rowBreaks count="1" manualBreakCount="1">
        <brk id="40" max="7" man="1"/>
      </rowBreaks>
      <pageMargins left="0.75" right="0.75" top="0.3" bottom="1" header="0.1" footer="0.5"/>
      <printOptions horizontalCentered="1"/>
      <pageSetup scale="94" fitToHeight="2" orientation="landscape" cellComments="asDisplayed" r:id="rId1"/>
      <headerFooter alignWithMargins="0">
        <oddFooter>&amp;C&amp;11Exhibit N:  Modular Cost for New Positions</oddFooter>
      </headerFooter>
    </customSheetView>
  </customSheetViews>
  <mergeCells count="26">
    <mergeCell ref="A3:H3"/>
    <mergeCell ref="A1:H1"/>
    <mergeCell ref="A2:H2"/>
    <mergeCell ref="A4:H4"/>
    <mergeCell ref="F12:F13"/>
    <mergeCell ref="G12:G13"/>
    <mergeCell ref="H12:H13"/>
    <mergeCell ref="A5:H5"/>
    <mergeCell ref="A6:H6"/>
    <mergeCell ref="A7:H7"/>
    <mergeCell ref="A11:H11"/>
    <mergeCell ref="C8:H8"/>
    <mergeCell ref="C9:H9"/>
    <mergeCell ref="C10:H10"/>
    <mergeCell ref="A60:H60"/>
    <mergeCell ref="A12:B13"/>
    <mergeCell ref="A55:H55"/>
    <mergeCell ref="A20:B20"/>
    <mergeCell ref="A14:B14"/>
    <mergeCell ref="A58:H58"/>
    <mergeCell ref="A56:H56"/>
    <mergeCell ref="A41:B41"/>
    <mergeCell ref="A50:B50"/>
    <mergeCell ref="D12:D13"/>
    <mergeCell ref="C12:C13"/>
    <mergeCell ref="E12:E13"/>
  </mergeCells>
  <phoneticPr fontId="41" type="noConversion"/>
  <printOptions horizontalCentered="1"/>
  <pageMargins left="0.75" right="0.75" top="0.3" bottom="1" header="0.1" footer="0.5"/>
  <pageSetup scale="94" fitToHeight="2" orientation="landscape" cellComments="asDisplayed" r:id="rId2"/>
  <headerFooter alignWithMargins="0">
    <oddFooter>&amp;C&amp;11Exhibit N:  Modular Cost for New Positions</oddFooter>
  </headerFooter>
  <rowBreaks count="1" manualBreakCount="1">
    <brk id="40" max="7" man="1"/>
  </rowBreaks>
  <legacyDrawing r:id="rId3"/>
</worksheet>
</file>

<file path=xl/worksheets/sheet19.xml><?xml version="1.0" encoding="utf-8"?>
<worksheet xmlns="http://schemas.openxmlformats.org/spreadsheetml/2006/main" xmlns:r="http://schemas.openxmlformats.org/officeDocument/2006/relationships">
  <sheetPr codeName="Sheet7"/>
  <dimension ref="A1:R61"/>
  <sheetViews>
    <sheetView view="pageBreakPreview" zoomScale="95" zoomScaleNormal="100" zoomScaleSheetLayoutView="95" workbookViewId="0">
      <selection activeCell="B17" sqref="B17"/>
    </sheetView>
  </sheetViews>
  <sheetFormatPr defaultRowHeight="12.75"/>
  <cols>
    <col min="1" max="1" width="10.6640625" style="128" customWidth="1"/>
    <col min="2" max="2" width="38.5546875" style="128" customWidth="1"/>
    <col min="3" max="10" width="9.88671875" style="130" customWidth="1"/>
    <col min="11" max="16384" width="8.88671875" style="128"/>
  </cols>
  <sheetData>
    <row r="1" spans="1:11" ht="15.75">
      <c r="A1" s="1051" t="s">
        <v>112</v>
      </c>
      <c r="B1" s="1051"/>
      <c r="C1" s="1051"/>
      <c r="D1" s="1051"/>
      <c r="E1" s="1051"/>
      <c r="F1" s="1051"/>
      <c r="G1" s="1051"/>
      <c r="H1" s="1051"/>
      <c r="I1" s="1051"/>
      <c r="J1" s="1051"/>
      <c r="K1" s="127" t="s">
        <v>0</v>
      </c>
    </row>
    <row r="2" spans="1:11" ht="15.75">
      <c r="A2" s="1050"/>
      <c r="B2" s="1050"/>
      <c r="C2" s="1050"/>
      <c r="D2" s="1050"/>
      <c r="E2" s="1050"/>
      <c r="F2" s="1050"/>
      <c r="G2" s="1050"/>
      <c r="H2" s="1050"/>
      <c r="I2" s="1050"/>
      <c r="J2" s="1050"/>
    </row>
    <row r="3" spans="1:11" ht="15.75">
      <c r="A3" s="1052" t="s">
        <v>211</v>
      </c>
      <c r="B3" s="1052"/>
      <c r="C3" s="1052"/>
      <c r="D3" s="1052"/>
      <c r="E3" s="1052"/>
      <c r="F3" s="1052"/>
      <c r="G3" s="1052"/>
      <c r="H3" s="1052"/>
      <c r="I3" s="1052"/>
      <c r="J3" s="1052"/>
      <c r="K3" s="127" t="s">
        <v>0</v>
      </c>
    </row>
    <row r="4" spans="1:11" ht="15.75">
      <c r="A4" s="1052" t="s">
        <v>266</v>
      </c>
      <c r="B4" s="1052"/>
      <c r="C4" s="1052"/>
      <c r="D4" s="1052"/>
      <c r="E4" s="1052"/>
      <c r="F4" s="1052"/>
      <c r="G4" s="1052"/>
      <c r="H4" s="1052"/>
      <c r="I4" s="1052"/>
      <c r="J4" s="1052"/>
      <c r="K4" s="127" t="s">
        <v>0</v>
      </c>
    </row>
    <row r="5" spans="1:11" ht="15.75">
      <c r="A5" s="1050" t="s">
        <v>265</v>
      </c>
      <c r="B5" s="1050"/>
      <c r="C5" s="1050"/>
      <c r="D5" s="1050"/>
      <c r="E5" s="1050"/>
      <c r="F5" s="1050"/>
      <c r="G5" s="1050"/>
      <c r="H5" s="1050"/>
      <c r="I5" s="1050"/>
      <c r="J5" s="1050"/>
      <c r="K5" s="127" t="s">
        <v>0</v>
      </c>
    </row>
    <row r="6" spans="1:11" ht="15.75">
      <c r="A6" s="1050"/>
      <c r="B6" s="1050"/>
      <c r="C6" s="1050"/>
      <c r="D6" s="1050"/>
      <c r="E6" s="1050"/>
      <c r="F6" s="1050"/>
      <c r="G6" s="1050"/>
      <c r="H6" s="1050"/>
      <c r="I6" s="1050"/>
      <c r="J6" s="1050"/>
    </row>
    <row r="7" spans="1:11">
      <c r="A7" s="1053"/>
      <c r="B7" s="1053"/>
      <c r="C7" s="1053"/>
      <c r="D7" s="1053"/>
      <c r="E7" s="1053"/>
      <c r="F7" s="1053"/>
      <c r="G7" s="1053"/>
      <c r="H7" s="1053"/>
      <c r="I7" s="1053"/>
      <c r="J7" s="1053"/>
    </row>
    <row r="8" spans="1:11">
      <c r="A8" s="217" t="s">
        <v>113</v>
      </c>
      <c r="B8" s="216"/>
      <c r="C8" s="1055"/>
      <c r="D8" s="1055"/>
      <c r="E8" s="1055"/>
      <c r="F8" s="1055"/>
      <c r="G8" s="1055"/>
      <c r="H8" s="1055"/>
      <c r="I8" s="1055"/>
      <c r="J8" s="1055"/>
      <c r="K8" s="127" t="s">
        <v>0</v>
      </c>
    </row>
    <row r="9" spans="1:11">
      <c r="A9" s="217" t="s">
        <v>114</v>
      </c>
      <c r="B9" s="218" t="s">
        <v>184</v>
      </c>
      <c r="C9" s="1055"/>
      <c r="D9" s="1055"/>
      <c r="E9" s="1055"/>
      <c r="F9" s="1055"/>
      <c r="G9" s="1055"/>
      <c r="H9" s="1055"/>
      <c r="I9" s="1055"/>
      <c r="J9" s="1055"/>
      <c r="K9" s="127" t="s">
        <v>0</v>
      </c>
    </row>
    <row r="10" spans="1:11">
      <c r="A10" s="217" t="s">
        <v>115</v>
      </c>
      <c r="B10" s="218" t="s">
        <v>207</v>
      </c>
      <c r="C10" s="1055"/>
      <c r="D10" s="1055"/>
      <c r="E10" s="1055"/>
      <c r="F10" s="1055"/>
      <c r="G10" s="1055"/>
      <c r="H10" s="1055"/>
      <c r="I10" s="1055"/>
      <c r="J10" s="1055"/>
      <c r="K10" s="127" t="s">
        <v>0</v>
      </c>
    </row>
    <row r="11" spans="1:11">
      <c r="A11" s="1075"/>
      <c r="B11" s="1075"/>
      <c r="C11" s="1075"/>
      <c r="D11" s="1075"/>
      <c r="E11" s="1075"/>
      <c r="F11" s="1075"/>
      <c r="G11" s="1075"/>
      <c r="H11" s="1075"/>
      <c r="I11" s="1075"/>
      <c r="J11" s="1075"/>
    </row>
    <row r="12" spans="1:11" ht="12.75" customHeight="1">
      <c r="A12" s="1058" t="s">
        <v>117</v>
      </c>
      <c r="B12" s="1059"/>
      <c r="C12" s="1069" t="s">
        <v>319</v>
      </c>
      <c r="D12" s="1067" t="s">
        <v>316</v>
      </c>
      <c r="E12" s="1067" t="s">
        <v>118</v>
      </c>
      <c r="F12" s="1067" t="s">
        <v>119</v>
      </c>
      <c r="G12" s="1067" t="s">
        <v>317</v>
      </c>
      <c r="H12" s="1067" t="s">
        <v>318</v>
      </c>
      <c r="I12" s="1067" t="s">
        <v>118</v>
      </c>
      <c r="J12" s="1065" t="s">
        <v>320</v>
      </c>
      <c r="K12" s="127" t="s">
        <v>0</v>
      </c>
    </row>
    <row r="13" spans="1:11" ht="12.75" customHeight="1">
      <c r="A13" s="1060"/>
      <c r="B13" s="1061"/>
      <c r="C13" s="1070"/>
      <c r="D13" s="1068"/>
      <c r="E13" s="1068"/>
      <c r="F13" s="1068"/>
      <c r="G13" s="1068"/>
      <c r="H13" s="1068"/>
      <c r="I13" s="1068"/>
      <c r="J13" s="1066"/>
      <c r="K13" s="127" t="s">
        <v>0</v>
      </c>
    </row>
    <row r="14" spans="1:11">
      <c r="A14" s="227" t="s">
        <v>120</v>
      </c>
      <c r="B14" s="219"/>
      <c r="C14" s="246"/>
      <c r="D14" s="246"/>
      <c r="E14" s="246"/>
      <c r="F14" s="246"/>
      <c r="G14" s="246"/>
      <c r="H14" s="246"/>
      <c r="I14" s="246"/>
      <c r="J14" s="247"/>
      <c r="K14" s="127" t="s">
        <v>0</v>
      </c>
    </row>
    <row r="15" spans="1:11">
      <c r="A15" s="228" t="s">
        <v>121</v>
      </c>
      <c r="B15" s="220" t="s">
        <v>122</v>
      </c>
      <c r="C15" s="248"/>
      <c r="D15" s="248"/>
      <c r="E15" s="248"/>
      <c r="F15" s="248"/>
      <c r="G15" s="248"/>
      <c r="H15" s="248"/>
      <c r="I15" s="248"/>
      <c r="J15" s="249"/>
      <c r="K15" s="127" t="s">
        <v>0</v>
      </c>
    </row>
    <row r="16" spans="1:11">
      <c r="A16" s="229" t="s">
        <v>123</v>
      </c>
      <c r="B16" s="222" t="s">
        <v>186</v>
      </c>
      <c r="C16" s="250"/>
      <c r="D16" s="250"/>
      <c r="E16" s="250"/>
      <c r="F16" s="250"/>
      <c r="G16" s="250"/>
      <c r="H16" s="250"/>
      <c r="I16" s="250"/>
      <c r="J16" s="251"/>
      <c r="K16" s="127" t="s">
        <v>0</v>
      </c>
    </row>
    <row r="17" spans="1:11">
      <c r="A17" s="229" t="s">
        <v>123</v>
      </c>
      <c r="B17" s="222" t="s">
        <v>127</v>
      </c>
      <c r="C17" s="250"/>
      <c r="D17" s="250"/>
      <c r="E17" s="250"/>
      <c r="F17" s="250"/>
      <c r="G17" s="250"/>
      <c r="H17" s="250"/>
      <c r="I17" s="250"/>
      <c r="J17" s="251"/>
      <c r="K17" s="127" t="s">
        <v>0</v>
      </c>
    </row>
    <row r="18" spans="1:11">
      <c r="A18" s="229" t="s">
        <v>129</v>
      </c>
      <c r="B18" s="222" t="s">
        <v>128</v>
      </c>
      <c r="C18" s="250"/>
      <c r="D18" s="250"/>
      <c r="E18" s="250"/>
      <c r="F18" s="250"/>
      <c r="G18" s="250"/>
      <c r="H18" s="250"/>
      <c r="I18" s="250"/>
      <c r="J18" s="251"/>
      <c r="K18" s="127" t="s">
        <v>0</v>
      </c>
    </row>
    <row r="19" spans="1:11">
      <c r="A19" s="229" t="s">
        <v>129</v>
      </c>
      <c r="B19" s="222" t="s">
        <v>187</v>
      </c>
      <c r="C19" s="250"/>
      <c r="D19" s="250"/>
      <c r="E19" s="250"/>
      <c r="F19" s="250"/>
      <c r="G19" s="250"/>
      <c r="H19" s="250"/>
      <c r="I19" s="250"/>
      <c r="J19" s="251"/>
      <c r="K19" s="127" t="s">
        <v>0</v>
      </c>
    </row>
    <row r="20" spans="1:11">
      <c r="A20" s="227" t="s">
        <v>130</v>
      </c>
      <c r="B20" s="219"/>
      <c r="C20" s="246"/>
      <c r="D20" s="246"/>
      <c r="E20" s="246"/>
      <c r="F20" s="246"/>
      <c r="G20" s="246"/>
      <c r="H20" s="246"/>
      <c r="I20" s="246"/>
      <c r="J20" s="247"/>
      <c r="K20" s="127" t="s">
        <v>0</v>
      </c>
    </row>
    <row r="21" spans="1:11">
      <c r="A21" s="229" t="s">
        <v>131</v>
      </c>
      <c r="B21" s="222" t="s">
        <v>132</v>
      </c>
      <c r="C21" s="250"/>
      <c r="D21" s="250"/>
      <c r="E21" s="250"/>
      <c r="F21" s="250"/>
      <c r="G21" s="250"/>
      <c r="H21" s="250"/>
      <c r="I21" s="250"/>
      <c r="J21" s="251"/>
      <c r="K21" s="127" t="s">
        <v>0</v>
      </c>
    </row>
    <row r="22" spans="1:11">
      <c r="A22" s="229" t="s">
        <v>188</v>
      </c>
      <c r="B22" s="222" t="s">
        <v>133</v>
      </c>
      <c r="C22" s="250"/>
      <c r="D22" s="250"/>
      <c r="E22" s="250"/>
      <c r="F22" s="250"/>
      <c r="G22" s="250"/>
      <c r="H22" s="250"/>
      <c r="I22" s="250"/>
      <c r="J22" s="251"/>
      <c r="K22" s="127" t="s">
        <v>0</v>
      </c>
    </row>
    <row r="23" spans="1:11">
      <c r="A23" s="229" t="s">
        <v>189</v>
      </c>
      <c r="B23" s="222" t="s">
        <v>190</v>
      </c>
      <c r="C23" s="250"/>
      <c r="D23" s="250"/>
      <c r="E23" s="250"/>
      <c r="F23" s="250"/>
      <c r="G23" s="250"/>
      <c r="H23" s="250"/>
      <c r="I23" s="250"/>
      <c r="J23" s="251"/>
      <c r="K23" s="127" t="s">
        <v>0</v>
      </c>
    </row>
    <row r="24" spans="1:11">
      <c r="A24" s="221">
        <v>23.2</v>
      </c>
      <c r="B24" s="222" t="s">
        <v>191</v>
      </c>
      <c r="C24" s="250"/>
      <c r="D24" s="250"/>
      <c r="E24" s="250"/>
      <c r="F24" s="250"/>
      <c r="G24" s="250"/>
      <c r="H24" s="250"/>
      <c r="I24" s="250"/>
      <c r="J24" s="251"/>
      <c r="K24" s="127" t="s">
        <v>0</v>
      </c>
    </row>
    <row r="25" spans="1:11">
      <c r="A25" s="229" t="s">
        <v>136</v>
      </c>
      <c r="B25" s="222" t="s">
        <v>137</v>
      </c>
      <c r="C25" s="250"/>
      <c r="D25" s="250"/>
      <c r="E25" s="250"/>
      <c r="F25" s="250"/>
      <c r="G25" s="250"/>
      <c r="H25" s="250"/>
      <c r="I25" s="250"/>
      <c r="J25" s="251"/>
      <c r="K25" s="127" t="s">
        <v>0</v>
      </c>
    </row>
    <row r="26" spans="1:11">
      <c r="A26" s="229" t="s">
        <v>136</v>
      </c>
      <c r="B26" s="222" t="s">
        <v>138</v>
      </c>
      <c r="C26" s="250"/>
      <c r="D26" s="250"/>
      <c r="E26" s="250"/>
      <c r="F26" s="250"/>
      <c r="G26" s="250"/>
      <c r="H26" s="250"/>
      <c r="I26" s="250"/>
      <c r="J26" s="251"/>
      <c r="K26" s="127" t="s">
        <v>0</v>
      </c>
    </row>
    <row r="27" spans="1:11">
      <c r="A27" s="229" t="s">
        <v>136</v>
      </c>
      <c r="B27" s="222" t="s">
        <v>139</v>
      </c>
      <c r="C27" s="250"/>
      <c r="D27" s="250"/>
      <c r="E27" s="250"/>
      <c r="F27" s="250"/>
      <c r="G27" s="250"/>
      <c r="H27" s="250"/>
      <c r="I27" s="250"/>
      <c r="J27" s="251"/>
      <c r="K27" s="127" t="s">
        <v>0</v>
      </c>
    </row>
    <row r="28" spans="1:11">
      <c r="A28" s="229" t="s">
        <v>136</v>
      </c>
      <c r="B28" s="222" t="s">
        <v>192</v>
      </c>
      <c r="C28" s="250"/>
      <c r="D28" s="250"/>
      <c r="E28" s="250"/>
      <c r="F28" s="250"/>
      <c r="G28" s="250"/>
      <c r="H28" s="250"/>
      <c r="I28" s="253"/>
      <c r="J28" s="251"/>
      <c r="K28" s="127" t="s">
        <v>0</v>
      </c>
    </row>
    <row r="29" spans="1:11">
      <c r="A29" s="229" t="s">
        <v>136</v>
      </c>
      <c r="B29" s="222" t="s">
        <v>193</v>
      </c>
      <c r="C29" s="250"/>
      <c r="D29" s="250"/>
      <c r="E29" s="250"/>
      <c r="F29" s="250"/>
      <c r="G29" s="250"/>
      <c r="H29" s="250"/>
      <c r="I29" s="253"/>
      <c r="J29" s="251"/>
      <c r="K29" s="127" t="s">
        <v>0</v>
      </c>
    </row>
    <row r="30" spans="1:11">
      <c r="A30" s="229" t="s">
        <v>194</v>
      </c>
      <c r="B30" s="222" t="s">
        <v>195</v>
      </c>
      <c r="C30" s="250"/>
      <c r="D30" s="250"/>
      <c r="E30" s="250"/>
      <c r="F30" s="250"/>
      <c r="G30" s="250"/>
      <c r="H30" s="250"/>
      <c r="I30" s="250"/>
      <c r="J30" s="251"/>
      <c r="K30" s="127" t="s">
        <v>0</v>
      </c>
    </row>
    <row r="31" spans="1:11">
      <c r="A31" s="221">
        <v>25.3</v>
      </c>
      <c r="B31" s="222" t="s">
        <v>140</v>
      </c>
      <c r="C31" s="250"/>
      <c r="D31" s="250"/>
      <c r="E31" s="250"/>
      <c r="F31" s="250"/>
      <c r="G31" s="250"/>
      <c r="H31" s="250"/>
      <c r="I31" s="250"/>
      <c r="J31" s="251"/>
      <c r="K31" s="127" t="s">
        <v>0</v>
      </c>
    </row>
    <row r="32" spans="1:11">
      <c r="A32" s="221">
        <v>25.3</v>
      </c>
      <c r="B32" s="222" t="s">
        <v>141</v>
      </c>
      <c r="C32" s="250"/>
      <c r="D32" s="250"/>
      <c r="E32" s="250"/>
      <c r="F32" s="250"/>
      <c r="G32" s="250"/>
      <c r="H32" s="250"/>
      <c r="I32" s="250"/>
      <c r="J32" s="251"/>
      <c r="K32" s="127" t="s">
        <v>0</v>
      </c>
    </row>
    <row r="33" spans="1:11">
      <c r="A33" s="221">
        <v>25.3</v>
      </c>
      <c r="B33" s="222" t="s">
        <v>142</v>
      </c>
      <c r="C33" s="250"/>
      <c r="D33" s="250"/>
      <c r="E33" s="250"/>
      <c r="F33" s="250"/>
      <c r="G33" s="250"/>
      <c r="H33" s="250"/>
      <c r="I33" s="250"/>
      <c r="J33" s="251"/>
      <c r="K33" s="127" t="s">
        <v>0</v>
      </c>
    </row>
    <row r="34" spans="1:11">
      <c r="A34" s="221">
        <v>25.3</v>
      </c>
      <c r="B34" s="222" t="s">
        <v>143</v>
      </c>
      <c r="C34" s="250"/>
      <c r="D34" s="250"/>
      <c r="E34" s="250"/>
      <c r="F34" s="250"/>
      <c r="G34" s="250"/>
      <c r="H34" s="250"/>
      <c r="I34" s="250"/>
      <c r="J34" s="251"/>
      <c r="K34" s="127" t="s">
        <v>0</v>
      </c>
    </row>
    <row r="35" spans="1:11">
      <c r="A35" s="221">
        <v>25.3</v>
      </c>
      <c r="B35" s="222" t="s">
        <v>144</v>
      </c>
      <c r="C35" s="250"/>
      <c r="D35" s="250"/>
      <c r="E35" s="250"/>
      <c r="F35" s="250"/>
      <c r="G35" s="250"/>
      <c r="H35" s="250"/>
      <c r="I35" s="250"/>
      <c r="J35" s="251"/>
      <c r="K35" s="127" t="s">
        <v>0</v>
      </c>
    </row>
    <row r="36" spans="1:11">
      <c r="A36" s="229" t="s">
        <v>149</v>
      </c>
      <c r="B36" s="222" t="s">
        <v>150</v>
      </c>
      <c r="C36" s="250"/>
      <c r="D36" s="250"/>
      <c r="E36" s="250"/>
      <c r="F36" s="250"/>
      <c r="G36" s="250"/>
      <c r="H36" s="250"/>
      <c r="I36" s="250"/>
      <c r="J36" s="251"/>
      <c r="K36" s="127" t="s">
        <v>0</v>
      </c>
    </row>
    <row r="37" spans="1:11">
      <c r="A37" s="221">
        <v>25.3</v>
      </c>
      <c r="B37" s="222" t="s">
        <v>197</v>
      </c>
      <c r="C37" s="250"/>
      <c r="D37" s="250"/>
      <c r="E37" s="250"/>
      <c r="F37" s="250"/>
      <c r="G37" s="250"/>
      <c r="H37" s="250"/>
      <c r="I37" s="250"/>
      <c r="J37" s="251"/>
      <c r="K37" s="127" t="s">
        <v>0</v>
      </c>
    </row>
    <row r="38" spans="1:11">
      <c r="A38" s="229" t="s">
        <v>145</v>
      </c>
      <c r="B38" s="222" t="s">
        <v>151</v>
      </c>
      <c r="C38" s="250"/>
      <c r="D38" s="250"/>
      <c r="E38" s="250"/>
      <c r="F38" s="250"/>
      <c r="G38" s="250"/>
      <c r="H38" s="250"/>
      <c r="I38" s="250"/>
      <c r="J38" s="251"/>
      <c r="K38" s="127" t="s">
        <v>0</v>
      </c>
    </row>
    <row r="39" spans="1:11">
      <c r="A39" s="331" t="s">
        <v>152</v>
      </c>
      <c r="B39" s="330" t="s">
        <v>153</v>
      </c>
      <c r="C39" s="255"/>
      <c r="D39" s="255"/>
      <c r="E39" s="255"/>
      <c r="F39" s="255"/>
      <c r="G39" s="255"/>
      <c r="H39" s="255"/>
      <c r="I39" s="255"/>
      <c r="J39" s="256"/>
      <c r="K39" s="127" t="s">
        <v>0</v>
      </c>
    </row>
    <row r="40" spans="1:11">
      <c r="A40" s="227" t="s">
        <v>159</v>
      </c>
      <c r="B40" s="219"/>
      <c r="C40" s="246"/>
      <c r="D40" s="246"/>
      <c r="E40" s="246"/>
      <c r="F40" s="246"/>
      <c r="G40" s="246"/>
      <c r="H40" s="246"/>
      <c r="I40" s="246"/>
      <c r="J40" s="247"/>
      <c r="K40" s="127" t="s">
        <v>0</v>
      </c>
    </row>
    <row r="41" spans="1:11">
      <c r="A41" s="229" t="s">
        <v>160</v>
      </c>
      <c r="B41" s="222" t="s">
        <v>198</v>
      </c>
      <c r="C41" s="250"/>
      <c r="D41" s="250"/>
      <c r="E41" s="250"/>
      <c r="F41" s="250"/>
      <c r="G41" s="250"/>
      <c r="H41" s="250"/>
      <c r="I41" s="250"/>
      <c r="J41" s="251"/>
      <c r="K41" s="127" t="s">
        <v>0</v>
      </c>
    </row>
    <row r="42" spans="1:11">
      <c r="A42" s="225" t="s">
        <v>160</v>
      </c>
      <c r="B42" s="224" t="s">
        <v>165</v>
      </c>
      <c r="C42" s="250"/>
      <c r="D42" s="250"/>
      <c r="E42" s="250"/>
      <c r="F42" s="250"/>
      <c r="G42" s="250"/>
      <c r="H42" s="250"/>
      <c r="I42" s="250"/>
      <c r="J42" s="251"/>
      <c r="K42" s="127" t="s">
        <v>0</v>
      </c>
    </row>
    <row r="43" spans="1:11">
      <c r="A43" s="225" t="s">
        <v>160</v>
      </c>
      <c r="B43" s="224" t="s">
        <v>166</v>
      </c>
      <c r="C43" s="250"/>
      <c r="D43" s="250"/>
      <c r="E43" s="250"/>
      <c r="F43" s="250"/>
      <c r="G43" s="250"/>
      <c r="H43" s="250"/>
      <c r="I43" s="250"/>
      <c r="J43" s="251"/>
      <c r="K43" s="127" t="s">
        <v>0</v>
      </c>
    </row>
    <row r="44" spans="1:11">
      <c r="A44" s="225" t="s">
        <v>160</v>
      </c>
      <c r="B44" s="224" t="s">
        <v>167</v>
      </c>
      <c r="C44" s="250"/>
      <c r="D44" s="250"/>
      <c r="E44" s="250"/>
      <c r="F44" s="250"/>
      <c r="G44" s="250"/>
      <c r="H44" s="250"/>
      <c r="I44" s="250"/>
      <c r="J44" s="251"/>
      <c r="K44" s="127" t="s">
        <v>0</v>
      </c>
    </row>
    <row r="45" spans="1:11">
      <c r="A45" s="225" t="s">
        <v>160</v>
      </c>
      <c r="B45" s="224" t="s">
        <v>168</v>
      </c>
      <c r="C45" s="250"/>
      <c r="D45" s="250"/>
      <c r="E45" s="250"/>
      <c r="F45" s="250"/>
      <c r="G45" s="250"/>
      <c r="H45" s="250"/>
      <c r="I45" s="250"/>
      <c r="J45" s="251"/>
      <c r="K45" s="127" t="s">
        <v>0</v>
      </c>
    </row>
    <row r="46" spans="1:11">
      <c r="A46" s="225" t="s">
        <v>160</v>
      </c>
      <c r="B46" s="224" t="s">
        <v>169</v>
      </c>
      <c r="C46" s="250"/>
      <c r="D46" s="250"/>
      <c r="E46" s="250"/>
      <c r="F46" s="250"/>
      <c r="G46" s="250"/>
      <c r="H46" s="250"/>
      <c r="I46" s="250"/>
      <c r="J46" s="251"/>
      <c r="K46" s="127" t="s">
        <v>0</v>
      </c>
    </row>
    <row r="47" spans="1:11">
      <c r="A47" s="223">
        <v>31</v>
      </c>
      <c r="B47" s="222" t="s">
        <v>170</v>
      </c>
      <c r="C47" s="250"/>
      <c r="D47" s="250"/>
      <c r="E47" s="252"/>
      <c r="F47" s="252"/>
      <c r="G47" s="250"/>
      <c r="H47" s="250"/>
      <c r="I47" s="250"/>
      <c r="J47" s="251"/>
      <c r="K47" s="127" t="s">
        <v>0</v>
      </c>
    </row>
    <row r="48" spans="1:11">
      <c r="A48" s="229" t="s">
        <v>200</v>
      </c>
      <c r="B48" s="222" t="s">
        <v>201</v>
      </c>
      <c r="C48" s="250"/>
      <c r="D48" s="250"/>
      <c r="E48" s="252"/>
      <c r="F48" s="252"/>
      <c r="G48" s="250"/>
      <c r="H48" s="250"/>
      <c r="I48" s="250"/>
      <c r="J48" s="251"/>
      <c r="K48" s="127" t="s">
        <v>0</v>
      </c>
    </row>
    <row r="49" spans="1:18">
      <c r="A49" s="227" t="s">
        <v>172</v>
      </c>
      <c r="B49" s="219"/>
      <c r="C49" s="246"/>
      <c r="D49" s="246"/>
      <c r="E49" s="246"/>
      <c r="F49" s="246"/>
      <c r="G49" s="246"/>
      <c r="H49" s="246"/>
      <c r="I49" s="246"/>
      <c r="J49" s="247"/>
      <c r="K49" s="127" t="s">
        <v>0</v>
      </c>
    </row>
    <row r="50" spans="1:18">
      <c r="A50" s="230" t="s">
        <v>173</v>
      </c>
      <c r="B50" s="226" t="s">
        <v>208</v>
      </c>
      <c r="C50" s="252"/>
      <c r="D50" s="252"/>
      <c r="E50" s="252"/>
      <c r="F50" s="252"/>
      <c r="G50" s="252"/>
      <c r="H50" s="252"/>
      <c r="I50" s="252"/>
      <c r="J50" s="254"/>
      <c r="K50" s="127" t="s">
        <v>0</v>
      </c>
    </row>
    <row r="51" spans="1:18" s="150" customFormat="1">
      <c r="A51" s="231" t="s">
        <v>173</v>
      </c>
      <c r="B51" s="232" t="s">
        <v>179</v>
      </c>
      <c r="C51" s="255"/>
      <c r="D51" s="255"/>
      <c r="E51" s="255"/>
      <c r="F51" s="255"/>
      <c r="G51" s="255"/>
      <c r="H51" s="255"/>
      <c r="I51" s="255"/>
      <c r="J51" s="256"/>
      <c r="K51" s="127" t="s">
        <v>0</v>
      </c>
    </row>
    <row r="52" spans="1:18">
      <c r="A52" s="244"/>
      <c r="B52" s="245" t="s">
        <v>180</v>
      </c>
      <c r="C52" s="257"/>
      <c r="D52" s="257"/>
      <c r="E52" s="257"/>
      <c r="F52" s="257"/>
      <c r="G52" s="257"/>
      <c r="H52" s="257"/>
      <c r="I52" s="257"/>
      <c r="J52" s="258"/>
      <c r="K52" s="131" t="s">
        <v>23</v>
      </c>
    </row>
    <row r="53" spans="1:18">
      <c r="A53" s="216"/>
      <c r="B53" s="216"/>
      <c r="C53" s="259"/>
      <c r="D53" s="259"/>
      <c r="E53" s="259"/>
      <c r="F53" s="259"/>
      <c r="G53" s="259"/>
      <c r="H53" s="259"/>
      <c r="I53" s="259"/>
      <c r="J53" s="259"/>
    </row>
    <row r="55" spans="1:18" ht="18.75">
      <c r="A55" s="1062" t="s">
        <v>285</v>
      </c>
      <c r="B55" s="1077"/>
      <c r="C55" s="1077"/>
      <c r="D55" s="1077"/>
      <c r="E55" s="1077"/>
      <c r="F55" s="1077"/>
      <c r="G55" s="1077"/>
      <c r="H55" s="1077"/>
      <c r="I55" s="1077"/>
      <c r="J55" s="1077"/>
      <c r="K55" s="151"/>
      <c r="L55" s="151"/>
      <c r="M55" s="151"/>
      <c r="N55" s="151"/>
      <c r="O55" s="151"/>
      <c r="P55" s="151"/>
      <c r="Q55" s="151"/>
      <c r="R55" s="151"/>
    </row>
    <row r="56" spans="1:18" ht="9.75" customHeight="1">
      <c r="A56" s="1063" t="s">
        <v>181</v>
      </c>
      <c r="B56" s="1078"/>
      <c r="C56" s="1078"/>
      <c r="D56" s="1078"/>
      <c r="E56" s="1078"/>
      <c r="F56" s="1078"/>
      <c r="G56" s="1078"/>
      <c r="H56" s="1078"/>
      <c r="I56" s="1078"/>
      <c r="J56" s="1078"/>
      <c r="K56" s="138"/>
      <c r="L56" s="138"/>
      <c r="M56" s="138"/>
      <c r="N56" s="138"/>
      <c r="O56" s="138"/>
      <c r="P56" s="138"/>
      <c r="Q56" s="138"/>
      <c r="R56" s="138"/>
    </row>
    <row r="57" spans="1:18" ht="11.25" customHeight="1">
      <c r="A57" s="133"/>
      <c r="B57" s="132"/>
      <c r="C57" s="132"/>
      <c r="D57" s="132"/>
      <c r="E57" s="132"/>
      <c r="F57" s="132"/>
      <c r="G57" s="132"/>
      <c r="H57" s="132"/>
      <c r="I57" s="132"/>
      <c r="J57" s="132"/>
      <c r="K57" s="151"/>
      <c r="L57" s="151"/>
      <c r="M57" s="151"/>
      <c r="N57" s="151"/>
      <c r="O57" s="151"/>
      <c r="P57" s="151"/>
      <c r="Q57" s="151"/>
      <c r="R57" s="151"/>
    </row>
    <row r="58" spans="1:18" ht="14.25" customHeight="1">
      <c r="A58" s="1064" t="s">
        <v>182</v>
      </c>
      <c r="B58" s="906"/>
      <c r="C58" s="906"/>
      <c r="D58" s="906"/>
      <c r="E58" s="906"/>
      <c r="F58" s="906"/>
      <c r="G58" s="906"/>
      <c r="H58" s="906"/>
      <c r="I58" s="906"/>
      <c r="J58" s="906"/>
      <c r="K58" s="35"/>
      <c r="L58" s="35"/>
      <c r="M58" s="35"/>
      <c r="N58" s="35"/>
      <c r="O58" s="35"/>
      <c r="P58" s="35"/>
      <c r="Q58" s="35"/>
      <c r="R58" s="35"/>
    </row>
    <row r="59" spans="1:18" ht="16.5" customHeight="1">
      <c r="A59" s="135"/>
      <c r="B59" s="136"/>
      <c r="C59" s="136"/>
      <c r="D59" s="136"/>
      <c r="E59" s="136"/>
      <c r="F59" s="136"/>
      <c r="G59" s="136"/>
      <c r="H59" s="136"/>
      <c r="I59" s="136"/>
      <c r="J59" s="136"/>
      <c r="K59" s="152"/>
      <c r="L59" s="152"/>
      <c r="M59" s="152"/>
      <c r="N59" s="152"/>
      <c r="O59" s="152"/>
      <c r="P59" s="152"/>
      <c r="Q59" s="152"/>
      <c r="R59" s="152"/>
    </row>
    <row r="60" spans="1:18" ht="16.5" customHeight="1">
      <c r="A60" s="1056" t="s">
        <v>183</v>
      </c>
      <c r="B60" s="1076"/>
      <c r="C60" s="1076"/>
      <c r="D60" s="1076"/>
      <c r="E60" s="1076"/>
      <c r="F60" s="1076"/>
      <c r="G60" s="1076"/>
      <c r="H60" s="1076"/>
      <c r="I60" s="1076"/>
      <c r="J60" s="1076"/>
      <c r="K60" s="35"/>
      <c r="L60" s="35"/>
      <c r="M60" s="35"/>
      <c r="N60" s="35"/>
      <c r="O60" s="35"/>
      <c r="P60" s="35"/>
      <c r="Q60" s="35"/>
      <c r="R60" s="35"/>
    </row>
    <row r="61" spans="1:18" ht="26.25" customHeight="1"/>
  </sheetData>
  <customSheetViews>
    <customSheetView guid="{9A28834D-6BE2-4884-BE97-BE00946B08BB}" scale="95" showPageBreaks="1" printArea="1" state="hidden" view="pageBreakPreview">
      <selection activeCell="B17" sqref="B17"/>
      <rowBreaks count="1" manualBreakCount="1">
        <brk id="39" max="9" man="1"/>
      </rowBreaks>
      <pageMargins left="0.75" right="0.75" top="0.3" bottom="1" header="0.1" footer="0.5"/>
      <printOptions horizontalCentered="1"/>
      <pageSetup scale="79" fitToHeight="2" orientation="landscape" cellComments="asDisplayed" r:id="rId1"/>
      <headerFooter alignWithMargins="0">
        <oddFooter>&amp;C&amp;11Exhibit N:  Modular Cost for New Positions</oddFooter>
      </headerFooter>
    </customSheetView>
  </customSheetViews>
  <mergeCells count="24">
    <mergeCell ref="C9:J9"/>
    <mergeCell ref="C10:J10"/>
    <mergeCell ref="A11:J11"/>
    <mergeCell ref="D12:D13"/>
    <mergeCell ref="E12:E13"/>
    <mergeCell ref="F12:F13"/>
    <mergeCell ref="G12:G13"/>
    <mergeCell ref="C12:C13"/>
    <mergeCell ref="H12:H13"/>
    <mergeCell ref="I12:I13"/>
    <mergeCell ref="A5:J5"/>
    <mergeCell ref="A6:J6"/>
    <mergeCell ref="A7:J7"/>
    <mergeCell ref="C8:J8"/>
    <mergeCell ref="A1:J1"/>
    <mergeCell ref="A2:J2"/>
    <mergeCell ref="A3:J3"/>
    <mergeCell ref="A4:J4"/>
    <mergeCell ref="A60:J60"/>
    <mergeCell ref="A12:B13"/>
    <mergeCell ref="A55:J55"/>
    <mergeCell ref="A56:J56"/>
    <mergeCell ref="A58:J58"/>
    <mergeCell ref="J12:J13"/>
  </mergeCells>
  <phoneticPr fontId="41" type="noConversion"/>
  <printOptions horizontalCentered="1"/>
  <pageMargins left="0.75" right="0.75" top="0.3" bottom="1" header="0.1" footer="0.5"/>
  <pageSetup scale="79" fitToHeight="2" orientation="landscape" cellComments="asDisplayed" r:id="rId2"/>
  <headerFooter alignWithMargins="0">
    <oddFooter>&amp;C&amp;11Exhibit N:  Modular Cost for New Positions</oddFooter>
  </headerFooter>
  <rowBreaks count="1" manualBreakCount="1">
    <brk id="39" max="9" man="1"/>
  </rowBreaks>
  <legacyDrawing r:id="rId3"/>
</worksheet>
</file>

<file path=xl/worksheets/sheet2.xml><?xml version="1.0" encoding="utf-8"?>
<worksheet xmlns="http://schemas.openxmlformats.org/spreadsheetml/2006/main" xmlns:r="http://schemas.openxmlformats.org/officeDocument/2006/relationships">
  <sheetPr codeName="Sheet4">
    <pageSetUpPr fitToPage="1"/>
  </sheetPr>
  <dimension ref="A1:Y87"/>
  <sheetViews>
    <sheetView showGridLines="0" showOutlineSymbols="0" view="pageBreakPreview" zoomScale="85" zoomScaleNormal="75" zoomScaleSheetLayoutView="85" workbookViewId="0">
      <selection activeCell="W48" sqref="W48"/>
    </sheetView>
  </sheetViews>
  <sheetFormatPr defaultColWidth="9.6640625" defaultRowHeight="15.75"/>
  <cols>
    <col min="1" max="2" width="2.5546875" style="4" customWidth="1"/>
    <col min="3" max="3" width="25" style="4" customWidth="1"/>
    <col min="4" max="4" width="6.88671875" style="7" customWidth="1"/>
    <col min="5" max="5" width="8" style="7" bestFit="1" customWidth="1"/>
    <col min="6" max="6" width="10.21875" style="7" customWidth="1"/>
    <col min="7" max="7" width="8.44140625" style="7" bestFit="1" customWidth="1"/>
    <col min="8" max="8" width="6.21875" style="7" customWidth="1"/>
    <col min="9" max="9" width="9.77734375" style="7" customWidth="1"/>
    <col min="10" max="10" width="6.21875" style="7" bestFit="1" customWidth="1"/>
    <col min="11" max="11" width="5.6640625" style="7" customWidth="1"/>
    <col min="12" max="12" width="9.33203125" style="7" bestFit="1" customWidth="1"/>
    <col min="13" max="13" width="7" style="7" bestFit="1" customWidth="1"/>
    <col min="14" max="14" width="6.109375" style="7" customWidth="1"/>
    <col min="15" max="15" width="13.21875" style="7" bestFit="1" customWidth="1"/>
    <col min="16" max="17" width="5.6640625" style="7" customWidth="1"/>
    <col min="18" max="18" width="8.5546875" style="7" customWidth="1"/>
    <col min="19" max="19" width="6.109375" style="7" customWidth="1"/>
    <col min="20" max="20" width="5.6640625" style="7" customWidth="1"/>
    <col min="21" max="21" width="9.33203125" style="7" bestFit="1" customWidth="1"/>
    <col min="22" max="22" width="9.5546875" style="7" customWidth="1"/>
    <col min="23" max="23" width="9.77734375" style="7" bestFit="1" customWidth="1"/>
    <col min="24" max="24" width="13.21875" style="7" bestFit="1" customWidth="1"/>
    <col min="25" max="25" width="6.5546875" style="50" customWidth="1"/>
    <col min="26" max="26" width="6.5546875" style="4" customWidth="1"/>
    <col min="27" max="27" width="7.6640625" style="4" customWidth="1"/>
    <col min="28" max="16384" width="9.6640625" style="4"/>
  </cols>
  <sheetData>
    <row r="1" spans="1:25" ht="20.25">
      <c r="A1" s="807" t="s">
        <v>34</v>
      </c>
      <c r="B1" s="808"/>
      <c r="C1" s="808"/>
      <c r="D1" s="808"/>
      <c r="E1" s="808"/>
      <c r="F1" s="808"/>
      <c r="G1" s="808"/>
      <c r="H1" s="808"/>
      <c r="I1" s="808"/>
      <c r="J1" s="808"/>
      <c r="K1" s="808"/>
      <c r="L1" s="808"/>
      <c r="M1" s="808"/>
      <c r="N1" s="808"/>
      <c r="O1" s="808"/>
      <c r="P1" s="808"/>
      <c r="Q1" s="808"/>
      <c r="R1" s="808"/>
      <c r="S1" s="808"/>
      <c r="T1" s="808"/>
      <c r="U1" s="808"/>
      <c r="V1" s="808"/>
      <c r="W1" s="808"/>
      <c r="X1" s="808"/>
      <c r="Y1" s="49" t="s">
        <v>0</v>
      </c>
    </row>
    <row r="2" spans="1:25">
      <c r="A2" s="809"/>
      <c r="B2" s="809"/>
      <c r="C2" s="809"/>
      <c r="D2" s="809"/>
      <c r="E2" s="809"/>
      <c r="F2" s="809"/>
      <c r="G2" s="809"/>
      <c r="H2" s="809"/>
      <c r="I2" s="809"/>
      <c r="J2" s="809"/>
      <c r="K2" s="809"/>
      <c r="L2" s="809"/>
      <c r="M2" s="809"/>
      <c r="N2" s="809"/>
      <c r="O2" s="809"/>
      <c r="P2" s="809"/>
      <c r="Q2" s="809"/>
      <c r="R2" s="809"/>
      <c r="S2" s="809"/>
      <c r="T2" s="809"/>
      <c r="U2" s="809"/>
      <c r="V2" s="809"/>
      <c r="W2" s="809"/>
      <c r="X2" s="809"/>
      <c r="Y2" s="49" t="s">
        <v>0</v>
      </c>
    </row>
    <row r="3" spans="1:25">
      <c r="A3" s="786"/>
      <c r="B3" s="786"/>
      <c r="C3" s="786"/>
      <c r="D3" s="786"/>
      <c r="E3" s="786"/>
      <c r="F3" s="786"/>
      <c r="G3" s="786"/>
      <c r="H3" s="786"/>
      <c r="I3" s="786"/>
      <c r="J3" s="786"/>
      <c r="K3" s="786"/>
      <c r="L3" s="786"/>
      <c r="M3" s="786"/>
      <c r="N3" s="786"/>
      <c r="O3" s="786"/>
      <c r="P3" s="786"/>
      <c r="Q3" s="786"/>
      <c r="R3" s="786"/>
      <c r="S3" s="786"/>
      <c r="T3" s="786"/>
      <c r="U3" s="786"/>
      <c r="V3" s="786"/>
      <c r="W3" s="786"/>
      <c r="X3" s="786"/>
      <c r="Y3" s="49" t="s">
        <v>0</v>
      </c>
    </row>
    <row r="4" spans="1:25" ht="22.5">
      <c r="A4" s="744" t="s">
        <v>276</v>
      </c>
      <c r="B4" s="742"/>
      <c r="C4" s="742"/>
      <c r="D4" s="742"/>
      <c r="E4" s="742"/>
      <c r="F4" s="742"/>
      <c r="G4" s="742"/>
      <c r="H4" s="742"/>
      <c r="I4" s="742"/>
      <c r="J4" s="742"/>
      <c r="K4" s="742"/>
      <c r="L4" s="742"/>
      <c r="M4" s="742"/>
      <c r="N4" s="742"/>
      <c r="O4" s="742"/>
      <c r="P4" s="742"/>
      <c r="Q4" s="742"/>
      <c r="R4" s="742"/>
      <c r="S4" s="742"/>
      <c r="T4" s="742"/>
      <c r="U4" s="742"/>
      <c r="V4" s="742"/>
      <c r="W4" s="742"/>
      <c r="X4" s="742"/>
      <c r="Y4" s="49" t="s">
        <v>0</v>
      </c>
    </row>
    <row r="5" spans="1:25" ht="23.25">
      <c r="A5" s="741" t="s">
        <v>337</v>
      </c>
      <c r="B5" s="743"/>
      <c r="C5" s="743"/>
      <c r="D5" s="743"/>
      <c r="E5" s="743"/>
      <c r="F5" s="743"/>
      <c r="G5" s="743"/>
      <c r="H5" s="743"/>
      <c r="I5" s="743"/>
      <c r="J5" s="743"/>
      <c r="K5" s="743"/>
      <c r="L5" s="743"/>
      <c r="M5" s="743"/>
      <c r="N5" s="743"/>
      <c r="O5" s="743"/>
      <c r="P5" s="743"/>
      <c r="Q5" s="743"/>
      <c r="R5" s="743"/>
      <c r="S5" s="743"/>
      <c r="T5" s="743"/>
      <c r="U5" s="743"/>
      <c r="V5" s="743"/>
      <c r="W5" s="743"/>
      <c r="X5" s="743"/>
      <c r="Y5" s="49" t="s">
        <v>0</v>
      </c>
    </row>
    <row r="6" spans="1:25" ht="23.25">
      <c r="A6" s="741" t="s">
        <v>266</v>
      </c>
      <c r="B6" s="742"/>
      <c r="C6" s="742"/>
      <c r="D6" s="742"/>
      <c r="E6" s="742"/>
      <c r="F6" s="742"/>
      <c r="G6" s="742"/>
      <c r="H6" s="742"/>
      <c r="I6" s="742"/>
      <c r="J6" s="742"/>
      <c r="K6" s="742"/>
      <c r="L6" s="742"/>
      <c r="M6" s="742"/>
      <c r="N6" s="742"/>
      <c r="O6" s="742"/>
      <c r="P6" s="742"/>
      <c r="Q6" s="742"/>
      <c r="R6" s="742"/>
      <c r="S6" s="742"/>
      <c r="T6" s="742"/>
      <c r="U6" s="742"/>
      <c r="V6" s="742"/>
      <c r="W6" s="742"/>
      <c r="X6" s="742"/>
      <c r="Y6" s="49" t="s">
        <v>0</v>
      </c>
    </row>
    <row r="7" spans="1:25" ht="23.25">
      <c r="A7" s="741" t="s">
        <v>265</v>
      </c>
      <c r="B7" s="743"/>
      <c r="C7" s="743"/>
      <c r="D7" s="743"/>
      <c r="E7" s="743"/>
      <c r="F7" s="743"/>
      <c r="G7" s="743"/>
      <c r="H7" s="743"/>
      <c r="I7" s="743"/>
      <c r="J7" s="743"/>
      <c r="K7" s="743"/>
      <c r="L7" s="743"/>
      <c r="M7" s="743"/>
      <c r="N7" s="743"/>
      <c r="O7" s="743"/>
      <c r="P7" s="743"/>
      <c r="Q7" s="743"/>
      <c r="R7" s="743"/>
      <c r="S7" s="743"/>
      <c r="T7" s="743"/>
      <c r="U7" s="743"/>
      <c r="V7" s="743"/>
      <c r="W7" s="743"/>
      <c r="X7" s="743"/>
      <c r="Y7" s="49" t="s">
        <v>0</v>
      </c>
    </row>
    <row r="8" spans="1:25" ht="23.25">
      <c r="A8" s="806"/>
      <c r="B8" s="806"/>
      <c r="C8" s="806"/>
      <c r="D8" s="806"/>
      <c r="E8" s="806"/>
      <c r="F8" s="806"/>
      <c r="G8" s="806"/>
      <c r="H8" s="806"/>
      <c r="I8" s="806"/>
      <c r="J8" s="806"/>
      <c r="K8" s="806"/>
      <c r="L8" s="806"/>
      <c r="M8" s="806"/>
      <c r="N8" s="806"/>
      <c r="O8" s="806"/>
      <c r="P8" s="806"/>
      <c r="Q8" s="806"/>
      <c r="R8" s="806"/>
      <c r="S8" s="806"/>
      <c r="T8" s="806"/>
      <c r="U8" s="806"/>
      <c r="V8" s="806"/>
      <c r="W8" s="806"/>
      <c r="X8" s="806"/>
      <c r="Y8" s="49" t="s">
        <v>0</v>
      </c>
    </row>
    <row r="9" spans="1:25" ht="23.25">
      <c r="A9" s="806"/>
      <c r="B9" s="806"/>
      <c r="C9" s="806"/>
      <c r="D9" s="806"/>
      <c r="E9" s="806"/>
      <c r="F9" s="806"/>
      <c r="G9" s="806"/>
      <c r="H9" s="806"/>
      <c r="I9" s="806"/>
      <c r="J9" s="806"/>
      <c r="K9" s="806"/>
      <c r="L9" s="806"/>
      <c r="M9" s="806"/>
      <c r="N9" s="806"/>
      <c r="O9" s="806"/>
      <c r="P9" s="806"/>
      <c r="Q9" s="806"/>
      <c r="R9" s="806"/>
      <c r="S9" s="806"/>
      <c r="T9" s="806"/>
      <c r="U9" s="806"/>
      <c r="V9" s="806"/>
      <c r="W9" s="806"/>
      <c r="X9" s="806"/>
      <c r="Y9" s="49" t="s">
        <v>0</v>
      </c>
    </row>
    <row r="10" spans="1:25" ht="23.25">
      <c r="A10" s="806"/>
      <c r="B10" s="806"/>
      <c r="C10" s="806"/>
      <c r="D10" s="806"/>
      <c r="E10" s="806"/>
      <c r="F10" s="806"/>
      <c r="G10" s="806"/>
      <c r="H10" s="806"/>
      <c r="I10" s="806"/>
      <c r="J10" s="806"/>
      <c r="K10" s="806"/>
      <c r="L10" s="806"/>
      <c r="M10" s="806"/>
      <c r="N10" s="806"/>
      <c r="O10" s="806"/>
      <c r="P10" s="806"/>
      <c r="Q10" s="806"/>
      <c r="R10" s="806"/>
      <c r="S10" s="806"/>
      <c r="T10" s="806"/>
      <c r="U10" s="806"/>
      <c r="V10" s="806"/>
      <c r="W10" s="806"/>
      <c r="X10" s="806"/>
      <c r="Y10" s="49" t="s">
        <v>0</v>
      </c>
    </row>
    <row r="11" spans="1:25">
      <c r="A11" s="786"/>
      <c r="B11" s="786"/>
      <c r="C11" s="786"/>
      <c r="D11" s="786"/>
      <c r="E11" s="786"/>
      <c r="F11" s="786"/>
      <c r="G11" s="786"/>
      <c r="H11" s="786"/>
      <c r="I11" s="786"/>
      <c r="J11" s="786"/>
      <c r="K11" s="786"/>
      <c r="L11" s="786"/>
      <c r="M11" s="786"/>
      <c r="N11" s="786"/>
      <c r="O11" s="786"/>
      <c r="P11" s="786"/>
      <c r="Q11" s="786"/>
      <c r="R11" s="786"/>
      <c r="S11" s="786"/>
      <c r="T11" s="786"/>
      <c r="U11" s="786"/>
      <c r="V11" s="803" t="s">
        <v>42</v>
      </c>
      <c r="W11" s="804"/>
      <c r="X11" s="805"/>
      <c r="Y11" s="49" t="s">
        <v>0</v>
      </c>
    </row>
    <row r="12" spans="1:25">
      <c r="A12" s="786"/>
      <c r="B12" s="786"/>
      <c r="C12" s="786"/>
      <c r="D12" s="786"/>
      <c r="E12" s="786"/>
      <c r="F12" s="786"/>
      <c r="G12" s="786"/>
      <c r="H12" s="786"/>
      <c r="I12" s="786"/>
      <c r="J12" s="786"/>
      <c r="K12" s="786"/>
      <c r="L12" s="786"/>
      <c r="M12" s="786"/>
      <c r="N12" s="786"/>
      <c r="O12" s="786"/>
      <c r="P12" s="786"/>
      <c r="Q12" s="786"/>
      <c r="R12" s="786"/>
      <c r="S12" s="786"/>
      <c r="T12" s="786"/>
      <c r="U12" s="786"/>
      <c r="V12" s="796" t="s">
        <v>20</v>
      </c>
      <c r="W12" s="798" t="s">
        <v>51</v>
      </c>
      <c r="X12" s="788" t="s">
        <v>289</v>
      </c>
      <c r="Y12" s="49" t="s">
        <v>0</v>
      </c>
    </row>
    <row r="13" spans="1:25" ht="16.5" thickBot="1">
      <c r="A13" s="787"/>
      <c r="B13" s="787"/>
      <c r="C13" s="787"/>
      <c r="D13" s="787"/>
      <c r="E13" s="787"/>
      <c r="F13" s="787"/>
      <c r="G13" s="787"/>
      <c r="H13" s="787"/>
      <c r="I13" s="787"/>
      <c r="J13" s="787"/>
      <c r="K13" s="787"/>
      <c r="L13" s="787"/>
      <c r="M13" s="787"/>
      <c r="N13" s="787"/>
      <c r="O13" s="787"/>
      <c r="P13" s="787"/>
      <c r="Q13" s="787"/>
      <c r="R13" s="787"/>
      <c r="S13" s="787"/>
      <c r="T13" s="787"/>
      <c r="U13" s="787"/>
      <c r="V13" s="797"/>
      <c r="W13" s="789"/>
      <c r="X13" s="789"/>
      <c r="Y13" s="49" t="s">
        <v>0</v>
      </c>
    </row>
    <row r="14" spans="1:25">
      <c r="A14" s="395" t="s">
        <v>109</v>
      </c>
      <c r="B14" s="396"/>
      <c r="C14" s="396"/>
      <c r="D14" s="396"/>
      <c r="E14" s="396"/>
      <c r="F14" s="396"/>
      <c r="G14" s="396"/>
      <c r="H14" s="396"/>
      <c r="I14" s="396"/>
      <c r="J14" s="396"/>
      <c r="K14" s="396"/>
      <c r="L14" s="396"/>
      <c r="M14" s="396"/>
      <c r="N14" s="396"/>
      <c r="O14" s="396"/>
      <c r="P14" s="396"/>
      <c r="Q14" s="396"/>
      <c r="R14" s="396"/>
      <c r="S14" s="396"/>
      <c r="T14" s="396"/>
      <c r="U14" s="396"/>
      <c r="V14" s="354">
        <v>5544</v>
      </c>
      <c r="W14" s="354">
        <v>5109</v>
      </c>
      <c r="X14" s="92">
        <v>1125763</v>
      </c>
      <c r="Y14" s="49" t="s">
        <v>0</v>
      </c>
    </row>
    <row r="15" spans="1:25" ht="20.25" customHeight="1">
      <c r="A15" s="356" t="s">
        <v>240</v>
      </c>
      <c r="B15" s="357"/>
      <c r="C15" s="357"/>
      <c r="D15" s="357"/>
      <c r="E15" s="357"/>
      <c r="F15" s="357"/>
      <c r="G15" s="357"/>
      <c r="H15" s="357"/>
      <c r="I15" s="357"/>
      <c r="J15" s="357"/>
      <c r="K15" s="357"/>
      <c r="L15" s="357"/>
      <c r="M15" s="357"/>
      <c r="N15" s="357"/>
      <c r="O15" s="357"/>
      <c r="P15" s="357"/>
      <c r="Q15" s="357"/>
      <c r="R15" s="357"/>
      <c r="S15" s="357"/>
      <c r="T15" s="357"/>
      <c r="U15" s="357"/>
      <c r="V15" s="386">
        <v>122</v>
      </c>
      <c r="W15" s="386">
        <v>122</v>
      </c>
      <c r="X15" s="358">
        <v>29651</v>
      </c>
      <c r="Y15" s="49" t="s">
        <v>0</v>
      </c>
    </row>
    <row r="16" spans="1:25">
      <c r="A16" s="801" t="s">
        <v>110</v>
      </c>
      <c r="B16" s="802"/>
      <c r="C16" s="802"/>
      <c r="D16" s="802"/>
      <c r="E16" s="802"/>
      <c r="F16" s="802"/>
      <c r="G16" s="802"/>
      <c r="H16" s="802"/>
      <c r="I16" s="802"/>
      <c r="J16" s="802"/>
      <c r="K16" s="802"/>
      <c r="L16" s="802"/>
      <c r="M16" s="802"/>
      <c r="N16" s="802"/>
      <c r="O16" s="802"/>
      <c r="P16" s="802"/>
      <c r="Q16" s="802"/>
      <c r="R16" s="802"/>
      <c r="S16" s="802"/>
      <c r="T16" s="802"/>
      <c r="U16" s="802"/>
      <c r="V16" s="53">
        <f>+V15+V14</f>
        <v>5666</v>
      </c>
      <c r="W16" s="53">
        <f ca="1">+W15+W14</f>
        <v>5231</v>
      </c>
      <c r="X16" s="53">
        <f ca="1">+X15+X14</f>
        <v>1155414</v>
      </c>
      <c r="Y16" s="49" t="s">
        <v>0</v>
      </c>
    </row>
    <row r="17" spans="1:25">
      <c r="A17" s="799" t="s">
        <v>328</v>
      </c>
      <c r="B17" s="800"/>
      <c r="C17" s="800"/>
      <c r="D17" s="800"/>
      <c r="E17" s="800"/>
      <c r="F17" s="800"/>
      <c r="G17" s="800"/>
      <c r="H17" s="800"/>
      <c r="I17" s="800"/>
      <c r="J17" s="800"/>
      <c r="K17" s="800"/>
      <c r="L17" s="800"/>
      <c r="M17" s="800"/>
      <c r="N17" s="800"/>
      <c r="O17" s="800"/>
      <c r="P17" s="800"/>
      <c r="Q17" s="800"/>
      <c r="R17" s="800"/>
      <c r="S17" s="800"/>
      <c r="T17" s="800"/>
      <c r="U17" s="800"/>
      <c r="V17" s="54">
        <v>5544</v>
      </c>
      <c r="W17" s="54">
        <v>5109</v>
      </c>
      <c r="X17" s="54">
        <v>1125763</v>
      </c>
      <c r="Y17" s="49" t="s">
        <v>0</v>
      </c>
    </row>
    <row r="18" spans="1:25" ht="18.75" customHeight="1">
      <c r="A18" s="794" t="s">
        <v>43</v>
      </c>
      <c r="B18" s="795"/>
      <c r="C18" s="795"/>
      <c r="D18" s="795"/>
      <c r="E18" s="795"/>
      <c r="F18" s="795"/>
      <c r="G18" s="795"/>
      <c r="H18" s="795"/>
      <c r="I18" s="795"/>
      <c r="J18" s="795"/>
      <c r="K18" s="795"/>
      <c r="L18" s="795"/>
      <c r="M18" s="795"/>
      <c r="N18" s="795"/>
      <c r="O18" s="795"/>
      <c r="P18" s="795"/>
      <c r="Q18" s="795"/>
      <c r="R18" s="795"/>
      <c r="S18" s="795"/>
      <c r="T18" s="795"/>
      <c r="U18" s="795"/>
      <c r="V18" s="54">
        <v>0</v>
      </c>
      <c r="W18" s="54">
        <v>0</v>
      </c>
      <c r="X18" s="355">
        <v>0</v>
      </c>
      <c r="Y18" s="49" t="s">
        <v>0</v>
      </c>
    </row>
    <row r="19" spans="1:25">
      <c r="A19" s="790" t="s">
        <v>329</v>
      </c>
      <c r="B19" s="791"/>
      <c r="C19" s="791"/>
      <c r="D19" s="791"/>
      <c r="E19" s="791"/>
      <c r="F19" s="791"/>
      <c r="G19" s="791"/>
      <c r="H19" s="791"/>
      <c r="I19" s="791"/>
      <c r="J19" s="791"/>
      <c r="K19" s="791"/>
      <c r="L19" s="791"/>
      <c r="M19" s="791"/>
      <c r="N19" s="791"/>
      <c r="O19" s="791"/>
      <c r="P19" s="791"/>
      <c r="Q19" s="791"/>
      <c r="R19" s="791"/>
      <c r="S19" s="791"/>
      <c r="T19" s="791"/>
      <c r="U19" s="791"/>
      <c r="V19" s="55">
        <f>+V18+V17</f>
        <v>5544</v>
      </c>
      <c r="W19" s="55">
        <f>+W18+W17</f>
        <v>5109</v>
      </c>
      <c r="X19" s="55">
        <f>+X18+X17</f>
        <v>1125763</v>
      </c>
      <c r="Y19" s="49" t="s">
        <v>0</v>
      </c>
    </row>
    <row r="20" spans="1:25">
      <c r="A20" s="764" t="s">
        <v>11</v>
      </c>
      <c r="B20" s="765"/>
      <c r="C20" s="765"/>
      <c r="D20" s="765"/>
      <c r="E20" s="765"/>
      <c r="F20" s="765"/>
      <c r="G20" s="765"/>
      <c r="H20" s="765"/>
      <c r="I20" s="765"/>
      <c r="J20" s="765"/>
      <c r="K20" s="765"/>
      <c r="L20" s="765"/>
      <c r="M20" s="765"/>
      <c r="N20" s="765"/>
      <c r="O20" s="765"/>
      <c r="P20" s="765"/>
      <c r="Q20" s="765"/>
      <c r="R20" s="765"/>
      <c r="S20" s="765"/>
      <c r="T20" s="765"/>
      <c r="U20" s="765"/>
      <c r="V20" s="51"/>
      <c r="W20" s="51"/>
      <c r="X20" s="52"/>
      <c r="Y20" s="49" t="s">
        <v>0</v>
      </c>
    </row>
    <row r="21" spans="1:25">
      <c r="A21" s="763" t="s">
        <v>40</v>
      </c>
      <c r="B21" s="762"/>
      <c r="C21" s="762"/>
      <c r="D21" s="762"/>
      <c r="E21" s="762"/>
      <c r="F21" s="762"/>
      <c r="G21" s="762"/>
      <c r="H21" s="762"/>
      <c r="I21" s="762"/>
      <c r="J21" s="762"/>
      <c r="K21" s="762"/>
      <c r="L21" s="762"/>
      <c r="M21" s="762"/>
      <c r="N21" s="762"/>
      <c r="O21" s="762"/>
      <c r="P21" s="762"/>
      <c r="Q21" s="762"/>
      <c r="R21" s="762"/>
      <c r="S21" s="762"/>
      <c r="T21" s="762"/>
      <c r="U21" s="762"/>
      <c r="V21" s="51"/>
      <c r="W21" s="51"/>
      <c r="X21" s="52"/>
      <c r="Y21" s="49" t="s">
        <v>0</v>
      </c>
    </row>
    <row r="22" spans="1:25">
      <c r="A22" s="784" t="s">
        <v>437</v>
      </c>
      <c r="B22" s="733"/>
      <c r="C22" s="733"/>
      <c r="D22" s="733"/>
      <c r="E22" s="733"/>
      <c r="F22" s="733"/>
      <c r="G22" s="733"/>
      <c r="H22" s="733"/>
      <c r="I22" s="733"/>
      <c r="J22" s="733"/>
      <c r="K22" s="733"/>
      <c r="L22" s="733"/>
      <c r="M22" s="733"/>
      <c r="N22" s="733"/>
      <c r="O22" s="733"/>
      <c r="P22" s="733"/>
      <c r="Q22" s="733"/>
      <c r="R22" s="733"/>
      <c r="S22" s="733"/>
      <c r="T22" s="733"/>
      <c r="U22" s="733"/>
      <c r="V22" s="51">
        <v>0</v>
      </c>
      <c r="W22" s="51">
        <v>0</v>
      </c>
      <c r="X22" s="52">
        <v>-100</v>
      </c>
      <c r="Y22" s="49" t="s">
        <v>0</v>
      </c>
    </row>
    <row r="23" spans="1:25">
      <c r="A23" s="784" t="s">
        <v>436</v>
      </c>
      <c r="B23" s="733"/>
      <c r="C23" s="733"/>
      <c r="D23" s="733"/>
      <c r="E23" s="733"/>
      <c r="F23" s="733"/>
      <c r="G23" s="733"/>
      <c r="H23" s="733"/>
      <c r="I23" s="733"/>
      <c r="J23" s="733"/>
      <c r="K23" s="733"/>
      <c r="L23" s="733"/>
      <c r="M23" s="733"/>
      <c r="N23" s="733"/>
      <c r="O23" s="733"/>
      <c r="P23" s="733"/>
      <c r="Q23" s="733"/>
      <c r="R23" s="733"/>
      <c r="S23" s="733"/>
      <c r="T23" s="733"/>
      <c r="U23" s="733"/>
      <c r="V23" s="51">
        <v>0</v>
      </c>
      <c r="W23" s="51">
        <v>0</v>
      </c>
      <c r="X23" s="52">
        <v>-8</v>
      </c>
      <c r="Y23" s="49" t="s">
        <v>0</v>
      </c>
    </row>
    <row r="24" spans="1:25">
      <c r="A24" s="784" t="s">
        <v>435</v>
      </c>
      <c r="B24" s="733"/>
      <c r="C24" s="733"/>
      <c r="D24" s="733"/>
      <c r="E24" s="733"/>
      <c r="F24" s="733"/>
      <c r="G24" s="733"/>
      <c r="H24" s="733"/>
      <c r="I24" s="733"/>
      <c r="J24" s="733"/>
      <c r="K24" s="733"/>
      <c r="L24" s="733"/>
      <c r="M24" s="733"/>
      <c r="N24" s="733"/>
      <c r="O24" s="733"/>
      <c r="P24" s="733"/>
      <c r="Q24" s="733"/>
      <c r="R24" s="733"/>
      <c r="S24" s="733"/>
      <c r="T24" s="733"/>
      <c r="U24" s="733"/>
      <c r="V24" s="51">
        <v>0</v>
      </c>
      <c r="W24" s="51">
        <v>0</v>
      </c>
      <c r="X24" s="52">
        <v>2806</v>
      </c>
      <c r="Y24" s="49" t="s">
        <v>0</v>
      </c>
    </row>
    <row r="25" spans="1:25">
      <c r="A25" s="784" t="s">
        <v>342</v>
      </c>
      <c r="B25" s="733"/>
      <c r="C25" s="733"/>
      <c r="D25" s="733"/>
      <c r="E25" s="733"/>
      <c r="F25" s="733"/>
      <c r="G25" s="733"/>
      <c r="H25" s="733"/>
      <c r="I25" s="733"/>
      <c r="J25" s="733"/>
      <c r="K25" s="733"/>
      <c r="L25" s="733"/>
      <c r="M25" s="733"/>
      <c r="N25" s="733"/>
      <c r="O25" s="733"/>
      <c r="P25" s="733"/>
      <c r="Q25" s="733"/>
      <c r="R25" s="733"/>
      <c r="S25" s="733"/>
      <c r="T25" s="733"/>
      <c r="U25" s="733"/>
      <c r="V25" s="51">
        <f>SUM(V22:V24)</f>
        <v>0</v>
      </c>
      <c r="W25" s="51">
        <f>SUM(W22:W24)</f>
        <v>0</v>
      </c>
      <c r="X25" s="52">
        <f>SUM(X22:X24)</f>
        <v>2698</v>
      </c>
      <c r="Y25" s="49" t="s">
        <v>0</v>
      </c>
    </row>
    <row r="26" spans="1:25">
      <c r="A26" s="761" t="s">
        <v>434</v>
      </c>
      <c r="B26" s="762"/>
      <c r="C26" s="762"/>
      <c r="D26" s="762"/>
      <c r="E26" s="762"/>
      <c r="F26" s="762"/>
      <c r="G26" s="762"/>
      <c r="H26" s="762"/>
      <c r="I26" s="762"/>
      <c r="J26" s="762"/>
      <c r="K26" s="762"/>
      <c r="L26" s="762"/>
      <c r="M26" s="762"/>
      <c r="N26" s="762"/>
      <c r="O26" s="762"/>
      <c r="P26" s="762"/>
      <c r="Q26" s="762"/>
      <c r="R26" s="762"/>
      <c r="S26" s="762"/>
      <c r="T26" s="762"/>
      <c r="U26" s="762"/>
      <c r="V26" s="51"/>
      <c r="W26" s="51"/>
      <c r="X26" s="52"/>
      <c r="Y26" s="49" t="s">
        <v>0</v>
      </c>
    </row>
    <row r="27" spans="1:25">
      <c r="A27" s="785" t="s">
        <v>254</v>
      </c>
      <c r="B27" s="733"/>
      <c r="C27" s="733"/>
      <c r="D27" s="733"/>
      <c r="E27" s="733"/>
      <c r="F27" s="733"/>
      <c r="G27" s="733"/>
      <c r="H27" s="733"/>
      <c r="I27" s="733"/>
      <c r="J27" s="733"/>
      <c r="K27" s="733"/>
      <c r="L27" s="733"/>
      <c r="M27" s="733"/>
      <c r="N27" s="733"/>
      <c r="O27" s="733"/>
      <c r="P27" s="733"/>
      <c r="Q27" s="733"/>
      <c r="R27" s="733"/>
      <c r="S27" s="733"/>
      <c r="T27" s="733"/>
      <c r="U27" s="733"/>
      <c r="V27" s="51">
        <v>122</v>
      </c>
      <c r="W27" s="51">
        <f>350+122</f>
        <v>472</v>
      </c>
      <c r="X27" s="52">
        <v>108767</v>
      </c>
      <c r="Y27" s="49" t="s">
        <v>0</v>
      </c>
    </row>
    <row r="28" spans="1:25">
      <c r="A28" s="792" t="s">
        <v>12</v>
      </c>
      <c r="B28" s="793"/>
      <c r="C28" s="793"/>
      <c r="D28" s="793"/>
      <c r="E28" s="793"/>
      <c r="F28" s="793"/>
      <c r="G28" s="793"/>
      <c r="H28" s="793"/>
      <c r="I28" s="793"/>
      <c r="J28" s="793"/>
      <c r="K28" s="793"/>
      <c r="L28" s="793"/>
      <c r="M28" s="793"/>
      <c r="N28" s="793"/>
      <c r="O28" s="793"/>
      <c r="P28" s="793"/>
      <c r="Q28" s="793"/>
      <c r="R28" s="793"/>
      <c r="S28" s="793"/>
      <c r="T28" s="793"/>
      <c r="U28" s="793"/>
      <c r="V28" s="51">
        <v>0</v>
      </c>
      <c r="W28" s="51">
        <v>0</v>
      </c>
      <c r="X28" s="52">
        <v>11100</v>
      </c>
      <c r="Y28" s="49" t="s">
        <v>0</v>
      </c>
    </row>
    <row r="29" spans="1:25">
      <c r="A29" s="760" t="s">
        <v>255</v>
      </c>
      <c r="B29" s="733"/>
      <c r="C29" s="733"/>
      <c r="D29" s="733"/>
      <c r="E29" s="733"/>
      <c r="F29" s="733"/>
      <c r="G29" s="733"/>
      <c r="H29" s="733"/>
      <c r="I29" s="733"/>
      <c r="J29" s="733"/>
      <c r="K29" s="733"/>
      <c r="L29" s="733"/>
      <c r="M29" s="733"/>
      <c r="N29" s="733"/>
      <c r="O29" s="733"/>
      <c r="P29" s="733"/>
      <c r="Q29" s="733"/>
      <c r="R29" s="733"/>
      <c r="S29" s="733"/>
      <c r="T29" s="733"/>
      <c r="U29" s="733"/>
      <c r="V29" s="51">
        <v>0</v>
      </c>
      <c r="W29" s="51">
        <v>0</v>
      </c>
      <c r="X29" s="52">
        <v>1055</v>
      </c>
      <c r="Y29" s="49" t="s">
        <v>0</v>
      </c>
    </row>
    <row r="30" spans="1:25">
      <c r="A30" s="760" t="s">
        <v>281</v>
      </c>
      <c r="B30" s="733"/>
      <c r="C30" s="733"/>
      <c r="D30" s="733"/>
      <c r="E30" s="733"/>
      <c r="F30" s="733"/>
      <c r="G30" s="733"/>
      <c r="H30" s="733"/>
      <c r="I30" s="733"/>
      <c r="J30" s="733"/>
      <c r="K30" s="733"/>
      <c r="L30" s="733"/>
      <c r="M30" s="733"/>
      <c r="N30" s="733"/>
      <c r="O30" s="733"/>
      <c r="P30" s="733"/>
      <c r="Q30" s="733"/>
      <c r="R30" s="733"/>
      <c r="S30" s="733"/>
      <c r="T30" s="733"/>
      <c r="U30" s="733"/>
      <c r="V30" s="51">
        <f>SUM(V27:V29)</f>
        <v>122</v>
      </c>
      <c r="W30" s="51">
        <f>SUM(W27:W29)</f>
        <v>472</v>
      </c>
      <c r="X30" s="52">
        <f>SUM(X27:X29)</f>
        <v>120922</v>
      </c>
      <c r="Y30" s="49" t="s">
        <v>0</v>
      </c>
    </row>
    <row r="31" spans="1:25">
      <c r="A31" s="763" t="s">
        <v>41</v>
      </c>
      <c r="B31" s="762"/>
      <c r="C31" s="762"/>
      <c r="D31" s="762"/>
      <c r="E31" s="762"/>
      <c r="F31" s="762"/>
      <c r="G31" s="762"/>
      <c r="H31" s="762"/>
      <c r="I31" s="762"/>
      <c r="J31" s="762"/>
      <c r="K31" s="762"/>
      <c r="L31" s="762"/>
      <c r="M31" s="762"/>
      <c r="N31" s="762"/>
      <c r="O31" s="762"/>
      <c r="P31" s="762"/>
      <c r="Q31" s="762"/>
      <c r="R31" s="762"/>
      <c r="S31" s="762"/>
      <c r="T31" s="762"/>
      <c r="U31" s="762"/>
      <c r="V31" s="51">
        <f>SUM(V25,V30)</f>
        <v>122</v>
      </c>
      <c r="W31" s="51">
        <f>SUM(W25,W30)</f>
        <v>472</v>
      </c>
      <c r="X31" s="52">
        <f>SUM(X25,X30)</f>
        <v>123620</v>
      </c>
      <c r="Y31" s="49" t="s">
        <v>0</v>
      </c>
    </row>
    <row r="32" spans="1:25">
      <c r="A32" s="387" t="s">
        <v>247</v>
      </c>
      <c r="B32" s="398"/>
      <c r="C32" s="398"/>
      <c r="D32" s="398"/>
      <c r="E32" s="398"/>
      <c r="F32" s="398"/>
      <c r="G32" s="398"/>
      <c r="H32" s="398"/>
      <c r="I32" s="398"/>
      <c r="J32" s="398"/>
      <c r="K32" s="398"/>
      <c r="L32" s="398"/>
      <c r="M32" s="398"/>
      <c r="N32" s="398"/>
      <c r="O32" s="398"/>
      <c r="P32" s="398"/>
      <c r="Q32" s="398"/>
      <c r="R32" s="398"/>
      <c r="S32" s="398"/>
      <c r="T32" s="398"/>
      <c r="U32" s="398"/>
      <c r="V32" s="388">
        <f>+V31+V19</f>
        <v>5666</v>
      </c>
      <c r="W32" s="388">
        <f>+W31+W19</f>
        <v>5581</v>
      </c>
      <c r="X32" s="388">
        <f>+X31+X19</f>
        <v>1249383</v>
      </c>
      <c r="Y32" s="49" t="s">
        <v>0</v>
      </c>
    </row>
    <row r="33" spans="1:25">
      <c r="A33" s="764" t="s">
        <v>96</v>
      </c>
      <c r="B33" s="765"/>
      <c r="C33" s="765"/>
      <c r="D33" s="765"/>
      <c r="E33" s="765"/>
      <c r="F33" s="765"/>
      <c r="G33" s="765"/>
      <c r="H33" s="765"/>
      <c r="I33" s="765"/>
      <c r="J33" s="765"/>
      <c r="K33" s="765"/>
      <c r="L33" s="765"/>
      <c r="M33" s="765"/>
      <c r="N33" s="765"/>
      <c r="O33" s="765"/>
      <c r="P33" s="765"/>
      <c r="Q33" s="765"/>
      <c r="R33" s="765"/>
      <c r="S33" s="765"/>
      <c r="T33" s="765"/>
      <c r="U33" s="765"/>
      <c r="V33" s="51"/>
      <c r="W33" s="51"/>
      <c r="X33" s="52"/>
      <c r="Y33" s="49" t="s">
        <v>0</v>
      </c>
    </row>
    <row r="34" spans="1:25">
      <c r="A34" s="761" t="s">
        <v>290</v>
      </c>
      <c r="B34" s="762"/>
      <c r="C34" s="762"/>
      <c r="D34" s="762"/>
      <c r="E34" s="762"/>
      <c r="F34" s="762"/>
      <c r="G34" s="762"/>
      <c r="H34" s="762"/>
      <c r="I34" s="762"/>
      <c r="J34" s="762"/>
      <c r="K34" s="762"/>
      <c r="L34" s="762"/>
      <c r="M34" s="762"/>
      <c r="N34" s="762"/>
      <c r="O34" s="762"/>
      <c r="P34" s="762"/>
      <c r="Q34" s="762"/>
      <c r="R34" s="762"/>
      <c r="S34" s="762"/>
      <c r="T34" s="762"/>
      <c r="U34" s="762"/>
      <c r="V34" s="51" t="s">
        <v>288</v>
      </c>
      <c r="W34" s="51"/>
      <c r="X34" s="52"/>
      <c r="Y34" s="49" t="s">
        <v>0</v>
      </c>
    </row>
    <row r="35" spans="1:25">
      <c r="A35" s="732" t="s">
        <v>426</v>
      </c>
      <c r="B35" s="733"/>
      <c r="C35" s="733"/>
      <c r="D35" s="733"/>
      <c r="E35" s="733"/>
      <c r="F35" s="733"/>
      <c r="G35" s="733"/>
      <c r="H35" s="733"/>
      <c r="I35" s="733"/>
      <c r="J35" s="733"/>
      <c r="K35" s="733"/>
      <c r="L35" s="733"/>
      <c r="M35" s="733"/>
      <c r="N35" s="733"/>
      <c r="O35" s="733"/>
      <c r="P35" s="733"/>
      <c r="Q35" s="733"/>
      <c r="R35" s="733"/>
      <c r="S35" s="733"/>
      <c r="T35" s="733"/>
      <c r="U35" s="733"/>
      <c r="V35" s="51">
        <v>8</v>
      </c>
      <c r="W35" s="51">
        <v>4</v>
      </c>
      <c r="X35" s="52">
        <v>1519</v>
      </c>
      <c r="Y35" s="49" t="s">
        <v>0</v>
      </c>
    </row>
    <row r="36" spans="1:25">
      <c r="A36" s="732" t="s">
        <v>344</v>
      </c>
      <c r="B36" s="733"/>
      <c r="C36" s="733"/>
      <c r="D36" s="733"/>
      <c r="E36" s="733"/>
      <c r="F36" s="733"/>
      <c r="G36" s="733"/>
      <c r="H36" s="733"/>
      <c r="I36" s="733"/>
      <c r="J36" s="733"/>
      <c r="K36" s="733"/>
      <c r="L36" s="733"/>
      <c r="M36" s="733"/>
      <c r="N36" s="733"/>
      <c r="O36" s="733"/>
      <c r="P36" s="733"/>
      <c r="Q36" s="733"/>
      <c r="R36" s="733"/>
      <c r="S36" s="733"/>
      <c r="T36" s="733"/>
      <c r="U36" s="733"/>
      <c r="V36" s="332">
        <f>SUM(V35:V35)</f>
        <v>8</v>
      </c>
      <c r="W36" s="52">
        <f>SUM(W35:W35)</f>
        <v>4</v>
      </c>
      <c r="X36" s="52">
        <f>SUM(X35:X35)</f>
        <v>1519</v>
      </c>
      <c r="Y36" s="49" t="s">
        <v>0</v>
      </c>
    </row>
    <row r="37" spans="1:25">
      <c r="A37" s="761" t="s">
        <v>299</v>
      </c>
      <c r="B37" s="762"/>
      <c r="C37" s="762"/>
      <c r="D37" s="762"/>
      <c r="E37" s="762"/>
      <c r="F37" s="762"/>
      <c r="G37" s="762"/>
      <c r="H37" s="762"/>
      <c r="I37" s="762"/>
      <c r="J37" s="762"/>
      <c r="K37" s="762"/>
      <c r="L37" s="762"/>
      <c r="M37" s="762"/>
      <c r="N37" s="762"/>
      <c r="O37" s="762"/>
      <c r="P37" s="762"/>
      <c r="Q37" s="762"/>
      <c r="R37" s="762"/>
      <c r="S37" s="762"/>
      <c r="T37" s="762"/>
      <c r="U37" s="762"/>
      <c r="V37" s="51"/>
      <c r="W37" s="51"/>
      <c r="X37" s="52"/>
      <c r="Y37" s="49" t="s">
        <v>0</v>
      </c>
    </row>
    <row r="38" spans="1:25">
      <c r="A38" s="732" t="s">
        <v>345</v>
      </c>
      <c r="B38" s="733"/>
      <c r="C38" s="733"/>
      <c r="D38" s="733"/>
      <c r="E38" s="733"/>
      <c r="F38" s="733"/>
      <c r="G38" s="733"/>
      <c r="H38" s="733"/>
      <c r="I38" s="733"/>
      <c r="J38" s="733"/>
      <c r="K38" s="733"/>
      <c r="L38" s="733"/>
      <c r="M38" s="733"/>
      <c r="N38" s="733"/>
      <c r="O38" s="733"/>
      <c r="P38" s="733"/>
      <c r="Q38" s="733"/>
      <c r="R38" s="733"/>
      <c r="S38" s="733"/>
      <c r="T38" s="733"/>
      <c r="U38" s="733"/>
      <c r="V38" s="51">
        <v>0</v>
      </c>
      <c r="W38" s="51">
        <v>0</v>
      </c>
      <c r="X38" s="52">
        <v>-954</v>
      </c>
      <c r="Y38" s="49" t="s">
        <v>0</v>
      </c>
    </row>
    <row r="39" spans="1:25">
      <c r="A39" s="732" t="s">
        <v>453</v>
      </c>
      <c r="B39" s="733"/>
      <c r="C39" s="733"/>
      <c r="D39" s="733"/>
      <c r="E39" s="733"/>
      <c r="F39" s="733"/>
      <c r="G39" s="733"/>
      <c r="H39" s="733"/>
      <c r="I39" s="733"/>
      <c r="J39" s="733"/>
      <c r="K39" s="733"/>
      <c r="L39" s="733"/>
      <c r="M39" s="733"/>
      <c r="N39" s="733"/>
      <c r="O39" s="733"/>
      <c r="P39" s="733"/>
      <c r="Q39" s="733"/>
      <c r="R39" s="733"/>
      <c r="S39" s="733"/>
      <c r="T39" s="733"/>
      <c r="U39" s="733"/>
      <c r="V39" s="51">
        <v>0</v>
      </c>
      <c r="W39" s="51">
        <v>0</v>
      </c>
      <c r="X39" s="51">
        <v>-758</v>
      </c>
      <c r="Y39" s="49" t="s">
        <v>0</v>
      </c>
    </row>
    <row r="40" spans="1:25">
      <c r="A40" s="732" t="s">
        <v>346</v>
      </c>
      <c r="B40" s="733"/>
      <c r="C40" s="733"/>
      <c r="D40" s="733"/>
      <c r="E40" s="733"/>
      <c r="F40" s="733"/>
      <c r="G40" s="733"/>
      <c r="H40" s="733"/>
      <c r="I40" s="733"/>
      <c r="J40" s="733"/>
      <c r="K40" s="733"/>
      <c r="L40" s="733"/>
      <c r="M40" s="733"/>
      <c r="N40" s="733"/>
      <c r="O40" s="733"/>
      <c r="P40" s="733"/>
      <c r="Q40" s="733"/>
      <c r="R40" s="733"/>
      <c r="S40" s="733"/>
      <c r="T40" s="733"/>
      <c r="U40" s="733"/>
      <c r="V40" s="51">
        <v>0</v>
      </c>
      <c r="W40" s="51">
        <v>0</v>
      </c>
      <c r="X40" s="51">
        <v>-381</v>
      </c>
      <c r="Y40" s="49" t="s">
        <v>0</v>
      </c>
    </row>
    <row r="41" spans="1:25">
      <c r="A41" s="732" t="s">
        <v>438</v>
      </c>
      <c r="B41" s="734"/>
      <c r="C41" s="734"/>
      <c r="D41" s="734"/>
      <c r="E41" s="734"/>
      <c r="F41" s="734"/>
      <c r="G41" s="734"/>
      <c r="H41" s="734"/>
      <c r="I41" s="734"/>
      <c r="J41" s="734"/>
      <c r="K41" s="734"/>
      <c r="L41" s="734"/>
      <c r="M41" s="734"/>
      <c r="N41" s="734"/>
      <c r="O41" s="734"/>
      <c r="P41" s="734"/>
      <c r="Q41" s="734"/>
      <c r="R41" s="734"/>
      <c r="S41" s="734"/>
      <c r="T41" s="734"/>
      <c r="U41" s="734"/>
      <c r="V41" s="51">
        <v>0</v>
      </c>
      <c r="W41" s="51">
        <v>0</v>
      </c>
      <c r="X41" s="51">
        <v>-239</v>
      </c>
      <c r="Y41" s="49" t="s">
        <v>0</v>
      </c>
    </row>
    <row r="42" spans="1:25">
      <c r="A42" s="732" t="s">
        <v>440</v>
      </c>
      <c r="B42" s="734"/>
      <c r="C42" s="734"/>
      <c r="D42" s="734"/>
      <c r="E42" s="734"/>
      <c r="F42" s="734"/>
      <c r="G42" s="734"/>
      <c r="H42" s="734"/>
      <c r="I42" s="734"/>
      <c r="J42" s="734"/>
      <c r="K42" s="734"/>
      <c r="L42" s="734"/>
      <c r="M42" s="734"/>
      <c r="N42" s="734"/>
      <c r="O42" s="734"/>
      <c r="P42" s="734"/>
      <c r="Q42" s="734"/>
      <c r="R42" s="734"/>
      <c r="S42" s="734"/>
      <c r="T42" s="734"/>
      <c r="U42" s="734"/>
      <c r="V42" s="51">
        <v>0</v>
      </c>
      <c r="W42" s="51">
        <v>0</v>
      </c>
      <c r="X42" s="51">
        <v>-5000</v>
      </c>
      <c r="Y42" s="49" t="s">
        <v>0</v>
      </c>
    </row>
    <row r="43" spans="1:25">
      <c r="A43" s="353" t="s">
        <v>343</v>
      </c>
      <c r="B43" s="351"/>
      <c r="C43" s="351"/>
      <c r="D43" s="351"/>
      <c r="E43" s="351"/>
      <c r="F43" s="351"/>
      <c r="G43" s="351"/>
      <c r="H43" s="351"/>
      <c r="I43" s="351"/>
      <c r="J43" s="351"/>
      <c r="K43" s="351"/>
      <c r="L43" s="351"/>
      <c r="M43" s="351"/>
      <c r="N43" s="351"/>
      <c r="O43" s="351"/>
      <c r="P43" s="351"/>
      <c r="Q43" s="351"/>
      <c r="R43" s="351"/>
      <c r="S43" s="351"/>
      <c r="T43" s="351"/>
      <c r="U43" s="351"/>
      <c r="V43" s="51">
        <f>SUM(V38:V42)</f>
        <v>0</v>
      </c>
      <c r="W43" s="51">
        <f>SUM(W38:W42)</f>
        <v>0</v>
      </c>
      <c r="X43" s="51">
        <f>SUM(X38:X42)</f>
        <v>-7332</v>
      </c>
      <c r="Y43" s="49" t="s">
        <v>0</v>
      </c>
    </row>
    <row r="44" spans="1:25" ht="18" customHeight="1">
      <c r="A44" s="391" t="s">
        <v>97</v>
      </c>
      <c r="B44" s="392"/>
      <c r="C44" s="392"/>
      <c r="D44" s="392"/>
      <c r="E44" s="392"/>
      <c r="F44" s="392"/>
      <c r="G44" s="392"/>
      <c r="H44" s="392"/>
      <c r="I44" s="392"/>
      <c r="J44" s="392"/>
      <c r="K44" s="392"/>
      <c r="L44" s="392"/>
      <c r="M44" s="392"/>
      <c r="N44" s="392"/>
      <c r="O44" s="392"/>
      <c r="P44" s="392"/>
      <c r="Q44" s="392"/>
      <c r="R44" s="392"/>
      <c r="S44" s="392"/>
      <c r="T44" s="392"/>
      <c r="U44" s="392"/>
      <c r="V44" s="57">
        <f>SUM(V36+V43)</f>
        <v>8</v>
      </c>
      <c r="W44" s="57">
        <f>SUM(W36+W43)</f>
        <v>4</v>
      </c>
      <c r="X44" s="57">
        <f>SUM(X36+X43)</f>
        <v>-5813</v>
      </c>
      <c r="Y44" s="49" t="s">
        <v>0</v>
      </c>
    </row>
    <row r="45" spans="1:25" ht="18" customHeight="1">
      <c r="A45" s="389" t="s">
        <v>248</v>
      </c>
      <c r="B45" s="390"/>
      <c r="C45" s="390"/>
      <c r="D45" s="390"/>
      <c r="E45" s="390"/>
      <c r="F45" s="390"/>
      <c r="G45" s="390"/>
      <c r="H45" s="390"/>
      <c r="I45" s="390"/>
      <c r="J45" s="390"/>
      <c r="K45" s="390"/>
      <c r="L45" s="390"/>
      <c r="M45" s="390"/>
      <c r="N45" s="390"/>
      <c r="O45" s="390"/>
      <c r="P45" s="390"/>
      <c r="Q45" s="390"/>
      <c r="R45" s="390"/>
      <c r="S45" s="390"/>
      <c r="T45" s="390"/>
      <c r="U45" s="390"/>
      <c r="V45" s="388">
        <f>V32+V44</f>
        <v>5674</v>
      </c>
      <c r="W45" s="388">
        <f>W32+W44</f>
        <v>5585</v>
      </c>
      <c r="X45" s="388">
        <f>X32+X44</f>
        <v>1243570</v>
      </c>
      <c r="Y45" s="49" t="s">
        <v>0</v>
      </c>
    </row>
    <row r="46" spans="1:25">
      <c r="A46" s="758" t="s">
        <v>450</v>
      </c>
      <c r="B46" s="759"/>
      <c r="C46" s="759" t="s">
        <v>441</v>
      </c>
      <c r="D46" s="759"/>
      <c r="E46" s="759"/>
      <c r="F46" s="759"/>
      <c r="G46" s="759"/>
      <c r="H46" s="759"/>
      <c r="I46" s="759"/>
      <c r="J46" s="759"/>
      <c r="K46" s="759"/>
      <c r="L46" s="759"/>
      <c r="M46" s="759"/>
      <c r="N46" s="759"/>
      <c r="O46" s="759"/>
      <c r="P46" s="759"/>
      <c r="Q46" s="759"/>
      <c r="R46" s="759"/>
      <c r="S46" s="759"/>
      <c r="T46" s="759"/>
      <c r="U46" s="759"/>
      <c r="V46" s="57">
        <v>0</v>
      </c>
      <c r="W46" s="57">
        <v>0</v>
      </c>
      <c r="X46" s="57">
        <v>-7200</v>
      </c>
      <c r="Y46" s="49" t="s">
        <v>0</v>
      </c>
    </row>
    <row r="47" spans="1:25" ht="18" customHeight="1">
      <c r="A47" s="389" t="s">
        <v>356</v>
      </c>
      <c r="B47" s="716"/>
      <c r="C47" s="716"/>
      <c r="D47" s="716"/>
      <c r="E47" s="716"/>
      <c r="F47" s="716"/>
      <c r="G47" s="716"/>
      <c r="H47" s="716"/>
      <c r="I47" s="716"/>
      <c r="J47" s="716"/>
      <c r="K47" s="716"/>
      <c r="L47" s="716"/>
      <c r="M47" s="716"/>
      <c r="N47" s="716"/>
      <c r="O47" s="716"/>
      <c r="P47" s="716"/>
      <c r="Q47" s="716"/>
      <c r="R47" s="716"/>
      <c r="S47" s="716"/>
      <c r="T47" s="716"/>
      <c r="U47" s="716"/>
      <c r="V47" s="393">
        <f>SUM(V45:V46)</f>
        <v>5674</v>
      </c>
      <c r="W47" s="393">
        <f>SUM(W45:W46)</f>
        <v>5585</v>
      </c>
      <c r="X47" s="393">
        <f>SUM(X45:X46)</f>
        <v>1236370</v>
      </c>
      <c r="Y47" s="49" t="s">
        <v>0</v>
      </c>
    </row>
    <row r="48" spans="1:25" ht="18" customHeight="1">
      <c r="A48" s="352" t="s">
        <v>335</v>
      </c>
      <c r="B48" s="397"/>
      <c r="C48" s="397"/>
      <c r="D48" s="397"/>
      <c r="E48" s="397"/>
      <c r="F48" s="397"/>
      <c r="G48" s="397"/>
      <c r="H48" s="397"/>
      <c r="I48" s="397"/>
      <c r="J48" s="397"/>
      <c r="K48" s="397"/>
      <c r="L48" s="397"/>
      <c r="M48" s="397"/>
      <c r="N48" s="397"/>
      <c r="O48" s="397"/>
      <c r="P48" s="397"/>
      <c r="Q48" s="397"/>
      <c r="R48" s="397"/>
      <c r="S48" s="397"/>
      <c r="T48" s="397"/>
      <c r="U48" s="397"/>
      <c r="V48" s="56">
        <f ca="1">+V47-V16</f>
        <v>8</v>
      </c>
      <c r="W48" s="56">
        <f ca="1">+W47-W16</f>
        <v>354</v>
      </c>
      <c r="X48" s="56">
        <f ca="1">+X47-X16</f>
        <v>80956</v>
      </c>
      <c r="Y48" s="49" t="s">
        <v>0</v>
      </c>
    </row>
    <row r="49" spans="1:25">
      <c r="Y49" s="49" t="s">
        <v>0</v>
      </c>
    </row>
    <row r="50" spans="1:25" ht="18" customHeight="1">
      <c r="Y50" s="49" t="s">
        <v>0</v>
      </c>
    </row>
    <row r="51" spans="1:25" ht="18" customHeight="1">
      <c r="Y51" s="49" t="s">
        <v>0</v>
      </c>
    </row>
    <row r="52" spans="1:25" ht="18" customHeight="1">
      <c r="Y52" s="49" t="s">
        <v>0</v>
      </c>
    </row>
    <row r="53" spans="1:25" ht="22.5">
      <c r="A53" s="744" t="s">
        <v>276</v>
      </c>
      <c r="B53" s="742"/>
      <c r="C53" s="742"/>
      <c r="D53" s="742"/>
      <c r="E53" s="742"/>
      <c r="F53" s="742"/>
      <c r="G53" s="742"/>
      <c r="H53" s="742"/>
      <c r="I53" s="742"/>
      <c r="J53" s="742"/>
      <c r="K53" s="742"/>
      <c r="L53" s="742"/>
      <c r="M53" s="742"/>
      <c r="N53" s="742"/>
      <c r="O53" s="742"/>
      <c r="P53" s="742"/>
      <c r="Q53" s="742"/>
      <c r="R53" s="742"/>
      <c r="S53" s="742"/>
      <c r="T53" s="742"/>
      <c r="U53" s="742"/>
      <c r="V53" s="742"/>
      <c r="W53" s="742"/>
      <c r="X53" s="742"/>
      <c r="Y53" s="49" t="s">
        <v>0</v>
      </c>
    </row>
    <row r="54" spans="1:25" ht="23.25">
      <c r="A54" s="741" t="str">
        <f>A5</f>
        <v>United States Marshals Service</v>
      </c>
      <c r="B54" s="774"/>
      <c r="C54" s="774"/>
      <c r="D54" s="774"/>
      <c r="E54" s="774"/>
      <c r="F54" s="774"/>
      <c r="G54" s="774"/>
      <c r="H54" s="774"/>
      <c r="I54" s="774"/>
      <c r="J54" s="774"/>
      <c r="K54" s="774"/>
      <c r="L54" s="774"/>
      <c r="M54" s="774"/>
      <c r="N54" s="774"/>
      <c r="O54" s="774"/>
      <c r="P54" s="774"/>
      <c r="Q54" s="774"/>
      <c r="R54" s="774"/>
      <c r="S54" s="774"/>
      <c r="T54" s="774"/>
      <c r="U54" s="774"/>
      <c r="V54" s="774"/>
      <c r="W54" s="774"/>
      <c r="X54" s="774"/>
      <c r="Y54" s="49" t="s">
        <v>0</v>
      </c>
    </row>
    <row r="55" spans="1:25" ht="23.25">
      <c r="A55" s="741" t="s">
        <v>266</v>
      </c>
      <c r="B55" s="742"/>
      <c r="C55" s="742"/>
      <c r="D55" s="742"/>
      <c r="E55" s="742"/>
      <c r="F55" s="742"/>
      <c r="G55" s="742"/>
      <c r="H55" s="742"/>
      <c r="I55" s="742"/>
      <c r="J55" s="742"/>
      <c r="K55" s="742"/>
      <c r="L55" s="742"/>
      <c r="M55" s="742"/>
      <c r="N55" s="742"/>
      <c r="O55" s="742"/>
      <c r="P55" s="742"/>
      <c r="Q55" s="742"/>
      <c r="R55" s="742"/>
      <c r="S55" s="742"/>
      <c r="T55" s="742"/>
      <c r="U55" s="742"/>
      <c r="V55" s="742"/>
      <c r="W55" s="742"/>
      <c r="X55" s="742"/>
      <c r="Y55" s="49" t="s">
        <v>0</v>
      </c>
    </row>
    <row r="56" spans="1:25" ht="23.25">
      <c r="A56" s="741" t="s">
        <v>265</v>
      </c>
      <c r="B56" s="743"/>
      <c r="C56" s="743"/>
      <c r="D56" s="743"/>
      <c r="E56" s="743"/>
      <c r="F56" s="743"/>
      <c r="G56" s="743"/>
      <c r="H56" s="743"/>
      <c r="I56" s="743"/>
      <c r="J56" s="743"/>
      <c r="K56" s="743"/>
      <c r="L56" s="743"/>
      <c r="M56" s="743"/>
      <c r="N56" s="743"/>
      <c r="O56" s="743"/>
      <c r="P56" s="743"/>
      <c r="Q56" s="743"/>
      <c r="R56" s="743"/>
      <c r="S56" s="743"/>
      <c r="T56" s="743"/>
      <c r="U56" s="743"/>
      <c r="V56" s="743"/>
      <c r="W56" s="743"/>
      <c r="X56" s="743"/>
      <c r="Y56" s="49" t="s">
        <v>0</v>
      </c>
    </row>
    <row r="57" spans="1:25" ht="18" customHeight="1">
      <c r="Y57" s="49" t="s">
        <v>0</v>
      </c>
    </row>
    <row r="58" spans="1:25" ht="18" customHeight="1">
      <c r="Y58" s="49" t="s">
        <v>0</v>
      </c>
    </row>
    <row r="59" spans="1:25" ht="18" customHeight="1">
      <c r="Y59" s="49" t="s">
        <v>0</v>
      </c>
    </row>
    <row r="60" spans="1:25" ht="18" customHeight="1">
      <c r="Y60" s="49" t="s">
        <v>0</v>
      </c>
    </row>
    <row r="61" spans="1:25" ht="18" customHeight="1">
      <c r="A61" s="33"/>
      <c r="B61" s="33"/>
      <c r="C61" s="33"/>
      <c r="D61" s="34"/>
      <c r="E61" s="34"/>
      <c r="F61" s="34"/>
      <c r="G61" s="34"/>
      <c r="H61" s="34"/>
      <c r="I61" s="34"/>
      <c r="J61" s="34"/>
      <c r="K61" s="34"/>
      <c r="L61" s="34"/>
      <c r="M61" s="34"/>
      <c r="N61" s="34"/>
      <c r="O61" s="34"/>
      <c r="P61" s="34"/>
      <c r="Q61" s="34"/>
      <c r="R61" s="34"/>
      <c r="S61" s="34"/>
      <c r="T61" s="34"/>
      <c r="U61" s="34"/>
      <c r="V61" s="34"/>
      <c r="W61" s="34"/>
      <c r="X61" s="34"/>
      <c r="Y61" s="49" t="s">
        <v>0</v>
      </c>
    </row>
    <row r="62" spans="1:25" ht="22.5" customHeight="1">
      <c r="A62" s="735" t="s">
        <v>286</v>
      </c>
      <c r="B62" s="736"/>
      <c r="C62" s="736"/>
      <c r="D62" s="745" t="s">
        <v>432</v>
      </c>
      <c r="E62" s="746"/>
      <c r="F62" s="747"/>
      <c r="G62" s="751" t="s">
        <v>330</v>
      </c>
      <c r="H62" s="752"/>
      <c r="I62" s="753"/>
      <c r="J62" s="757" t="s">
        <v>249</v>
      </c>
      <c r="K62" s="746"/>
      <c r="L62" s="747"/>
      <c r="M62" s="757" t="s">
        <v>247</v>
      </c>
      <c r="N62" s="746"/>
      <c r="O62" s="747"/>
      <c r="P62" s="757" t="s">
        <v>250</v>
      </c>
      <c r="Q62" s="775"/>
      <c r="R62" s="775"/>
      <c r="S62" s="745" t="s">
        <v>251</v>
      </c>
      <c r="T62" s="746"/>
      <c r="U62" s="747"/>
      <c r="V62" s="745" t="s">
        <v>357</v>
      </c>
      <c r="W62" s="746"/>
      <c r="X62" s="747"/>
      <c r="Y62" s="49" t="s">
        <v>0</v>
      </c>
    </row>
    <row r="63" spans="1:25" ht="27.75" customHeight="1">
      <c r="A63" s="737"/>
      <c r="B63" s="738"/>
      <c r="C63" s="738"/>
      <c r="D63" s="748"/>
      <c r="E63" s="749"/>
      <c r="F63" s="750"/>
      <c r="G63" s="754"/>
      <c r="H63" s="755"/>
      <c r="I63" s="756"/>
      <c r="J63" s="748"/>
      <c r="K63" s="749"/>
      <c r="L63" s="750"/>
      <c r="M63" s="748"/>
      <c r="N63" s="749"/>
      <c r="O63" s="750"/>
      <c r="P63" s="776"/>
      <c r="Q63" s="777"/>
      <c r="R63" s="777"/>
      <c r="S63" s="748"/>
      <c r="T63" s="749"/>
      <c r="U63" s="750"/>
      <c r="V63" s="748"/>
      <c r="W63" s="749"/>
      <c r="X63" s="750"/>
      <c r="Y63" s="49" t="s">
        <v>0</v>
      </c>
    </row>
    <row r="64" spans="1:25" ht="16.5" thickBot="1">
      <c r="A64" s="739"/>
      <c r="B64" s="740"/>
      <c r="C64" s="740"/>
      <c r="D64" s="116" t="s">
        <v>287</v>
      </c>
      <c r="E64" s="117" t="s">
        <v>51</v>
      </c>
      <c r="F64" s="118" t="s">
        <v>289</v>
      </c>
      <c r="G64" s="116" t="s">
        <v>287</v>
      </c>
      <c r="H64" s="117" t="s">
        <v>51</v>
      </c>
      <c r="I64" s="118" t="s">
        <v>289</v>
      </c>
      <c r="J64" s="116" t="s">
        <v>287</v>
      </c>
      <c r="K64" s="117" t="s">
        <v>51</v>
      </c>
      <c r="L64" s="118" t="s">
        <v>289</v>
      </c>
      <c r="M64" s="116" t="s">
        <v>287</v>
      </c>
      <c r="N64" s="117" t="s">
        <v>51</v>
      </c>
      <c r="O64" s="118" t="s">
        <v>289</v>
      </c>
      <c r="P64" s="116" t="s">
        <v>287</v>
      </c>
      <c r="Q64" s="117" t="s">
        <v>51</v>
      </c>
      <c r="R64" s="118" t="s">
        <v>289</v>
      </c>
      <c r="S64" s="116" t="s">
        <v>287</v>
      </c>
      <c r="T64" s="117" t="s">
        <v>51</v>
      </c>
      <c r="U64" s="120" t="s">
        <v>289</v>
      </c>
      <c r="V64" s="119" t="s">
        <v>287</v>
      </c>
      <c r="W64" s="117" t="s">
        <v>51</v>
      </c>
      <c r="X64" s="120" t="s">
        <v>289</v>
      </c>
      <c r="Y64" s="49" t="s">
        <v>0</v>
      </c>
    </row>
    <row r="65" spans="1:25">
      <c r="A65" s="107"/>
      <c r="B65" s="782" t="s">
        <v>340</v>
      </c>
      <c r="C65" s="783"/>
      <c r="D65" s="362">
        <f>2222+49</f>
        <v>2271</v>
      </c>
      <c r="E65" s="363">
        <f>2010+38</f>
        <v>2048</v>
      </c>
      <c r="F65" s="363">
        <f>437749+11821</f>
        <v>449570</v>
      </c>
      <c r="G65" s="362">
        <f>2222</f>
        <v>2222</v>
      </c>
      <c r="H65" s="363">
        <f>2010</f>
        <v>2010</v>
      </c>
      <c r="I65" s="363">
        <f>437749</f>
        <v>437749</v>
      </c>
      <c r="J65" s="362">
        <v>49</v>
      </c>
      <c r="K65" s="363">
        <v>228</v>
      </c>
      <c r="L65" s="363">
        <v>49638</v>
      </c>
      <c r="M65" s="362">
        <f t="shared" ref="M65:O69" si="0">SUM(G65,J65)</f>
        <v>2271</v>
      </c>
      <c r="N65" s="363">
        <f t="shared" si="0"/>
        <v>2238</v>
      </c>
      <c r="O65" s="363">
        <f t="shared" si="0"/>
        <v>487387</v>
      </c>
      <c r="P65" s="372">
        <v>0</v>
      </c>
      <c r="Q65" s="366">
        <v>0</v>
      </c>
      <c r="R65" s="366">
        <v>0</v>
      </c>
      <c r="S65" s="372">
        <v>0</v>
      </c>
      <c r="T65" s="366">
        <v>0</v>
      </c>
      <c r="U65" s="384">
        <v>-5837</v>
      </c>
      <c r="V65" s="372">
        <f>P65+M65+S65</f>
        <v>2271</v>
      </c>
      <c r="W65" s="366">
        <f>+N65+Q65+T65</f>
        <v>2238</v>
      </c>
      <c r="X65" s="373">
        <f>R65+O65+U65</f>
        <v>481550</v>
      </c>
      <c r="Y65" s="49" t="s">
        <v>0</v>
      </c>
    </row>
    <row r="66" spans="1:25">
      <c r="A66" s="107"/>
      <c r="B66" s="770" t="s">
        <v>347</v>
      </c>
      <c r="C66" s="771"/>
      <c r="D66" s="362">
        <f>1744+25</f>
        <v>1769</v>
      </c>
      <c r="E66" s="363">
        <f>1644+25</f>
        <v>1669</v>
      </c>
      <c r="F66" s="363">
        <f>381151+7253</f>
        <v>388404</v>
      </c>
      <c r="G66" s="362">
        <f>1744</f>
        <v>1744</v>
      </c>
      <c r="H66" s="363">
        <f>1644</f>
        <v>1644</v>
      </c>
      <c r="I66" s="363">
        <f>381151</f>
        <v>381151</v>
      </c>
      <c r="J66" s="362">
        <v>25</v>
      </c>
      <c r="K66" s="363">
        <v>98</v>
      </c>
      <c r="L66" s="363">
        <v>36355</v>
      </c>
      <c r="M66" s="362">
        <f t="shared" si="0"/>
        <v>1769</v>
      </c>
      <c r="N66" s="363">
        <f t="shared" si="0"/>
        <v>1742</v>
      </c>
      <c r="O66" s="363">
        <f t="shared" si="0"/>
        <v>417506</v>
      </c>
      <c r="P66" s="372">
        <v>8</v>
      </c>
      <c r="Q66" s="366">
        <v>4</v>
      </c>
      <c r="R66" s="374">
        <v>1519</v>
      </c>
      <c r="S66" s="372">
        <v>0</v>
      </c>
      <c r="T66" s="366">
        <v>0</v>
      </c>
      <c r="U66" s="384">
        <v>-896</v>
      </c>
      <c r="V66" s="372">
        <f>P66+M66+S66</f>
        <v>1777</v>
      </c>
      <c r="W66" s="366">
        <f>+N66+Q66+T66</f>
        <v>1746</v>
      </c>
      <c r="X66" s="373">
        <f>R66+O66+U66</f>
        <v>418129</v>
      </c>
      <c r="Y66" s="49" t="s">
        <v>0</v>
      </c>
    </row>
    <row r="67" spans="1:25">
      <c r="A67" s="107"/>
      <c r="B67" s="770" t="s">
        <v>348</v>
      </c>
      <c r="C67" s="771"/>
      <c r="D67" s="362">
        <f>1194+48</f>
        <v>1242</v>
      </c>
      <c r="E67" s="363">
        <f>1085+38</f>
        <v>1123</v>
      </c>
      <c r="F67" s="363">
        <f>235434+10577</f>
        <v>246011</v>
      </c>
      <c r="G67" s="362">
        <f>1194</f>
        <v>1194</v>
      </c>
      <c r="H67" s="363">
        <f>1085</f>
        <v>1085</v>
      </c>
      <c r="I67" s="363">
        <f>235434</f>
        <v>235434</v>
      </c>
      <c r="J67" s="362">
        <v>48</v>
      </c>
      <c r="K67" s="363">
        <v>141</v>
      </c>
      <c r="L67" s="363">
        <v>35516</v>
      </c>
      <c r="M67" s="362">
        <f t="shared" si="0"/>
        <v>1242</v>
      </c>
      <c r="N67" s="363">
        <f t="shared" si="0"/>
        <v>1226</v>
      </c>
      <c r="O67" s="363">
        <f t="shared" si="0"/>
        <v>270950</v>
      </c>
      <c r="P67" s="372">
        <v>0</v>
      </c>
      <c r="Q67" s="366">
        <v>0</v>
      </c>
      <c r="R67" s="374">
        <v>0</v>
      </c>
      <c r="S67" s="372">
        <v>0</v>
      </c>
      <c r="T67" s="366">
        <v>0</v>
      </c>
      <c r="U67" s="384">
        <f>-7650+7200</f>
        <v>-450</v>
      </c>
      <c r="V67" s="372">
        <f>P67+M67+S67</f>
        <v>1242</v>
      </c>
      <c r="W67" s="366">
        <f>+N67+Q67+T67</f>
        <v>1226</v>
      </c>
      <c r="X67" s="373">
        <f>R67+O67+U67</f>
        <v>270500</v>
      </c>
      <c r="Y67" s="49" t="s">
        <v>0</v>
      </c>
    </row>
    <row r="68" spans="1:25">
      <c r="A68" s="107"/>
      <c r="B68" s="359" t="s">
        <v>349</v>
      </c>
      <c r="C68" s="359"/>
      <c r="D68" s="362">
        <v>207</v>
      </c>
      <c r="E68" s="363">
        <v>200</v>
      </c>
      <c r="F68" s="363">
        <v>34167</v>
      </c>
      <c r="G68" s="362">
        <v>207</v>
      </c>
      <c r="H68" s="363">
        <v>200</v>
      </c>
      <c r="I68" s="363">
        <v>34167</v>
      </c>
      <c r="J68" s="362">
        <v>0</v>
      </c>
      <c r="K68" s="363">
        <v>3</v>
      </c>
      <c r="L68" s="363">
        <v>1204</v>
      </c>
      <c r="M68" s="362">
        <f t="shared" si="0"/>
        <v>207</v>
      </c>
      <c r="N68" s="363">
        <f t="shared" si="0"/>
        <v>203</v>
      </c>
      <c r="O68" s="363">
        <f t="shared" si="0"/>
        <v>35371</v>
      </c>
      <c r="P68" s="372">
        <v>0</v>
      </c>
      <c r="Q68" s="366">
        <v>0</v>
      </c>
      <c r="R68" s="374">
        <v>0</v>
      </c>
      <c r="S68" s="372">
        <v>0</v>
      </c>
      <c r="T68" s="366">
        <v>0</v>
      </c>
      <c r="U68" s="384">
        <v>-77</v>
      </c>
      <c r="V68" s="372">
        <f>P68+M68+S68</f>
        <v>207</v>
      </c>
      <c r="W68" s="366">
        <f>+N68+Q68+T68</f>
        <v>203</v>
      </c>
      <c r="X68" s="373">
        <f>R68+O68+U68</f>
        <v>35294</v>
      </c>
      <c r="Y68" s="49" t="s">
        <v>0</v>
      </c>
    </row>
    <row r="69" spans="1:25" ht="17.25" customHeight="1">
      <c r="A69" s="107"/>
      <c r="B69" s="770" t="s">
        <v>350</v>
      </c>
      <c r="C69" s="771"/>
      <c r="D69" s="362">
        <v>177</v>
      </c>
      <c r="E69" s="363">
        <v>170</v>
      </c>
      <c r="F69" s="363">
        <v>37262</v>
      </c>
      <c r="G69" s="362">
        <v>177</v>
      </c>
      <c r="H69" s="363">
        <v>170</v>
      </c>
      <c r="I69" s="363">
        <v>37262</v>
      </c>
      <c r="J69" s="362">
        <v>0</v>
      </c>
      <c r="K69" s="363">
        <v>2</v>
      </c>
      <c r="L69" s="363">
        <v>907</v>
      </c>
      <c r="M69" s="362">
        <f t="shared" si="0"/>
        <v>177</v>
      </c>
      <c r="N69" s="363">
        <f t="shared" si="0"/>
        <v>172</v>
      </c>
      <c r="O69" s="363">
        <f t="shared" si="0"/>
        <v>38169</v>
      </c>
      <c r="P69" s="372">
        <v>0</v>
      </c>
      <c r="Q69" s="366">
        <v>0</v>
      </c>
      <c r="R69" s="374">
        <v>0</v>
      </c>
      <c r="S69" s="372">
        <v>0</v>
      </c>
      <c r="T69" s="366">
        <v>0</v>
      </c>
      <c r="U69" s="384">
        <v>-72</v>
      </c>
      <c r="V69" s="372">
        <f>P69+M69+S69</f>
        <v>177</v>
      </c>
      <c r="W69" s="366">
        <f>+N69+Q69+T69</f>
        <v>172</v>
      </c>
      <c r="X69" s="373">
        <f>R69+O69+U69</f>
        <v>38097</v>
      </c>
      <c r="Y69" s="49" t="s">
        <v>0</v>
      </c>
    </row>
    <row r="70" spans="1:25">
      <c r="A70" s="109"/>
      <c r="B70" s="110"/>
      <c r="C70" s="110" t="s">
        <v>452</v>
      </c>
      <c r="D70" s="375">
        <f>SUM(D65:D69)</f>
        <v>5666</v>
      </c>
      <c r="E70" s="369">
        <f>SUM(E65:E69)</f>
        <v>5210</v>
      </c>
      <c r="F70" s="376">
        <f>SUM(F65:F69)</f>
        <v>1155414</v>
      </c>
      <c r="G70" s="375">
        <f t="shared" ref="G70:X70" si="1">SUM(G65:G69)</f>
        <v>5544</v>
      </c>
      <c r="H70" s="369">
        <f t="shared" si="1"/>
        <v>5109</v>
      </c>
      <c r="I70" s="376">
        <f t="shared" si="1"/>
        <v>1125763</v>
      </c>
      <c r="J70" s="375">
        <f t="shared" si="1"/>
        <v>122</v>
      </c>
      <c r="K70" s="369">
        <f t="shared" si="1"/>
        <v>472</v>
      </c>
      <c r="L70" s="376">
        <f t="shared" si="1"/>
        <v>123620</v>
      </c>
      <c r="M70" s="375">
        <f t="shared" si="1"/>
        <v>5666</v>
      </c>
      <c r="N70" s="369">
        <f t="shared" si="1"/>
        <v>5581</v>
      </c>
      <c r="O70" s="376">
        <f t="shared" si="1"/>
        <v>1249383</v>
      </c>
      <c r="P70" s="375">
        <f t="shared" si="1"/>
        <v>8</v>
      </c>
      <c r="Q70" s="369">
        <f t="shared" si="1"/>
        <v>4</v>
      </c>
      <c r="R70" s="376">
        <f t="shared" si="1"/>
        <v>1519</v>
      </c>
      <c r="S70" s="375">
        <f t="shared" si="1"/>
        <v>0</v>
      </c>
      <c r="T70" s="369">
        <f t="shared" si="1"/>
        <v>0</v>
      </c>
      <c r="U70" s="725">
        <f t="shared" si="1"/>
        <v>-7332</v>
      </c>
      <c r="V70" s="375">
        <f t="shared" si="1"/>
        <v>5674</v>
      </c>
      <c r="W70" s="369">
        <f t="shared" si="1"/>
        <v>5585</v>
      </c>
      <c r="X70" s="377">
        <f t="shared" si="1"/>
        <v>1243570</v>
      </c>
      <c r="Y70" s="49" t="s">
        <v>0</v>
      </c>
    </row>
    <row r="71" spans="1:25">
      <c r="A71" s="107"/>
      <c r="B71" s="359"/>
      <c r="C71" s="359" t="s">
        <v>450</v>
      </c>
      <c r="D71" s="362">
        <v>0</v>
      </c>
      <c r="E71" s="363">
        <v>0</v>
      </c>
      <c r="F71" s="363">
        <v>0</v>
      </c>
      <c r="G71" s="362">
        <v>0</v>
      </c>
      <c r="H71" s="363">
        <v>0</v>
      </c>
      <c r="I71" s="363">
        <v>0</v>
      </c>
      <c r="J71" s="362">
        <v>0</v>
      </c>
      <c r="K71" s="363">
        <v>0</v>
      </c>
      <c r="L71" s="363">
        <v>0</v>
      </c>
      <c r="M71" s="362">
        <f>SUM(G71,J71)</f>
        <v>0</v>
      </c>
      <c r="N71" s="363">
        <f>SUM(H71,K71)</f>
        <v>0</v>
      </c>
      <c r="O71" s="363">
        <f>SUM(I71,L71)</f>
        <v>0</v>
      </c>
      <c r="P71" s="372">
        <v>0</v>
      </c>
      <c r="Q71" s="366">
        <v>0</v>
      </c>
      <c r="R71" s="374">
        <v>0</v>
      </c>
      <c r="S71" s="372">
        <v>0</v>
      </c>
      <c r="T71" s="366">
        <v>0</v>
      </c>
      <c r="U71" s="384">
        <v>-7200</v>
      </c>
      <c r="V71" s="372">
        <f>P71+M71+S71</f>
        <v>0</v>
      </c>
      <c r="W71" s="366">
        <f>+N71+Q71+T71</f>
        <v>0</v>
      </c>
      <c r="X71" s="384">
        <f>R71+O71+U71</f>
        <v>-7200</v>
      </c>
      <c r="Y71" s="49" t="s">
        <v>0</v>
      </c>
    </row>
    <row r="72" spans="1:25">
      <c r="A72" s="109"/>
      <c r="B72" s="110"/>
      <c r="C72" s="110" t="s">
        <v>451</v>
      </c>
      <c r="D72" s="375">
        <f t="shared" ref="D72:I72" si="2">SUM(D70:D71)</f>
        <v>5666</v>
      </c>
      <c r="E72" s="369">
        <f t="shared" si="2"/>
        <v>5210</v>
      </c>
      <c r="F72" s="376">
        <f t="shared" si="2"/>
        <v>1155414</v>
      </c>
      <c r="G72" s="375">
        <f t="shared" si="2"/>
        <v>5544</v>
      </c>
      <c r="H72" s="369">
        <f t="shared" si="2"/>
        <v>5109</v>
      </c>
      <c r="I72" s="376">
        <f t="shared" si="2"/>
        <v>1125763</v>
      </c>
      <c r="J72" s="375">
        <f t="shared" ref="J72:X72" si="3">SUM(J70:J71)</f>
        <v>122</v>
      </c>
      <c r="K72" s="369">
        <f t="shared" si="3"/>
        <v>472</v>
      </c>
      <c r="L72" s="376">
        <f t="shared" si="3"/>
        <v>123620</v>
      </c>
      <c r="M72" s="375">
        <f t="shared" si="3"/>
        <v>5666</v>
      </c>
      <c r="N72" s="369">
        <f t="shared" si="3"/>
        <v>5581</v>
      </c>
      <c r="O72" s="376">
        <f t="shared" si="3"/>
        <v>1249383</v>
      </c>
      <c r="P72" s="375">
        <f t="shared" si="3"/>
        <v>8</v>
      </c>
      <c r="Q72" s="369">
        <f t="shared" si="3"/>
        <v>4</v>
      </c>
      <c r="R72" s="376">
        <f t="shared" si="3"/>
        <v>1519</v>
      </c>
      <c r="S72" s="375">
        <f t="shared" si="3"/>
        <v>0</v>
      </c>
      <c r="T72" s="369">
        <f t="shared" si="3"/>
        <v>0</v>
      </c>
      <c r="U72" s="725">
        <f t="shared" si="3"/>
        <v>-14532</v>
      </c>
      <c r="V72" s="375">
        <f t="shared" si="3"/>
        <v>5674</v>
      </c>
      <c r="W72" s="369">
        <f t="shared" si="3"/>
        <v>5585</v>
      </c>
      <c r="X72" s="377">
        <f t="shared" si="3"/>
        <v>1236370</v>
      </c>
      <c r="Y72" s="49" t="s">
        <v>0</v>
      </c>
    </row>
    <row r="73" spans="1:25" ht="17.25" customHeight="1">
      <c r="A73" s="111"/>
      <c r="B73" s="766"/>
      <c r="C73" s="767"/>
      <c r="D73" s="378"/>
      <c r="E73" s="367"/>
      <c r="F73" s="379"/>
      <c r="G73" s="378"/>
      <c r="H73" s="367"/>
      <c r="I73" s="367"/>
      <c r="J73" s="378"/>
      <c r="K73" s="367"/>
      <c r="L73" s="367"/>
      <c r="M73" s="378"/>
      <c r="N73" s="367"/>
      <c r="O73" s="367"/>
      <c r="P73" s="378"/>
      <c r="Q73" s="367"/>
      <c r="R73" s="367"/>
      <c r="S73" s="378"/>
      <c r="T73" s="370"/>
      <c r="U73" s="380"/>
      <c r="V73" s="378"/>
      <c r="W73" s="370"/>
      <c r="X73" s="380"/>
      <c r="Y73" s="49" t="s">
        <v>0</v>
      </c>
    </row>
    <row r="74" spans="1:25">
      <c r="A74" s="109"/>
      <c r="B74" s="768" t="s">
        <v>422</v>
      </c>
      <c r="C74" s="769"/>
      <c r="D74" s="381"/>
      <c r="E74" s="368">
        <v>355</v>
      </c>
      <c r="F74" s="382"/>
      <c r="G74" s="381"/>
      <c r="H74" s="368">
        <v>355</v>
      </c>
      <c r="I74" s="368"/>
      <c r="J74" s="381"/>
      <c r="K74" s="368">
        <v>-4</v>
      </c>
      <c r="L74" s="368"/>
      <c r="M74" s="381"/>
      <c r="N74" s="368">
        <f>SUM(H74:M74)</f>
        <v>351</v>
      </c>
      <c r="O74" s="368"/>
      <c r="P74" s="381"/>
      <c r="Q74" s="368">
        <v>67</v>
      </c>
      <c r="R74" s="368"/>
      <c r="S74" s="381"/>
      <c r="T74" s="368">
        <v>0</v>
      </c>
      <c r="U74" s="383"/>
      <c r="V74" s="381"/>
      <c r="W74" s="368">
        <f>SUM(N74:V74)</f>
        <v>418</v>
      </c>
      <c r="X74" s="383"/>
      <c r="Y74" s="49" t="s">
        <v>0</v>
      </c>
    </row>
    <row r="75" spans="1:25">
      <c r="A75" s="107"/>
      <c r="B75" s="772" t="s">
        <v>271</v>
      </c>
      <c r="C75" s="773"/>
      <c r="D75" s="372"/>
      <c r="E75" s="366">
        <f>SUM(E72:E74)</f>
        <v>5565</v>
      </c>
      <c r="F75" s="374"/>
      <c r="G75" s="372"/>
      <c r="H75" s="366">
        <f>SUM(H72:H74)</f>
        <v>5464</v>
      </c>
      <c r="I75" s="366"/>
      <c r="J75" s="372"/>
      <c r="K75" s="366">
        <f>SUM(K72:K74)</f>
        <v>468</v>
      </c>
      <c r="L75" s="366"/>
      <c r="M75" s="372"/>
      <c r="N75" s="366">
        <f>SUM(N72:N74)</f>
        <v>5932</v>
      </c>
      <c r="O75" s="366"/>
      <c r="P75" s="372"/>
      <c r="Q75" s="366">
        <f>SUM(Q72:Q74)</f>
        <v>71</v>
      </c>
      <c r="R75" s="366"/>
      <c r="S75" s="372"/>
      <c r="T75" s="366">
        <f>SUM(T72:T74)</f>
        <v>0</v>
      </c>
      <c r="U75" s="384"/>
      <c r="V75" s="372"/>
      <c r="W75" s="366">
        <f>SUM(W72:W74)</f>
        <v>6003</v>
      </c>
      <c r="X75" s="384"/>
      <c r="Y75" s="49" t="s">
        <v>0</v>
      </c>
    </row>
    <row r="76" spans="1:25">
      <c r="A76" s="112"/>
      <c r="B76" s="780"/>
      <c r="C76" s="781"/>
      <c r="D76" s="378"/>
      <c r="E76" s="367"/>
      <c r="F76" s="379"/>
      <c r="G76" s="378"/>
      <c r="H76" s="367"/>
      <c r="I76" s="367"/>
      <c r="J76" s="378"/>
      <c r="K76" s="367"/>
      <c r="L76" s="367"/>
      <c r="M76" s="378"/>
      <c r="N76" s="367"/>
      <c r="O76" s="367"/>
      <c r="P76" s="378"/>
      <c r="Q76" s="367"/>
      <c r="R76" s="367"/>
      <c r="S76" s="378"/>
      <c r="T76" s="370"/>
      <c r="U76" s="380"/>
      <c r="V76" s="378"/>
      <c r="W76" s="370"/>
      <c r="X76" s="380"/>
      <c r="Y76" s="49" t="s">
        <v>0</v>
      </c>
    </row>
    <row r="77" spans="1:25">
      <c r="A77" s="107"/>
      <c r="B77" s="772" t="s">
        <v>269</v>
      </c>
      <c r="C77" s="773"/>
      <c r="D77" s="372"/>
      <c r="E77" s="366"/>
      <c r="F77" s="374"/>
      <c r="G77" s="372"/>
      <c r="H77" s="366"/>
      <c r="I77" s="366"/>
      <c r="J77" s="372"/>
      <c r="K77" s="366"/>
      <c r="L77" s="366"/>
      <c r="M77" s="372"/>
      <c r="N77" s="366"/>
      <c r="O77" s="366"/>
      <c r="P77" s="372"/>
      <c r="Q77" s="366"/>
      <c r="R77" s="366"/>
      <c r="S77" s="372"/>
      <c r="T77" s="366"/>
      <c r="U77" s="384"/>
      <c r="V77" s="372"/>
      <c r="W77" s="366"/>
      <c r="X77" s="384"/>
      <c r="Y77" s="49" t="s">
        <v>0</v>
      </c>
    </row>
    <row r="78" spans="1:25">
      <c r="A78" s="107"/>
      <c r="B78" s="113"/>
      <c r="C78" s="108" t="s">
        <v>57</v>
      </c>
      <c r="D78" s="372"/>
      <c r="E78" s="363">
        <v>639</v>
      </c>
      <c r="F78" s="363"/>
      <c r="G78" s="362"/>
      <c r="H78" s="363">
        <v>639</v>
      </c>
      <c r="I78" s="363"/>
      <c r="J78" s="362"/>
      <c r="K78" s="363">
        <v>0</v>
      </c>
      <c r="L78" s="363"/>
      <c r="M78" s="372"/>
      <c r="N78" s="363">
        <f>SUM(H78:K78)</f>
        <v>639</v>
      </c>
      <c r="O78" s="366"/>
      <c r="P78" s="372"/>
      <c r="Q78" s="366">
        <v>0</v>
      </c>
      <c r="R78" s="366"/>
      <c r="S78" s="372"/>
      <c r="T78" s="366">
        <v>0</v>
      </c>
      <c r="U78" s="384"/>
      <c r="V78" s="372"/>
      <c r="W78" s="371">
        <f>Q78+N78</f>
        <v>639</v>
      </c>
      <c r="X78" s="384"/>
      <c r="Y78" s="49" t="s">
        <v>0</v>
      </c>
    </row>
    <row r="79" spans="1:25">
      <c r="A79" s="109"/>
      <c r="B79" s="114"/>
      <c r="C79" s="115" t="s">
        <v>95</v>
      </c>
      <c r="D79" s="381"/>
      <c r="E79" s="364">
        <v>207</v>
      </c>
      <c r="F79" s="364"/>
      <c r="G79" s="365"/>
      <c r="H79" s="364">
        <v>207</v>
      </c>
      <c r="I79" s="364"/>
      <c r="J79" s="365"/>
      <c r="K79" s="364">
        <v>0</v>
      </c>
      <c r="L79" s="364"/>
      <c r="M79" s="381"/>
      <c r="N79" s="364">
        <f>SUM(H79:K79)</f>
        <v>207</v>
      </c>
      <c r="O79" s="368"/>
      <c r="P79" s="381"/>
      <c r="Q79" s="368">
        <v>0</v>
      </c>
      <c r="R79" s="368"/>
      <c r="S79" s="381"/>
      <c r="T79" s="368">
        <v>0</v>
      </c>
      <c r="U79" s="383"/>
      <c r="V79" s="381"/>
      <c r="W79" s="368">
        <f>Q79+N79</f>
        <v>207</v>
      </c>
      <c r="X79" s="383"/>
      <c r="Y79" s="49" t="s">
        <v>0</v>
      </c>
    </row>
    <row r="80" spans="1:25">
      <c r="A80" s="185"/>
      <c r="B80" s="778" t="s">
        <v>270</v>
      </c>
      <c r="C80" s="779"/>
      <c r="D80" s="709"/>
      <c r="E80" s="710">
        <f>E79+E78+E75</f>
        <v>6411</v>
      </c>
      <c r="F80" s="711"/>
      <c r="G80" s="709"/>
      <c r="H80" s="710">
        <f>H79+H78+H75</f>
        <v>6310</v>
      </c>
      <c r="I80" s="710"/>
      <c r="J80" s="709"/>
      <c r="K80" s="710">
        <f>K79+K78+K75</f>
        <v>468</v>
      </c>
      <c r="L80" s="710"/>
      <c r="M80" s="709"/>
      <c r="N80" s="710">
        <f>N79+N78+N75</f>
        <v>6778</v>
      </c>
      <c r="O80" s="710"/>
      <c r="P80" s="709"/>
      <c r="Q80" s="710">
        <f>Q79+Q78+Q75</f>
        <v>71</v>
      </c>
      <c r="R80" s="710"/>
      <c r="S80" s="709"/>
      <c r="T80" s="710">
        <f>T79+T78+T75</f>
        <v>0</v>
      </c>
      <c r="U80" s="712"/>
      <c r="V80" s="381"/>
      <c r="W80" s="368">
        <f>W79+W78+W75</f>
        <v>6849</v>
      </c>
      <c r="X80" s="383"/>
      <c r="Y80" s="49" t="s">
        <v>0</v>
      </c>
    </row>
    <row r="81" spans="1:25" ht="37.5" customHeight="1">
      <c r="A81" s="731" t="s">
        <v>430</v>
      </c>
      <c r="B81" s="731"/>
      <c r="C81" s="731"/>
      <c r="D81" s="731"/>
      <c r="E81" s="731"/>
      <c r="F81" s="731"/>
      <c r="G81" s="731"/>
      <c r="H81" s="731"/>
      <c r="I81" s="731"/>
      <c r="J81" s="731"/>
      <c r="K81" s="731"/>
      <c r="L81" s="731"/>
      <c r="M81" s="731"/>
      <c r="N81" s="731"/>
      <c r="O81" s="731"/>
      <c r="P81" s="731"/>
      <c r="Q81" s="731"/>
      <c r="R81" s="731"/>
      <c r="S81" s="731"/>
      <c r="T81" s="731"/>
      <c r="U81" s="731"/>
      <c r="Y81" s="49" t="s">
        <v>0</v>
      </c>
    </row>
    <row r="82" spans="1:25" s="361" customFormat="1" ht="15.75" customHeight="1">
      <c r="A82" s="731" t="s">
        <v>431</v>
      </c>
      <c r="B82" s="731"/>
      <c r="C82" s="731"/>
      <c r="D82" s="731"/>
      <c r="E82" s="731"/>
      <c r="F82" s="731"/>
      <c r="G82" s="731"/>
      <c r="H82" s="731"/>
      <c r="I82" s="731"/>
      <c r="J82" s="731"/>
      <c r="K82" s="731"/>
      <c r="L82" s="731"/>
      <c r="M82" s="731"/>
      <c r="N82" s="731"/>
      <c r="O82" s="731"/>
      <c r="P82" s="731"/>
      <c r="Q82" s="731"/>
      <c r="R82" s="731"/>
      <c r="S82" s="731"/>
      <c r="T82" s="731"/>
      <c r="U82" s="731"/>
      <c r="V82" s="360"/>
      <c r="W82" s="360"/>
      <c r="X82" s="360"/>
      <c r="Y82" s="49" t="s">
        <v>0</v>
      </c>
    </row>
    <row r="83" spans="1:25" ht="15.75" customHeight="1">
      <c r="A83" s="731" t="s">
        <v>429</v>
      </c>
      <c r="B83" s="731"/>
      <c r="C83" s="731"/>
      <c r="D83" s="731"/>
      <c r="E83" s="731"/>
      <c r="F83" s="731"/>
      <c r="G83" s="731"/>
      <c r="H83" s="731"/>
      <c r="I83" s="731"/>
      <c r="J83" s="731"/>
      <c r="K83" s="731"/>
      <c r="L83" s="731"/>
      <c r="M83" s="731"/>
      <c r="N83" s="731"/>
      <c r="O83" s="731"/>
      <c r="P83" s="731"/>
      <c r="Q83" s="731"/>
      <c r="R83" s="731"/>
      <c r="S83" s="731"/>
      <c r="T83" s="731"/>
      <c r="U83" s="731"/>
      <c r="Y83" s="49" t="s">
        <v>23</v>
      </c>
    </row>
    <row r="84" spans="1:25" s="335" customFormat="1" ht="15">
      <c r="D84" s="336"/>
      <c r="E84" s="336"/>
      <c r="F84" s="336"/>
      <c r="G84" s="336"/>
      <c r="H84" s="336"/>
      <c r="I84" s="336"/>
      <c r="J84" s="336"/>
      <c r="K84" s="336"/>
      <c r="L84" s="336"/>
      <c r="M84" s="336"/>
      <c r="N84" s="336"/>
      <c r="O84" s="336"/>
      <c r="P84" s="336"/>
      <c r="Q84" s="336"/>
      <c r="R84" s="336"/>
      <c r="S84" s="336"/>
      <c r="T84" s="336"/>
      <c r="U84" s="336"/>
      <c r="V84" s="336"/>
      <c r="W84" s="336"/>
      <c r="X84" s="336"/>
      <c r="Y84" s="337"/>
    </row>
    <row r="85" spans="1:25" s="335" customFormat="1" ht="15">
      <c r="D85" s="336"/>
      <c r="E85" s="336"/>
      <c r="F85" s="336"/>
      <c r="G85" s="336"/>
      <c r="H85" s="336"/>
      <c r="I85" s="336"/>
      <c r="J85" s="336"/>
      <c r="K85" s="336"/>
      <c r="L85" s="336"/>
      <c r="M85" s="336"/>
      <c r="N85" s="336"/>
      <c r="O85" s="336"/>
      <c r="P85" s="336"/>
      <c r="Q85" s="336"/>
      <c r="R85" s="336"/>
      <c r="S85" s="336"/>
      <c r="T85" s="336"/>
      <c r="U85" s="336"/>
      <c r="V85" s="336"/>
      <c r="W85" s="336"/>
      <c r="X85" s="336"/>
      <c r="Y85" s="337"/>
    </row>
    <row r="86" spans="1:25">
      <c r="W86" s="24"/>
      <c r="X86" s="24"/>
    </row>
    <row r="87" spans="1:25">
      <c r="K87" s="36"/>
    </row>
  </sheetData>
  <customSheetViews>
    <customSheetView guid="{9A28834D-6BE2-4884-BE97-BE00946B08BB}" scale="65" showPageBreaks="1" showGridLines="0" outlineSymbols="0" fitToPage="1" printArea="1" hiddenRows="1" view="pageBreakPreview" topLeftCell="A57">
      <selection activeCell="A98" sqref="A98:U98"/>
      <rowBreaks count="1" manualBreakCount="1">
        <brk id="60" max="24" man="1"/>
      </rowBreaks>
      <pageMargins left="0.5" right="0.4" top="0.5" bottom="0.25" header="0" footer="0"/>
      <printOptions horizontalCentered="1"/>
      <pageSetup scale="51" firstPageNumber="8" fitToHeight="0" orientation="landscape" useFirstPageNumber="1" r:id="rId1"/>
      <headerFooter alignWithMargins="0">
        <oddFooter>&amp;C&amp;"Times New Roman,Regular"Exhibit B - Summary of Requirements - Salaries and Expenses</oddFooter>
      </headerFooter>
    </customSheetView>
  </customSheetViews>
  <mergeCells count="67">
    <mergeCell ref="A10:X10"/>
    <mergeCell ref="A1:X1"/>
    <mergeCell ref="A2:X2"/>
    <mergeCell ref="A3:X3"/>
    <mergeCell ref="A8:X8"/>
    <mergeCell ref="A9:X9"/>
    <mergeCell ref="A4:X4"/>
    <mergeCell ref="A5:X5"/>
    <mergeCell ref="A6:X6"/>
    <mergeCell ref="A7:X7"/>
    <mergeCell ref="A11:U13"/>
    <mergeCell ref="X12:X13"/>
    <mergeCell ref="A19:U19"/>
    <mergeCell ref="A28:U28"/>
    <mergeCell ref="A22:U22"/>
    <mergeCell ref="A18:U18"/>
    <mergeCell ref="V12:V13"/>
    <mergeCell ref="W12:W13"/>
    <mergeCell ref="A17:U17"/>
    <mergeCell ref="A16:U16"/>
    <mergeCell ref="V11:X11"/>
    <mergeCell ref="A29:U29"/>
    <mergeCell ref="A20:U20"/>
    <mergeCell ref="A21:U21"/>
    <mergeCell ref="A24:U24"/>
    <mergeCell ref="A25:U25"/>
    <mergeCell ref="A23:U23"/>
    <mergeCell ref="A26:U26"/>
    <mergeCell ref="A27:U27"/>
    <mergeCell ref="B77:C77"/>
    <mergeCell ref="B80:C80"/>
    <mergeCell ref="B76:C76"/>
    <mergeCell ref="B65:C65"/>
    <mergeCell ref="B66:C66"/>
    <mergeCell ref="B67:C67"/>
    <mergeCell ref="A30:U30"/>
    <mergeCell ref="A34:U34"/>
    <mergeCell ref="A31:U31"/>
    <mergeCell ref="A81:U81"/>
    <mergeCell ref="A82:U82"/>
    <mergeCell ref="A33:U33"/>
    <mergeCell ref="B73:C73"/>
    <mergeCell ref="B74:C74"/>
    <mergeCell ref="B69:C69"/>
    <mergeCell ref="B75:C75"/>
    <mergeCell ref="A54:X54"/>
    <mergeCell ref="A37:U37"/>
    <mergeCell ref="A36:U36"/>
    <mergeCell ref="A38:U38"/>
    <mergeCell ref="M62:O63"/>
    <mergeCell ref="P62:R63"/>
    <mergeCell ref="A83:U83"/>
    <mergeCell ref="A35:U35"/>
    <mergeCell ref="A41:U41"/>
    <mergeCell ref="A39:U39"/>
    <mergeCell ref="A62:C64"/>
    <mergeCell ref="A55:X55"/>
    <mergeCell ref="A56:X56"/>
    <mergeCell ref="A42:U42"/>
    <mergeCell ref="A40:U40"/>
    <mergeCell ref="A53:X53"/>
    <mergeCell ref="V62:X63"/>
    <mergeCell ref="D62:F63"/>
    <mergeCell ref="G62:I63"/>
    <mergeCell ref="J62:L63"/>
    <mergeCell ref="A46:U46"/>
    <mergeCell ref="S62:U63"/>
  </mergeCells>
  <phoneticPr fontId="0" type="noConversion"/>
  <printOptions horizontalCentered="1"/>
  <pageMargins left="0.5" right="0.4" top="0.5" bottom="0.25" header="0" footer="0"/>
  <pageSetup scale="53" firstPageNumber="8" fitToHeight="0" orientation="landscape" useFirstPageNumber="1" r:id="rId2"/>
  <headerFooter alignWithMargins="0">
    <oddFooter>&amp;C&amp;"Times New Roman,Regular"Exhibit B - Summary of Requirements - Salaries and Expenses</oddFooter>
  </headerFooter>
  <rowBreaks count="1" manualBreakCount="1">
    <brk id="48" max="24" man="1"/>
  </rowBreaks>
  <ignoredErrors>
    <ignoredError sqref="W69 W65:W67" formula="1"/>
  </ignoredErrors>
</worksheet>
</file>

<file path=xl/worksheets/sheet20.xml><?xml version="1.0" encoding="utf-8"?>
<worksheet xmlns="http://schemas.openxmlformats.org/spreadsheetml/2006/main" xmlns:r="http://schemas.openxmlformats.org/officeDocument/2006/relationships">
  <sheetPr codeName="Sheet8"/>
  <dimension ref="A1:R60"/>
  <sheetViews>
    <sheetView view="pageBreakPreview" zoomScaleNormal="100" zoomScaleSheetLayoutView="100" workbookViewId="0">
      <selection activeCell="B17" sqref="B17"/>
    </sheetView>
  </sheetViews>
  <sheetFormatPr defaultRowHeight="12.75"/>
  <cols>
    <col min="1" max="1" width="10.6640625" style="128" customWidth="1"/>
    <col min="2" max="2" width="38.33203125" style="128" customWidth="1"/>
    <col min="3" max="3" width="9.5546875" style="130" customWidth="1"/>
    <col min="4" max="8" width="9.88671875" style="130" customWidth="1"/>
    <col min="9" max="16384" width="8.88671875" style="128"/>
  </cols>
  <sheetData>
    <row r="1" spans="1:10" ht="15.75">
      <c r="A1" s="1051" t="s">
        <v>112</v>
      </c>
      <c r="B1" s="1051"/>
      <c r="C1" s="1051"/>
      <c r="D1" s="1051"/>
      <c r="E1" s="1051"/>
      <c r="F1" s="1051"/>
      <c r="G1" s="1051"/>
      <c r="H1" s="1051"/>
      <c r="I1" s="153" t="s">
        <v>0</v>
      </c>
      <c r="J1" s="126"/>
    </row>
    <row r="2" spans="1:10" ht="15.75">
      <c r="A2" s="1050"/>
      <c r="B2" s="1050"/>
      <c r="C2" s="1050"/>
      <c r="D2" s="1050"/>
      <c r="E2" s="1050"/>
      <c r="F2" s="1050"/>
      <c r="G2" s="1050"/>
      <c r="H2" s="1050"/>
      <c r="I2" s="126"/>
      <c r="J2" s="126"/>
    </row>
    <row r="3" spans="1:10" ht="15.75">
      <c r="A3" s="1052" t="s">
        <v>211</v>
      </c>
      <c r="B3" s="1052"/>
      <c r="C3" s="1052"/>
      <c r="D3" s="1052"/>
      <c r="E3" s="1052"/>
      <c r="F3" s="1052"/>
      <c r="G3" s="1052"/>
      <c r="H3" s="1052"/>
      <c r="I3" s="153" t="s">
        <v>0</v>
      </c>
      <c r="J3" s="129"/>
    </row>
    <row r="4" spans="1:10" ht="15.75">
      <c r="A4" s="1052" t="s">
        <v>266</v>
      </c>
      <c r="B4" s="1052"/>
      <c r="C4" s="1052"/>
      <c r="D4" s="1052"/>
      <c r="E4" s="1052"/>
      <c r="F4" s="1052"/>
      <c r="G4" s="1052"/>
      <c r="H4" s="1052"/>
      <c r="I4" s="153" t="s">
        <v>0</v>
      </c>
      <c r="J4" s="129"/>
    </row>
    <row r="5" spans="1:10" ht="15.75">
      <c r="A5" s="1050" t="s">
        <v>265</v>
      </c>
      <c r="B5" s="1050"/>
      <c r="C5" s="1050"/>
      <c r="D5" s="1050"/>
      <c r="E5" s="1050"/>
      <c r="F5" s="1050"/>
      <c r="G5" s="1050"/>
      <c r="H5" s="1050"/>
      <c r="I5" s="153" t="s">
        <v>0</v>
      </c>
      <c r="J5" s="129"/>
    </row>
    <row r="6" spans="1:10" ht="15.75">
      <c r="A6" s="1074"/>
      <c r="B6" s="1074"/>
      <c r="C6" s="1074"/>
      <c r="D6" s="1074"/>
      <c r="E6" s="1074"/>
      <c r="F6" s="1074"/>
      <c r="G6" s="1074"/>
      <c r="H6" s="1074"/>
    </row>
    <row r="7" spans="1:10">
      <c r="A7" s="1053"/>
      <c r="B7" s="1053"/>
      <c r="C7" s="1053"/>
      <c r="D7" s="1053"/>
      <c r="E7" s="1053"/>
      <c r="F7" s="1053"/>
      <c r="G7" s="1053"/>
      <c r="H7" s="1053"/>
    </row>
    <row r="8" spans="1:10">
      <c r="A8" s="217" t="s">
        <v>113</v>
      </c>
      <c r="B8" s="216"/>
      <c r="C8" s="1055"/>
      <c r="D8" s="1055"/>
      <c r="E8" s="1055"/>
      <c r="F8" s="1055"/>
      <c r="G8" s="1055"/>
      <c r="H8" s="1055"/>
      <c r="I8" s="153" t="s">
        <v>0</v>
      </c>
    </row>
    <row r="9" spans="1:10">
      <c r="A9" s="217" t="s">
        <v>114</v>
      </c>
      <c r="B9" s="218" t="s">
        <v>184</v>
      </c>
      <c r="C9" s="1055"/>
      <c r="D9" s="1055"/>
      <c r="E9" s="1055"/>
      <c r="F9" s="1055"/>
      <c r="G9" s="1055"/>
      <c r="H9" s="1055"/>
      <c r="I9" s="153" t="s">
        <v>0</v>
      </c>
    </row>
    <row r="10" spans="1:10">
      <c r="A10" s="217" t="s">
        <v>115</v>
      </c>
      <c r="B10" s="218" t="s">
        <v>209</v>
      </c>
      <c r="C10" s="1055"/>
      <c r="D10" s="1055"/>
      <c r="E10" s="1055"/>
      <c r="F10" s="1055"/>
      <c r="G10" s="1055"/>
      <c r="H10" s="1055"/>
      <c r="I10" s="153" t="s">
        <v>0</v>
      </c>
    </row>
    <row r="11" spans="1:10">
      <c r="A11" s="1075"/>
      <c r="B11" s="1075"/>
      <c r="C11" s="1075"/>
      <c r="D11" s="1075"/>
      <c r="E11" s="1075"/>
      <c r="F11" s="1075"/>
      <c r="G11" s="1075"/>
      <c r="H11" s="1075"/>
    </row>
    <row r="12" spans="1:10" ht="12.75" customHeight="1">
      <c r="A12" s="1058" t="s">
        <v>117</v>
      </c>
      <c r="B12" s="1059"/>
      <c r="C12" s="1069" t="s">
        <v>323</v>
      </c>
      <c r="D12" s="1067" t="s">
        <v>316</v>
      </c>
      <c r="E12" s="1067" t="s">
        <v>118</v>
      </c>
      <c r="F12" s="1067" t="s">
        <v>119</v>
      </c>
      <c r="G12" s="1067" t="s">
        <v>317</v>
      </c>
      <c r="H12" s="1065" t="s">
        <v>324</v>
      </c>
      <c r="I12" s="153" t="s">
        <v>0</v>
      </c>
    </row>
    <row r="13" spans="1:10" ht="12.75" customHeight="1">
      <c r="A13" s="1060"/>
      <c r="B13" s="1061"/>
      <c r="C13" s="1070"/>
      <c r="D13" s="1068"/>
      <c r="E13" s="1068"/>
      <c r="F13" s="1068"/>
      <c r="G13" s="1068"/>
      <c r="H13" s="1066"/>
      <c r="I13" s="153" t="s">
        <v>0</v>
      </c>
    </row>
    <row r="14" spans="1:10">
      <c r="A14" s="227" t="s">
        <v>120</v>
      </c>
      <c r="B14" s="219"/>
      <c r="C14" s="246"/>
      <c r="D14" s="246"/>
      <c r="E14" s="246"/>
      <c r="F14" s="246"/>
      <c r="G14" s="246"/>
      <c r="H14" s="247"/>
      <c r="I14" s="153" t="s">
        <v>0</v>
      </c>
    </row>
    <row r="15" spans="1:10">
      <c r="A15" s="228" t="s">
        <v>121</v>
      </c>
      <c r="B15" s="220" t="s">
        <v>122</v>
      </c>
      <c r="C15" s="248"/>
      <c r="D15" s="248"/>
      <c r="E15" s="248"/>
      <c r="F15" s="248"/>
      <c r="G15" s="248"/>
      <c r="H15" s="249"/>
      <c r="I15" s="153" t="s">
        <v>0</v>
      </c>
    </row>
    <row r="16" spans="1:10">
      <c r="A16" s="229" t="s">
        <v>123</v>
      </c>
      <c r="B16" s="222" t="s">
        <v>186</v>
      </c>
      <c r="C16" s="250"/>
      <c r="D16" s="250"/>
      <c r="E16" s="250"/>
      <c r="F16" s="250"/>
      <c r="G16" s="250"/>
      <c r="H16" s="251"/>
      <c r="I16" s="153" t="s">
        <v>0</v>
      </c>
    </row>
    <row r="17" spans="1:9">
      <c r="A17" s="229" t="s">
        <v>123</v>
      </c>
      <c r="B17" s="222" t="s">
        <v>127</v>
      </c>
      <c r="C17" s="250"/>
      <c r="D17" s="250"/>
      <c r="E17" s="250"/>
      <c r="F17" s="250"/>
      <c r="G17" s="250"/>
      <c r="H17" s="251"/>
      <c r="I17" s="153" t="s">
        <v>0</v>
      </c>
    </row>
    <row r="18" spans="1:9">
      <c r="A18" s="229" t="s">
        <v>129</v>
      </c>
      <c r="B18" s="222" t="s">
        <v>128</v>
      </c>
      <c r="C18" s="250"/>
      <c r="D18" s="250"/>
      <c r="E18" s="250"/>
      <c r="F18" s="250"/>
      <c r="G18" s="250"/>
      <c r="H18" s="251"/>
      <c r="I18" s="153" t="s">
        <v>0</v>
      </c>
    </row>
    <row r="19" spans="1:9">
      <c r="A19" s="229" t="s">
        <v>129</v>
      </c>
      <c r="B19" s="222" t="s">
        <v>187</v>
      </c>
      <c r="C19" s="250"/>
      <c r="D19" s="250"/>
      <c r="E19" s="250"/>
      <c r="F19" s="250"/>
      <c r="G19" s="250"/>
      <c r="H19" s="251"/>
      <c r="I19" s="153" t="s">
        <v>0</v>
      </c>
    </row>
    <row r="20" spans="1:9">
      <c r="A20" s="227" t="s">
        <v>130</v>
      </c>
      <c r="B20" s="219"/>
      <c r="C20" s="246"/>
      <c r="D20" s="246"/>
      <c r="E20" s="246"/>
      <c r="F20" s="246"/>
      <c r="G20" s="246"/>
      <c r="H20" s="247"/>
      <c r="I20" s="153" t="s">
        <v>0</v>
      </c>
    </row>
    <row r="21" spans="1:9">
      <c r="A21" s="229" t="s">
        <v>131</v>
      </c>
      <c r="B21" s="222" t="s">
        <v>132</v>
      </c>
      <c r="C21" s="250"/>
      <c r="D21" s="250"/>
      <c r="E21" s="250"/>
      <c r="F21" s="250"/>
      <c r="G21" s="250"/>
      <c r="H21" s="251"/>
      <c r="I21" s="153" t="s">
        <v>0</v>
      </c>
    </row>
    <row r="22" spans="1:9">
      <c r="A22" s="223">
        <v>22</v>
      </c>
      <c r="B22" s="222" t="s">
        <v>133</v>
      </c>
      <c r="C22" s="250"/>
      <c r="D22" s="250"/>
      <c r="E22" s="250"/>
      <c r="F22" s="250"/>
      <c r="G22" s="250"/>
      <c r="H22" s="251"/>
      <c r="I22" s="153" t="s">
        <v>0</v>
      </c>
    </row>
    <row r="23" spans="1:9">
      <c r="A23" s="229" t="s">
        <v>189</v>
      </c>
      <c r="B23" s="222" t="s">
        <v>190</v>
      </c>
      <c r="C23" s="250"/>
      <c r="D23" s="250"/>
      <c r="E23" s="250"/>
      <c r="F23" s="250"/>
      <c r="G23" s="250"/>
      <c r="H23" s="251"/>
      <c r="I23" s="153" t="s">
        <v>0</v>
      </c>
    </row>
    <row r="24" spans="1:9">
      <c r="A24" s="221">
        <v>23.2</v>
      </c>
      <c r="B24" s="222" t="s">
        <v>191</v>
      </c>
      <c r="C24" s="250"/>
      <c r="D24" s="250"/>
      <c r="E24" s="250"/>
      <c r="F24" s="250"/>
      <c r="G24" s="250"/>
      <c r="H24" s="251"/>
      <c r="I24" s="153" t="s">
        <v>0</v>
      </c>
    </row>
    <row r="25" spans="1:9">
      <c r="A25" s="229" t="s">
        <v>136</v>
      </c>
      <c r="B25" s="222" t="s">
        <v>137</v>
      </c>
      <c r="C25" s="250"/>
      <c r="D25" s="250"/>
      <c r="E25" s="250"/>
      <c r="F25" s="250"/>
      <c r="G25" s="250"/>
      <c r="H25" s="251"/>
      <c r="I25" s="153" t="s">
        <v>0</v>
      </c>
    </row>
    <row r="26" spans="1:9">
      <c r="A26" s="229" t="s">
        <v>136</v>
      </c>
      <c r="B26" s="222" t="s">
        <v>138</v>
      </c>
      <c r="C26" s="250"/>
      <c r="D26" s="250"/>
      <c r="E26" s="250"/>
      <c r="F26" s="250"/>
      <c r="G26" s="250"/>
      <c r="H26" s="251"/>
      <c r="I26" s="153" t="s">
        <v>0</v>
      </c>
    </row>
    <row r="27" spans="1:9">
      <c r="A27" s="229" t="s">
        <v>136</v>
      </c>
      <c r="B27" s="222" t="s">
        <v>139</v>
      </c>
      <c r="C27" s="250"/>
      <c r="D27" s="250"/>
      <c r="E27" s="250"/>
      <c r="F27" s="250"/>
      <c r="G27" s="250"/>
      <c r="H27" s="251"/>
      <c r="I27" s="153" t="s">
        <v>0</v>
      </c>
    </row>
    <row r="28" spans="1:9">
      <c r="A28" s="229" t="s">
        <v>136</v>
      </c>
      <c r="B28" s="222" t="s">
        <v>192</v>
      </c>
      <c r="C28" s="250"/>
      <c r="D28" s="250"/>
      <c r="E28" s="250"/>
      <c r="F28" s="250"/>
      <c r="G28" s="250"/>
      <c r="H28" s="251"/>
      <c r="I28" s="153" t="s">
        <v>0</v>
      </c>
    </row>
    <row r="29" spans="1:9">
      <c r="A29" s="229" t="s">
        <v>136</v>
      </c>
      <c r="B29" s="222" t="s">
        <v>193</v>
      </c>
      <c r="C29" s="250"/>
      <c r="D29" s="250"/>
      <c r="E29" s="250"/>
      <c r="F29" s="250"/>
      <c r="G29" s="250"/>
      <c r="H29" s="251"/>
      <c r="I29" s="153" t="s">
        <v>0</v>
      </c>
    </row>
    <row r="30" spans="1:9">
      <c r="A30" s="229" t="s">
        <v>194</v>
      </c>
      <c r="B30" s="222" t="s">
        <v>195</v>
      </c>
      <c r="C30" s="250"/>
      <c r="D30" s="250"/>
      <c r="E30" s="250"/>
      <c r="F30" s="250"/>
      <c r="G30" s="250"/>
      <c r="H30" s="251"/>
      <c r="I30" s="153" t="s">
        <v>0</v>
      </c>
    </row>
    <row r="31" spans="1:9">
      <c r="A31" s="221">
        <v>25.3</v>
      </c>
      <c r="B31" s="222" t="s">
        <v>140</v>
      </c>
      <c r="C31" s="250"/>
      <c r="D31" s="250"/>
      <c r="E31" s="250"/>
      <c r="F31" s="250"/>
      <c r="G31" s="250"/>
      <c r="H31" s="251"/>
      <c r="I31" s="153" t="s">
        <v>0</v>
      </c>
    </row>
    <row r="32" spans="1:9">
      <c r="A32" s="221">
        <v>25.3</v>
      </c>
      <c r="B32" s="222" t="s">
        <v>141</v>
      </c>
      <c r="C32" s="250"/>
      <c r="D32" s="250"/>
      <c r="E32" s="250"/>
      <c r="F32" s="250"/>
      <c r="G32" s="250"/>
      <c r="H32" s="251"/>
      <c r="I32" s="153" t="s">
        <v>0</v>
      </c>
    </row>
    <row r="33" spans="1:9">
      <c r="A33" s="221">
        <v>25.3</v>
      </c>
      <c r="B33" s="222" t="s">
        <v>142</v>
      </c>
      <c r="C33" s="250"/>
      <c r="D33" s="250"/>
      <c r="E33" s="250"/>
      <c r="F33" s="250"/>
      <c r="G33" s="250"/>
      <c r="H33" s="251"/>
      <c r="I33" s="153" t="s">
        <v>0</v>
      </c>
    </row>
    <row r="34" spans="1:9">
      <c r="A34" s="221">
        <v>25.3</v>
      </c>
      <c r="B34" s="222" t="s">
        <v>143</v>
      </c>
      <c r="C34" s="250"/>
      <c r="D34" s="250"/>
      <c r="E34" s="250"/>
      <c r="F34" s="250"/>
      <c r="G34" s="250"/>
      <c r="H34" s="251"/>
      <c r="I34" s="153" t="s">
        <v>0</v>
      </c>
    </row>
    <row r="35" spans="1:9">
      <c r="A35" s="221">
        <v>25.3</v>
      </c>
      <c r="B35" s="222" t="s">
        <v>144</v>
      </c>
      <c r="C35" s="250"/>
      <c r="D35" s="250"/>
      <c r="E35" s="250"/>
      <c r="F35" s="250"/>
      <c r="G35" s="250"/>
      <c r="H35" s="251"/>
      <c r="I35" s="153" t="s">
        <v>0</v>
      </c>
    </row>
    <row r="36" spans="1:9">
      <c r="A36" s="221">
        <v>25.3</v>
      </c>
      <c r="B36" s="222" t="s">
        <v>197</v>
      </c>
      <c r="C36" s="250"/>
      <c r="D36" s="250"/>
      <c r="E36" s="250"/>
      <c r="F36" s="250"/>
      <c r="G36" s="250"/>
      <c r="H36" s="251"/>
      <c r="I36" s="153" t="s">
        <v>0</v>
      </c>
    </row>
    <row r="37" spans="1:9">
      <c r="A37" s="229" t="s">
        <v>145</v>
      </c>
      <c r="B37" s="222" t="s">
        <v>151</v>
      </c>
      <c r="C37" s="250"/>
      <c r="D37" s="250"/>
      <c r="E37" s="250"/>
      <c r="F37" s="250"/>
      <c r="G37" s="250"/>
      <c r="H37" s="251"/>
      <c r="I37" s="153" t="s">
        <v>0</v>
      </c>
    </row>
    <row r="38" spans="1:9">
      <c r="A38" s="331" t="s">
        <v>152</v>
      </c>
      <c r="B38" s="330" t="s">
        <v>153</v>
      </c>
      <c r="C38" s="255"/>
      <c r="D38" s="255"/>
      <c r="E38" s="255"/>
      <c r="F38" s="255"/>
      <c r="G38" s="255"/>
      <c r="H38" s="256"/>
      <c r="I38" s="153" t="s">
        <v>0</v>
      </c>
    </row>
    <row r="39" spans="1:9">
      <c r="A39" s="227" t="s">
        <v>159</v>
      </c>
      <c r="B39" s="219"/>
      <c r="C39" s="246"/>
      <c r="D39" s="246"/>
      <c r="E39" s="246"/>
      <c r="F39" s="246"/>
      <c r="G39" s="246"/>
      <c r="H39" s="247"/>
      <c r="I39" s="153" t="s">
        <v>0</v>
      </c>
    </row>
    <row r="40" spans="1:9">
      <c r="A40" s="229" t="s">
        <v>160</v>
      </c>
      <c r="B40" s="222" t="s">
        <v>198</v>
      </c>
      <c r="C40" s="250"/>
      <c r="D40" s="250"/>
      <c r="E40" s="250"/>
      <c r="F40" s="250"/>
      <c r="G40" s="250"/>
      <c r="H40" s="251"/>
      <c r="I40" s="153" t="s">
        <v>0</v>
      </c>
    </row>
    <row r="41" spans="1:9">
      <c r="A41" s="225" t="s">
        <v>160</v>
      </c>
      <c r="B41" s="224" t="s">
        <v>165</v>
      </c>
      <c r="C41" s="250"/>
      <c r="D41" s="250"/>
      <c r="E41" s="250"/>
      <c r="F41" s="250"/>
      <c r="G41" s="250"/>
      <c r="H41" s="251"/>
      <c r="I41" s="153" t="s">
        <v>0</v>
      </c>
    </row>
    <row r="42" spans="1:9">
      <c r="A42" s="225" t="s">
        <v>160</v>
      </c>
      <c r="B42" s="224" t="s">
        <v>166</v>
      </c>
      <c r="C42" s="250"/>
      <c r="D42" s="250"/>
      <c r="E42" s="250"/>
      <c r="F42" s="250"/>
      <c r="G42" s="250"/>
      <c r="H42" s="251"/>
      <c r="I42" s="153" t="s">
        <v>0</v>
      </c>
    </row>
    <row r="43" spans="1:9">
      <c r="A43" s="225" t="s">
        <v>160</v>
      </c>
      <c r="B43" s="224" t="s">
        <v>210</v>
      </c>
      <c r="C43" s="250"/>
      <c r="D43" s="250"/>
      <c r="E43" s="250"/>
      <c r="F43" s="250"/>
      <c r="G43" s="250"/>
      <c r="H43" s="251"/>
      <c r="I43" s="153" t="s">
        <v>0</v>
      </c>
    </row>
    <row r="44" spans="1:9">
      <c r="A44" s="225" t="s">
        <v>160</v>
      </c>
      <c r="B44" s="224" t="s">
        <v>167</v>
      </c>
      <c r="C44" s="250"/>
      <c r="D44" s="250"/>
      <c r="E44" s="250"/>
      <c r="F44" s="250"/>
      <c r="G44" s="250"/>
      <c r="H44" s="251"/>
      <c r="I44" s="153" t="s">
        <v>0</v>
      </c>
    </row>
    <row r="45" spans="1:9">
      <c r="A45" s="225" t="s">
        <v>160</v>
      </c>
      <c r="B45" s="224" t="s">
        <v>168</v>
      </c>
      <c r="C45" s="250"/>
      <c r="D45" s="250"/>
      <c r="E45" s="250"/>
      <c r="F45" s="250"/>
      <c r="G45" s="250"/>
      <c r="H45" s="251"/>
      <c r="I45" s="153" t="s">
        <v>0</v>
      </c>
    </row>
    <row r="46" spans="1:9">
      <c r="A46" s="225" t="s">
        <v>160</v>
      </c>
      <c r="B46" s="224" t="s">
        <v>169</v>
      </c>
      <c r="C46" s="250"/>
      <c r="D46" s="250"/>
      <c r="E46" s="250"/>
      <c r="F46" s="250"/>
      <c r="G46" s="250"/>
      <c r="H46" s="251"/>
      <c r="I46" s="153" t="s">
        <v>0</v>
      </c>
    </row>
    <row r="47" spans="1:9">
      <c r="A47" s="229" t="s">
        <v>160</v>
      </c>
      <c r="B47" s="222" t="s">
        <v>170</v>
      </c>
      <c r="C47" s="250"/>
      <c r="D47" s="250"/>
      <c r="E47" s="252"/>
      <c r="F47" s="252"/>
      <c r="G47" s="250"/>
      <c r="H47" s="251"/>
      <c r="I47" s="153" t="s">
        <v>0</v>
      </c>
    </row>
    <row r="48" spans="1:9">
      <c r="A48" s="229" t="s">
        <v>200</v>
      </c>
      <c r="B48" s="222" t="s">
        <v>201</v>
      </c>
      <c r="C48" s="250"/>
      <c r="D48" s="250"/>
      <c r="E48" s="252"/>
      <c r="F48" s="252"/>
      <c r="G48" s="250"/>
      <c r="H48" s="251"/>
      <c r="I48" s="153" t="s">
        <v>0</v>
      </c>
    </row>
    <row r="49" spans="1:18">
      <c r="A49" s="227" t="s">
        <v>172</v>
      </c>
      <c r="B49" s="219"/>
      <c r="C49" s="246"/>
      <c r="D49" s="246"/>
      <c r="E49" s="246"/>
      <c r="F49" s="246"/>
      <c r="G49" s="246"/>
      <c r="H49" s="247"/>
      <c r="I49" s="153" t="s">
        <v>0</v>
      </c>
    </row>
    <row r="50" spans="1:18">
      <c r="A50" s="229" t="s">
        <v>173</v>
      </c>
      <c r="B50" s="222" t="s">
        <v>208</v>
      </c>
      <c r="C50" s="250"/>
      <c r="D50" s="250"/>
      <c r="E50" s="250"/>
      <c r="F50" s="250"/>
      <c r="G50" s="250"/>
      <c r="H50" s="251"/>
      <c r="I50" s="153" t="s">
        <v>0</v>
      </c>
    </row>
    <row r="51" spans="1:18">
      <c r="A51" s="225" t="s">
        <v>173</v>
      </c>
      <c r="B51" s="224" t="s">
        <v>179</v>
      </c>
      <c r="C51" s="250"/>
      <c r="D51" s="250"/>
      <c r="E51" s="250"/>
      <c r="F51" s="250"/>
      <c r="G51" s="250"/>
      <c r="H51" s="251"/>
      <c r="I51" s="153" t="s">
        <v>0</v>
      </c>
    </row>
    <row r="52" spans="1:18">
      <c r="A52" s="227"/>
      <c r="B52" s="219" t="s">
        <v>180</v>
      </c>
      <c r="C52" s="246"/>
      <c r="D52" s="246"/>
      <c r="E52" s="246"/>
      <c r="F52" s="246"/>
      <c r="G52" s="246"/>
      <c r="H52" s="247"/>
      <c r="I52" s="127" t="s">
        <v>23</v>
      </c>
    </row>
    <row r="55" spans="1:18" ht="15.75">
      <c r="A55" s="1062" t="s">
        <v>285</v>
      </c>
      <c r="B55" s="1079"/>
      <c r="C55" s="1079"/>
      <c r="D55" s="1079"/>
      <c r="E55" s="1079"/>
      <c r="F55" s="1079"/>
      <c r="G55" s="1079"/>
      <c r="H55" s="1079"/>
      <c r="I55" s="132"/>
      <c r="J55" s="132"/>
      <c r="K55" s="132"/>
      <c r="L55" s="132"/>
      <c r="M55" s="132"/>
      <c r="N55" s="132"/>
      <c r="O55" s="132"/>
      <c r="P55" s="132"/>
      <c r="Q55" s="132"/>
      <c r="R55" s="132"/>
    </row>
    <row r="56" spans="1:18" ht="15">
      <c r="A56" s="1063" t="s">
        <v>181</v>
      </c>
      <c r="B56" s="1079"/>
      <c r="C56" s="1079"/>
      <c r="D56" s="1079"/>
      <c r="E56" s="1079"/>
      <c r="F56" s="1079"/>
      <c r="G56" s="1079"/>
      <c r="H56" s="1079"/>
      <c r="I56" s="146"/>
      <c r="J56" s="146"/>
      <c r="K56" s="146"/>
      <c r="L56" s="146"/>
      <c r="M56" s="146"/>
      <c r="N56" s="146"/>
      <c r="O56" s="146"/>
      <c r="P56" s="146"/>
      <c r="Q56" s="146"/>
      <c r="R56" s="146"/>
    </row>
    <row r="57" spans="1:18" ht="13.5">
      <c r="A57" s="133"/>
      <c r="B57" s="132"/>
      <c r="C57" s="132"/>
      <c r="D57" s="132"/>
      <c r="E57" s="132"/>
      <c r="F57" s="132"/>
      <c r="G57" s="132"/>
      <c r="H57" s="132"/>
      <c r="I57" s="132"/>
      <c r="J57" s="132"/>
      <c r="K57" s="132"/>
      <c r="L57" s="132"/>
      <c r="M57" s="132"/>
      <c r="N57" s="132"/>
      <c r="O57" s="132"/>
      <c r="P57" s="132"/>
      <c r="Q57" s="132"/>
      <c r="R57" s="132"/>
    </row>
    <row r="58" spans="1:18" ht="30.75" customHeight="1">
      <c r="A58" s="1064" t="s">
        <v>182</v>
      </c>
      <c r="B58" s="1079"/>
      <c r="C58" s="1079"/>
      <c r="D58" s="1079"/>
      <c r="E58" s="1079"/>
      <c r="F58" s="1079"/>
      <c r="G58" s="1079"/>
      <c r="H58" s="1079"/>
      <c r="I58" s="134"/>
      <c r="J58" s="134"/>
      <c r="K58" s="134"/>
      <c r="L58" s="134"/>
      <c r="M58" s="134"/>
      <c r="N58" s="134"/>
      <c r="O58" s="134"/>
      <c r="P58" s="134"/>
      <c r="Q58" s="134"/>
      <c r="R58" s="134"/>
    </row>
    <row r="59" spans="1:18">
      <c r="A59" s="135"/>
      <c r="B59" s="136"/>
      <c r="C59" s="136"/>
      <c r="D59" s="136"/>
      <c r="E59" s="136"/>
      <c r="F59" s="136"/>
      <c r="G59" s="136"/>
      <c r="H59" s="136"/>
      <c r="I59" s="136"/>
      <c r="J59" s="136"/>
      <c r="K59" s="136"/>
      <c r="L59" s="136"/>
      <c r="M59" s="136"/>
      <c r="N59" s="136"/>
      <c r="O59" s="136"/>
      <c r="P59" s="136"/>
      <c r="Q59" s="136"/>
      <c r="R59" s="136"/>
    </row>
    <row r="60" spans="1:18" ht="29.25" customHeight="1">
      <c r="A60" s="1056" t="s">
        <v>183</v>
      </c>
      <c r="B60" s="1079"/>
      <c r="C60" s="1079"/>
      <c r="D60" s="1079"/>
      <c r="E60" s="1079"/>
      <c r="F60" s="1079"/>
      <c r="G60" s="1079"/>
      <c r="H60" s="1079"/>
      <c r="I60" s="134"/>
      <c r="J60" s="134"/>
      <c r="K60" s="134"/>
      <c r="L60" s="134"/>
      <c r="M60" s="134"/>
      <c r="N60" s="134"/>
      <c r="O60" s="134"/>
      <c r="P60" s="134"/>
      <c r="Q60" s="134"/>
      <c r="R60" s="134"/>
    </row>
  </sheetData>
  <customSheetViews>
    <customSheetView guid="{9A28834D-6BE2-4884-BE97-BE00946B08BB}" showPageBreaks="1" printArea="1" state="hidden" view="pageBreakPreview">
      <selection activeCell="B17" sqref="B17"/>
      <rowBreaks count="1" manualBreakCount="1">
        <brk id="38" max="7" man="1"/>
      </rowBreaks>
      <pageMargins left="0.75" right="0.75" top="0.3" bottom="1" header="0.1" footer="0.5"/>
      <printOptions horizontalCentered="1"/>
      <pageSetup scale="93" fitToHeight="2" orientation="landscape" cellComments="asDisplayed" r:id="rId1"/>
      <headerFooter alignWithMargins="0">
        <oddFooter>&amp;C&amp;11Exhibit N:  Modular Cost for New Positions</oddFooter>
      </headerFooter>
    </customSheetView>
  </customSheetViews>
  <mergeCells count="22">
    <mergeCell ref="A60:H60"/>
    <mergeCell ref="A12:B13"/>
    <mergeCell ref="A55:H55"/>
    <mergeCell ref="C12:C13"/>
    <mergeCell ref="G12:G13"/>
    <mergeCell ref="A58:H58"/>
    <mergeCell ref="E12:E13"/>
    <mergeCell ref="F12:F13"/>
    <mergeCell ref="A56:H56"/>
    <mergeCell ref="H12:H13"/>
    <mergeCell ref="D12:D13"/>
    <mergeCell ref="A11:H11"/>
    <mergeCell ref="A1:H1"/>
    <mergeCell ref="A2:H2"/>
    <mergeCell ref="A3:H3"/>
    <mergeCell ref="A4:H4"/>
    <mergeCell ref="A5:H5"/>
    <mergeCell ref="A6:H6"/>
    <mergeCell ref="A7:H7"/>
    <mergeCell ref="C8:H8"/>
    <mergeCell ref="C9:H9"/>
    <mergeCell ref="C10:H10"/>
  </mergeCells>
  <phoneticPr fontId="41" type="noConversion"/>
  <printOptions horizontalCentered="1"/>
  <pageMargins left="0.75" right="0.75" top="0.3" bottom="1" header="0.1" footer="0.5"/>
  <pageSetup scale="93" fitToHeight="2" orientation="landscape" cellComments="asDisplayed" r:id="rId2"/>
  <headerFooter alignWithMargins="0">
    <oddFooter>&amp;C&amp;11Exhibit N:  Modular Cost for New Positions</oddFooter>
  </headerFooter>
  <rowBreaks count="1" manualBreakCount="1">
    <brk id="38" max="7" man="1"/>
  </rowBreaks>
  <legacyDrawing r:id="rId3"/>
</worksheet>
</file>

<file path=xl/worksheets/sheet21.xml><?xml version="1.0" encoding="utf-8"?>
<worksheet xmlns="http://schemas.openxmlformats.org/spreadsheetml/2006/main" xmlns:r="http://schemas.openxmlformats.org/officeDocument/2006/relationships">
  <sheetPr>
    <pageSetUpPr fitToPage="1"/>
  </sheetPr>
  <dimension ref="A1:K42"/>
  <sheetViews>
    <sheetView view="pageBreakPreview" zoomScale="75" zoomScaleNormal="90" zoomScaleSheetLayoutView="75" workbookViewId="0">
      <selection activeCell="B14" sqref="B14"/>
    </sheetView>
  </sheetViews>
  <sheetFormatPr defaultColWidth="7.109375" defaultRowHeight="15.75"/>
  <cols>
    <col min="1" max="1" width="3.88671875" style="157" customWidth="1"/>
    <col min="2" max="2" width="65.6640625" style="156" customWidth="1"/>
    <col min="3" max="3" width="2.88671875" style="157" customWidth="1"/>
    <col min="4" max="4" width="11.44140625" style="157" customWidth="1"/>
    <col min="5" max="5" width="10.21875" style="157" customWidth="1"/>
    <col min="6" max="6" width="10.109375" style="157" customWidth="1"/>
    <col min="7" max="7" width="9.5546875" style="157" customWidth="1"/>
    <col min="8" max="8" width="9.33203125" style="157" customWidth="1"/>
    <col min="9" max="16384" width="7.109375" style="157"/>
  </cols>
  <sheetData>
    <row r="1" spans="1:11">
      <c r="A1" s="1085" t="s">
        <v>252</v>
      </c>
      <c r="B1" s="1085"/>
      <c r="C1" s="1085"/>
      <c r="D1" s="1085"/>
      <c r="E1" s="1085"/>
      <c r="F1" s="1085"/>
      <c r="G1" s="1085"/>
      <c r="H1" s="1085"/>
      <c r="I1" s="158" t="s">
        <v>0</v>
      </c>
    </row>
    <row r="2" spans="1:11" ht="13.5" customHeight="1">
      <c r="A2" s="1087"/>
      <c r="B2" s="1087"/>
      <c r="C2" s="1087"/>
      <c r="D2" s="1087"/>
      <c r="E2" s="1087"/>
      <c r="F2" s="1087"/>
      <c r="G2" s="1087"/>
      <c r="H2" s="1087"/>
      <c r="I2" s="158" t="s">
        <v>0</v>
      </c>
    </row>
    <row r="3" spans="1:11">
      <c r="A3" s="1084" t="s">
        <v>315</v>
      </c>
      <c r="B3" s="1084"/>
      <c r="C3" s="1084"/>
      <c r="D3" s="1084"/>
      <c r="E3" s="1084"/>
      <c r="F3" s="1084"/>
      <c r="G3" s="1084"/>
      <c r="H3" s="1084"/>
      <c r="I3" s="158" t="s">
        <v>0</v>
      </c>
    </row>
    <row r="4" spans="1:11" ht="18.75">
      <c r="A4" s="912"/>
      <c r="B4" s="912"/>
      <c r="C4" s="912"/>
      <c r="D4" s="912"/>
      <c r="E4" s="912"/>
      <c r="F4" s="912"/>
      <c r="G4" s="912"/>
      <c r="H4" s="912"/>
      <c r="I4" s="158" t="s">
        <v>0</v>
      </c>
    </row>
    <row r="5" spans="1:11" ht="16.5">
      <c r="A5" s="914"/>
      <c r="B5" s="914"/>
      <c r="C5" s="914"/>
      <c r="D5" s="914"/>
      <c r="E5" s="914"/>
      <c r="F5" s="914"/>
      <c r="G5" s="914"/>
      <c r="H5" s="914"/>
      <c r="I5" s="158" t="s">
        <v>0</v>
      </c>
    </row>
    <row r="6" spans="1:11" ht="16.5">
      <c r="A6" s="914"/>
      <c r="B6" s="914"/>
      <c r="C6" s="914"/>
      <c r="D6" s="914"/>
      <c r="E6" s="914"/>
      <c r="F6" s="914"/>
      <c r="G6" s="914"/>
      <c r="H6" s="914"/>
      <c r="I6" s="158" t="s">
        <v>0</v>
      </c>
    </row>
    <row r="7" spans="1:11">
      <c r="A7" s="1086"/>
      <c r="B7" s="1086"/>
      <c r="C7" s="1086"/>
      <c r="D7" s="1086"/>
      <c r="E7" s="1086"/>
      <c r="F7" s="1086"/>
      <c r="G7" s="1086"/>
      <c r="H7" s="1086"/>
      <c r="I7" s="158" t="s">
        <v>0</v>
      </c>
    </row>
    <row r="8" spans="1:11">
      <c r="A8" s="1086"/>
      <c r="B8" s="1086"/>
      <c r="C8" s="1086"/>
      <c r="D8" s="1086"/>
      <c r="E8" s="1086"/>
      <c r="F8" s="1086"/>
      <c r="G8" s="1086"/>
      <c r="H8" s="1086"/>
      <c r="I8" s="158" t="s">
        <v>0</v>
      </c>
    </row>
    <row r="9" spans="1:11">
      <c r="A9" s="1083"/>
      <c r="B9" s="1083"/>
      <c r="C9" s="1083"/>
      <c r="D9" s="1083"/>
      <c r="E9" s="1083"/>
      <c r="F9" s="1083"/>
      <c r="G9" s="1083"/>
      <c r="H9" s="1083"/>
      <c r="I9" s="158" t="s">
        <v>0</v>
      </c>
    </row>
    <row r="10" spans="1:11">
      <c r="A10" s="161"/>
      <c r="B10" s="162"/>
      <c r="C10" s="161"/>
      <c r="D10" s="161"/>
      <c r="E10" s="161"/>
      <c r="F10" s="161"/>
      <c r="G10" s="161"/>
      <c r="H10" s="161"/>
      <c r="I10" s="158" t="s">
        <v>0</v>
      </c>
    </row>
    <row r="11" spans="1:11">
      <c r="A11" s="161"/>
      <c r="B11" s="162"/>
      <c r="C11" s="161"/>
      <c r="D11" s="162"/>
      <c r="E11" s="161"/>
      <c r="F11" s="161"/>
      <c r="G11" s="161"/>
      <c r="H11" s="161"/>
      <c r="I11" s="158" t="s">
        <v>0</v>
      </c>
    </row>
    <row r="12" spans="1:11">
      <c r="A12" s="161"/>
      <c r="B12" s="162"/>
      <c r="C12" s="161"/>
      <c r="D12" s="162"/>
      <c r="E12" s="161"/>
      <c r="F12" s="161"/>
      <c r="G12" s="161"/>
      <c r="H12" s="161"/>
      <c r="I12" s="158" t="s">
        <v>0</v>
      </c>
    </row>
    <row r="13" spans="1:11">
      <c r="A13" s="161"/>
      <c r="B13" s="162"/>
      <c r="C13" s="161"/>
      <c r="D13" s="161"/>
      <c r="E13" s="161"/>
      <c r="F13" s="161"/>
      <c r="G13" s="161"/>
      <c r="H13" s="161"/>
      <c r="I13" s="158" t="s">
        <v>0</v>
      </c>
    </row>
    <row r="14" spans="1:11" ht="36" customHeight="1">
      <c r="A14" s="161"/>
      <c r="B14" s="161"/>
      <c r="C14" s="161"/>
      <c r="D14" s="161"/>
      <c r="E14" s="161"/>
      <c r="F14" s="161"/>
      <c r="G14" s="161"/>
      <c r="H14" s="161"/>
      <c r="I14" s="158" t="s">
        <v>0</v>
      </c>
      <c r="J14" s="159"/>
      <c r="K14" s="159"/>
    </row>
    <row r="15" spans="1:11" ht="9.9499999999999993" customHeight="1">
      <c r="A15" s="161"/>
      <c r="B15" s="161"/>
      <c r="C15" s="161"/>
      <c r="D15" s="161"/>
      <c r="E15" s="161"/>
      <c r="F15" s="161"/>
      <c r="G15" s="161"/>
      <c r="H15" s="161"/>
      <c r="I15" s="158" t="s">
        <v>0</v>
      </c>
    </row>
    <row r="16" spans="1:11" ht="36" customHeight="1">
      <c r="A16" s="161"/>
      <c r="B16" s="161"/>
      <c r="C16" s="161"/>
      <c r="D16" s="161"/>
      <c r="E16" s="161"/>
      <c r="F16" s="161"/>
      <c r="G16" s="161"/>
      <c r="H16" s="161"/>
      <c r="I16" s="158" t="s">
        <v>0</v>
      </c>
      <c r="J16" s="159"/>
      <c r="K16" s="159"/>
    </row>
    <row r="17" spans="1:9" ht="9.9499999999999993" customHeight="1">
      <c r="A17" s="161"/>
      <c r="B17" s="161"/>
      <c r="C17" s="161"/>
      <c r="D17" s="161"/>
      <c r="E17" s="161"/>
      <c r="F17" s="161"/>
      <c r="G17" s="161"/>
      <c r="H17" s="161"/>
      <c r="I17" s="158" t="s">
        <v>0</v>
      </c>
    </row>
    <row r="18" spans="1:9" ht="30.75" customHeight="1">
      <c r="A18" s="161"/>
      <c r="B18" s="161"/>
      <c r="C18" s="161"/>
      <c r="D18" s="161"/>
      <c r="E18" s="161"/>
      <c r="F18" s="161"/>
      <c r="G18" s="161"/>
      <c r="H18" s="161"/>
      <c r="I18" s="158" t="s">
        <v>0</v>
      </c>
    </row>
    <row r="19" spans="1:9">
      <c r="A19" s="161"/>
      <c r="B19" s="161"/>
      <c r="C19" s="161"/>
      <c r="D19" s="161"/>
      <c r="E19" s="161"/>
      <c r="F19" s="161"/>
      <c r="G19" s="161"/>
      <c r="H19" s="161"/>
      <c r="I19" s="158" t="s">
        <v>0</v>
      </c>
    </row>
    <row r="20" spans="1:9">
      <c r="A20" s="161"/>
      <c r="B20" s="161"/>
      <c r="C20" s="161"/>
      <c r="D20" s="161"/>
      <c r="E20" s="161"/>
      <c r="F20" s="161"/>
      <c r="G20" s="161"/>
      <c r="H20" s="161"/>
      <c r="I20" s="158" t="s">
        <v>0</v>
      </c>
    </row>
    <row r="21" spans="1:9" ht="9.9499999999999993" customHeight="1">
      <c r="A21" s="161"/>
      <c r="B21" s="161"/>
      <c r="C21" s="161"/>
      <c r="D21" s="161"/>
      <c r="E21" s="161"/>
      <c r="F21" s="161"/>
      <c r="G21" s="161"/>
      <c r="H21" s="161"/>
      <c r="I21" s="158" t="s">
        <v>0</v>
      </c>
    </row>
    <row r="22" spans="1:9">
      <c r="A22" s="161"/>
      <c r="B22" s="161"/>
      <c r="C22" s="161"/>
      <c r="D22" s="161"/>
      <c r="E22" s="161"/>
      <c r="F22" s="161"/>
      <c r="G22" s="161"/>
      <c r="H22" s="161"/>
      <c r="I22" s="158" t="s">
        <v>0</v>
      </c>
    </row>
    <row r="23" spans="1:9">
      <c r="A23" s="161"/>
      <c r="B23" s="161"/>
      <c r="C23" s="161"/>
      <c r="D23" s="161"/>
      <c r="E23" s="161"/>
      <c r="F23" s="161"/>
      <c r="G23" s="161"/>
      <c r="H23" s="161"/>
      <c r="I23" s="158" t="s">
        <v>0</v>
      </c>
    </row>
    <row r="24" spans="1:9" ht="36.75" customHeight="1">
      <c r="A24" s="161"/>
      <c r="B24" s="161"/>
      <c r="C24" s="161"/>
      <c r="D24" s="160"/>
      <c r="E24" s="161"/>
      <c r="F24" s="161"/>
      <c r="G24" s="161"/>
      <c r="H24" s="161"/>
      <c r="I24" s="158" t="s">
        <v>0</v>
      </c>
    </row>
    <row r="25" spans="1:9">
      <c r="A25" s="161"/>
      <c r="B25" s="161"/>
      <c r="C25" s="161"/>
      <c r="D25" s="317"/>
      <c r="E25" s="317"/>
      <c r="F25" s="317"/>
      <c r="G25" s="317"/>
      <c r="H25" s="161"/>
      <c r="I25" s="158" t="s">
        <v>0</v>
      </c>
    </row>
    <row r="26" spans="1:9" ht="10.5" customHeight="1">
      <c r="A26" s="161"/>
      <c r="B26" s="161"/>
      <c r="C26" s="161"/>
      <c r="D26" s="160"/>
      <c r="E26" s="161"/>
      <c r="F26" s="161"/>
      <c r="G26" s="161"/>
      <c r="H26" s="161"/>
      <c r="I26" s="158" t="s">
        <v>0</v>
      </c>
    </row>
    <row r="27" spans="1:9" ht="9.9499999999999993" customHeight="1">
      <c r="A27" s="161"/>
      <c r="B27" s="161"/>
      <c r="C27" s="161"/>
      <c r="D27" s="161"/>
      <c r="E27" s="161"/>
      <c r="F27" s="161"/>
      <c r="G27" s="161"/>
      <c r="H27" s="161"/>
      <c r="I27" s="158" t="s">
        <v>0</v>
      </c>
    </row>
    <row r="28" spans="1:9">
      <c r="A28" s="161"/>
      <c r="B28" s="161"/>
      <c r="C28" s="161"/>
      <c r="D28" s="161"/>
      <c r="E28" s="161"/>
      <c r="F28" s="161"/>
      <c r="G28" s="161"/>
      <c r="H28" s="161"/>
      <c r="I28" s="158" t="s">
        <v>0</v>
      </c>
    </row>
    <row r="29" spans="1:9">
      <c r="A29" s="161"/>
      <c r="B29" s="161"/>
      <c r="C29" s="161"/>
      <c r="D29" s="161"/>
      <c r="E29" s="161"/>
      <c r="F29" s="161"/>
      <c r="G29" s="161"/>
      <c r="H29" s="161"/>
      <c r="I29" s="158" t="s">
        <v>0</v>
      </c>
    </row>
    <row r="30" spans="1:9" ht="15.75" customHeight="1">
      <c r="A30" s="161"/>
      <c r="B30" s="161"/>
      <c r="C30" s="161"/>
      <c r="D30" s="317"/>
      <c r="E30" s="317"/>
      <c r="F30" s="161"/>
      <c r="G30" s="161"/>
      <c r="H30" s="161"/>
      <c r="I30" s="158" t="s">
        <v>0</v>
      </c>
    </row>
    <row r="31" spans="1:9" ht="9.9499999999999993" customHeight="1">
      <c r="A31" s="161"/>
      <c r="B31" s="161"/>
      <c r="C31" s="161"/>
      <c r="D31" s="161"/>
      <c r="E31" s="161"/>
      <c r="F31" s="161"/>
      <c r="G31" s="161"/>
      <c r="H31" s="161"/>
      <c r="I31" s="158" t="s">
        <v>0</v>
      </c>
    </row>
    <row r="32" spans="1:9">
      <c r="A32" s="161"/>
      <c r="B32" s="161"/>
      <c r="C32" s="161"/>
      <c r="D32" s="319"/>
      <c r="E32" s="161"/>
      <c r="F32" s="161"/>
      <c r="G32" s="161"/>
      <c r="H32" s="161"/>
      <c r="I32" s="158" t="s">
        <v>0</v>
      </c>
    </row>
    <row r="33" spans="1:9" ht="36" customHeight="1">
      <c r="A33" s="161"/>
      <c r="B33" s="159"/>
      <c r="C33" s="159"/>
      <c r="D33" s="318"/>
      <c r="E33" s="318"/>
      <c r="F33" s="161"/>
      <c r="G33" s="161"/>
      <c r="H33" s="161"/>
      <c r="I33" s="158" t="s">
        <v>23</v>
      </c>
    </row>
    <row r="34" spans="1:9">
      <c r="B34" s="163"/>
    </row>
    <row r="35" spans="1:9">
      <c r="B35" s="165"/>
    </row>
    <row r="36" spans="1:9">
      <c r="A36" s="1062" t="s">
        <v>285</v>
      </c>
      <c r="B36" s="1079"/>
      <c r="C36" s="1079"/>
      <c r="D36" s="1079"/>
      <c r="E36" s="1079"/>
      <c r="F36" s="1079"/>
      <c r="G36" s="1079"/>
      <c r="H36" s="1079"/>
    </row>
    <row r="37" spans="1:9">
      <c r="A37" s="141"/>
      <c r="B37" s="166" t="s">
        <v>253</v>
      </c>
      <c r="C37" s="167"/>
      <c r="D37" s="167"/>
      <c r="E37" s="167"/>
      <c r="F37" s="167"/>
      <c r="G37" s="167"/>
      <c r="H37" s="167"/>
    </row>
    <row r="38" spans="1:9">
      <c r="A38" s="168"/>
      <c r="B38" s="169"/>
      <c r="C38" s="169"/>
      <c r="D38" s="169"/>
      <c r="E38" s="169"/>
      <c r="F38" s="169"/>
      <c r="G38" s="169"/>
      <c r="H38" s="169"/>
    </row>
    <row r="39" spans="1:9">
      <c r="A39" s="1080"/>
      <c r="B39" s="1081"/>
      <c r="C39" s="1081"/>
      <c r="D39" s="1081"/>
      <c r="E39" s="1081"/>
      <c r="F39" s="1081"/>
      <c r="G39" s="1081"/>
      <c r="H39" s="1081"/>
    </row>
    <row r="40" spans="1:9">
      <c r="A40" s="170"/>
      <c r="B40" s="171"/>
      <c r="C40" s="171"/>
      <c r="D40" s="171"/>
      <c r="E40" s="171"/>
      <c r="F40" s="171"/>
      <c r="G40" s="171"/>
      <c r="H40" s="171"/>
    </row>
    <row r="41" spans="1:9">
      <c r="A41" s="1082"/>
      <c r="B41" s="1081"/>
      <c r="C41" s="1081"/>
      <c r="D41" s="1081"/>
      <c r="E41" s="1081"/>
      <c r="F41" s="1081"/>
      <c r="G41" s="1081"/>
      <c r="H41" s="1081"/>
    </row>
    <row r="42" spans="1:9">
      <c r="A42" s="164"/>
      <c r="B42" s="172"/>
      <c r="C42" s="164"/>
      <c r="D42" s="164"/>
      <c r="E42" s="164"/>
      <c r="F42" s="164"/>
      <c r="G42" s="164"/>
      <c r="H42" s="164"/>
    </row>
  </sheetData>
  <customSheetViews>
    <customSheetView guid="{9A28834D-6BE2-4884-BE97-BE00946B08BB}" scale="75" showPageBreaks="1" fitToPage="1" printArea="1" state="hidden" view="pageBreakPreview">
      <selection activeCell="B14" sqref="B14"/>
      <pageMargins left="0.5" right="0.5" top="1" bottom="1" header="0.5" footer="0.5"/>
      <printOptions horizontalCentered="1"/>
      <pageSetup scale="86" fitToHeight="2" orientation="landscape" r:id="rId1"/>
      <headerFooter alignWithMargins="0">
        <oddFooter>&amp;CExhibit P - IT Investment Questionnaire</oddFooter>
      </headerFooter>
    </customSheetView>
  </customSheetViews>
  <mergeCells count="12">
    <mergeCell ref="A1:H1"/>
    <mergeCell ref="A8:H8"/>
    <mergeCell ref="A7:H7"/>
    <mergeCell ref="A4:H4"/>
    <mergeCell ref="A5:H5"/>
    <mergeCell ref="A6:H6"/>
    <mergeCell ref="A2:H2"/>
    <mergeCell ref="A39:H39"/>
    <mergeCell ref="A41:H41"/>
    <mergeCell ref="A36:H36"/>
    <mergeCell ref="A9:H9"/>
    <mergeCell ref="A3:H3"/>
  </mergeCells>
  <phoneticPr fontId="41" type="noConversion"/>
  <printOptions horizontalCentered="1"/>
  <pageMargins left="0.5" right="0.5" top="1" bottom="1" header="0.5" footer="0.5"/>
  <pageSetup scale="86" fitToHeight="2" orientation="landscape" r:id="rId2"/>
  <headerFooter alignWithMargins="0">
    <oddFooter>&amp;CExhibit P - IT Investment Questionnaire</oddFooter>
  </headerFooter>
</worksheet>
</file>

<file path=xl/worksheets/sheet22.xml><?xml version="1.0" encoding="utf-8"?>
<worksheet xmlns="http://schemas.openxmlformats.org/spreadsheetml/2006/main" xmlns:r="http://schemas.openxmlformats.org/officeDocument/2006/relationships">
  <dimension ref="A1"/>
  <sheetViews>
    <sheetView workbookViewId="0"/>
  </sheetViews>
  <sheetFormatPr defaultRowHeight="15"/>
  <sheetData/>
  <customSheetViews>
    <customSheetView guid="{9A28834D-6BE2-4884-BE97-BE00946B08BB}">
      <pageMargins left="0.7" right="0.7" top="0.75" bottom="0.75" header="0.3" footer="0.3"/>
      <pageSetup orientation="portrait" r:id="rId1"/>
    </customSheetView>
  </customSheetView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sheetPr>
    <pageSetUpPr fitToPage="1"/>
  </sheetPr>
  <dimension ref="A1:Y50"/>
  <sheetViews>
    <sheetView showGridLines="0" showOutlineSymbols="0" view="pageBreakPreview" zoomScale="65" zoomScaleNormal="75" zoomScaleSheetLayoutView="65" workbookViewId="0">
      <selection activeCell="AD40" sqref="AD40"/>
    </sheetView>
  </sheetViews>
  <sheetFormatPr defaultColWidth="9.6640625" defaultRowHeight="15.75"/>
  <cols>
    <col min="1" max="2" width="2.5546875" style="4" customWidth="1"/>
    <col min="3" max="3" width="25" style="4" customWidth="1"/>
    <col min="4" max="4" width="6.88671875" style="7" customWidth="1"/>
    <col min="5" max="5" width="6.21875" style="7" customWidth="1"/>
    <col min="6" max="6" width="10.21875" style="7" customWidth="1"/>
    <col min="7" max="7" width="8.44140625" style="7" bestFit="1" customWidth="1"/>
    <col min="8" max="8" width="6.21875" style="7" customWidth="1"/>
    <col min="9" max="9" width="9.77734375" style="7" customWidth="1"/>
    <col min="10" max="10" width="6.21875" style="7" bestFit="1" customWidth="1"/>
    <col min="11" max="11" width="5.6640625" style="7" customWidth="1"/>
    <col min="12" max="12" width="9.33203125" style="7" bestFit="1" customWidth="1"/>
    <col min="13" max="13" width="7" style="7" bestFit="1" customWidth="1"/>
    <col min="14" max="14" width="6.109375" style="7" customWidth="1"/>
    <col min="15" max="15" width="9.77734375" style="7" customWidth="1"/>
    <col min="16" max="17" width="5.6640625" style="7" customWidth="1"/>
    <col min="18" max="18" width="8.5546875" style="7" customWidth="1"/>
    <col min="19" max="19" width="6.109375" style="7" customWidth="1"/>
    <col min="20" max="20" width="5.6640625" style="7" customWidth="1"/>
    <col min="21" max="21" width="9" style="7" bestFit="1" customWidth="1"/>
    <col min="22" max="22" width="9.5546875" style="7" customWidth="1"/>
    <col min="23" max="23" width="9.77734375" style="7" bestFit="1" customWidth="1"/>
    <col min="24" max="24" width="13.21875" style="7" bestFit="1" customWidth="1"/>
    <col min="25" max="25" width="6.5546875" style="50" customWidth="1"/>
    <col min="26" max="26" width="6.5546875" style="4" customWidth="1"/>
    <col min="27" max="27" width="7.6640625" style="4" customWidth="1"/>
    <col min="28" max="16384" width="9.6640625" style="4"/>
  </cols>
  <sheetData>
    <row r="1" spans="1:25" ht="20.25">
      <c r="A1" s="807" t="s">
        <v>34</v>
      </c>
      <c r="B1" s="808"/>
      <c r="C1" s="808"/>
      <c r="D1" s="808"/>
      <c r="E1" s="808"/>
      <c r="F1" s="808"/>
      <c r="G1" s="808"/>
      <c r="H1" s="808"/>
      <c r="I1" s="808"/>
      <c r="J1" s="808"/>
      <c r="K1" s="808"/>
      <c r="L1" s="808"/>
      <c r="M1" s="808"/>
      <c r="N1" s="808"/>
      <c r="O1" s="808"/>
      <c r="P1" s="808"/>
      <c r="Q1" s="808"/>
      <c r="R1" s="808"/>
      <c r="S1" s="808"/>
      <c r="T1" s="808"/>
      <c r="U1" s="808"/>
      <c r="V1" s="808"/>
      <c r="W1" s="808"/>
      <c r="X1" s="808"/>
      <c r="Y1" s="49" t="s">
        <v>0</v>
      </c>
    </row>
    <row r="2" spans="1:25">
      <c r="A2" s="809"/>
      <c r="B2" s="809"/>
      <c r="C2" s="809"/>
      <c r="D2" s="809"/>
      <c r="E2" s="809"/>
      <c r="F2" s="809"/>
      <c r="G2" s="809"/>
      <c r="H2" s="809"/>
      <c r="I2" s="809"/>
      <c r="J2" s="809"/>
      <c r="K2" s="809"/>
      <c r="L2" s="809"/>
      <c r="M2" s="809"/>
      <c r="N2" s="809"/>
      <c r="O2" s="809"/>
      <c r="P2" s="809"/>
      <c r="Q2" s="809"/>
      <c r="R2" s="809"/>
      <c r="S2" s="809"/>
      <c r="T2" s="809"/>
      <c r="U2" s="809"/>
      <c r="V2" s="809"/>
      <c r="W2" s="809"/>
      <c r="X2" s="809"/>
      <c r="Y2" s="49" t="s">
        <v>0</v>
      </c>
    </row>
    <row r="3" spans="1:25">
      <c r="A3" s="559"/>
      <c r="B3" s="559"/>
      <c r="C3" s="559"/>
      <c r="D3" s="559"/>
      <c r="E3" s="559"/>
      <c r="F3" s="559"/>
      <c r="G3" s="559"/>
      <c r="H3" s="559"/>
      <c r="I3" s="559"/>
      <c r="J3" s="559"/>
      <c r="K3" s="559"/>
      <c r="L3" s="559"/>
      <c r="M3" s="559"/>
      <c r="N3" s="559"/>
      <c r="O3" s="559"/>
      <c r="P3" s="559"/>
      <c r="Q3" s="559"/>
      <c r="R3" s="559"/>
      <c r="S3" s="559"/>
      <c r="T3" s="559"/>
      <c r="U3" s="559"/>
      <c r="V3" s="559"/>
      <c r="W3" s="559"/>
      <c r="X3" s="559"/>
      <c r="Y3" s="49"/>
    </row>
    <row r="4" spans="1:25">
      <c r="A4" s="559"/>
      <c r="B4" s="559"/>
      <c r="C4" s="559"/>
      <c r="D4" s="559"/>
      <c r="E4" s="559"/>
      <c r="F4" s="559"/>
      <c r="G4" s="559"/>
      <c r="H4" s="559"/>
      <c r="I4" s="559"/>
      <c r="J4" s="559"/>
      <c r="K4" s="559"/>
      <c r="L4" s="559"/>
      <c r="M4" s="559"/>
      <c r="N4" s="559"/>
      <c r="O4" s="559"/>
      <c r="P4" s="559"/>
      <c r="Q4" s="559"/>
      <c r="R4" s="559"/>
      <c r="S4" s="559"/>
      <c r="T4" s="559"/>
      <c r="U4" s="559"/>
      <c r="V4" s="559"/>
      <c r="W4" s="559"/>
      <c r="X4" s="559"/>
      <c r="Y4" s="49"/>
    </row>
    <row r="5" spans="1:25">
      <c r="A5" s="786"/>
      <c r="B5" s="786"/>
      <c r="C5" s="786"/>
      <c r="D5" s="786"/>
      <c r="E5" s="786"/>
      <c r="F5" s="786"/>
      <c r="G5" s="786"/>
      <c r="H5" s="786"/>
      <c r="I5" s="786"/>
      <c r="J5" s="786"/>
      <c r="K5" s="786"/>
      <c r="L5" s="786"/>
      <c r="M5" s="786"/>
      <c r="N5" s="786"/>
      <c r="O5" s="786"/>
      <c r="P5" s="786"/>
      <c r="Q5" s="786"/>
      <c r="R5" s="786"/>
      <c r="S5" s="786"/>
      <c r="T5" s="786"/>
      <c r="U5" s="786"/>
      <c r="V5" s="786"/>
      <c r="W5" s="786"/>
      <c r="X5" s="786"/>
      <c r="Y5" s="49" t="s">
        <v>0</v>
      </c>
    </row>
    <row r="6" spans="1:25" ht="22.5">
      <c r="A6" s="744" t="s">
        <v>276</v>
      </c>
      <c r="B6" s="742"/>
      <c r="C6" s="742"/>
      <c r="D6" s="742"/>
      <c r="E6" s="742"/>
      <c r="F6" s="742"/>
      <c r="G6" s="742"/>
      <c r="H6" s="742"/>
      <c r="I6" s="742"/>
      <c r="J6" s="742"/>
      <c r="K6" s="742"/>
      <c r="L6" s="742"/>
      <c r="M6" s="742"/>
      <c r="N6" s="742"/>
      <c r="O6" s="742"/>
      <c r="P6" s="742"/>
      <c r="Q6" s="742"/>
      <c r="R6" s="742"/>
      <c r="S6" s="742"/>
      <c r="T6" s="742"/>
      <c r="U6" s="742"/>
      <c r="V6" s="742"/>
      <c r="W6" s="742"/>
      <c r="X6" s="742"/>
      <c r="Y6" s="49" t="s">
        <v>0</v>
      </c>
    </row>
    <row r="7" spans="1:25" ht="23.25">
      <c r="A7" s="741" t="s">
        <v>337</v>
      </c>
      <c r="B7" s="743"/>
      <c r="C7" s="743"/>
      <c r="D7" s="743"/>
      <c r="E7" s="743"/>
      <c r="F7" s="743"/>
      <c r="G7" s="743"/>
      <c r="H7" s="743"/>
      <c r="I7" s="743"/>
      <c r="J7" s="743"/>
      <c r="K7" s="743"/>
      <c r="L7" s="743"/>
      <c r="M7" s="743"/>
      <c r="N7" s="743"/>
      <c r="O7" s="743"/>
      <c r="P7" s="743"/>
      <c r="Q7" s="743"/>
      <c r="R7" s="743"/>
      <c r="S7" s="743"/>
      <c r="T7" s="743"/>
      <c r="U7" s="743"/>
      <c r="V7" s="743"/>
      <c r="W7" s="743"/>
      <c r="X7" s="743"/>
      <c r="Y7" s="49" t="s">
        <v>0</v>
      </c>
    </row>
    <row r="8" spans="1:25" ht="23.25">
      <c r="A8" s="741" t="s">
        <v>338</v>
      </c>
      <c r="B8" s="742"/>
      <c r="C8" s="742"/>
      <c r="D8" s="742"/>
      <c r="E8" s="742"/>
      <c r="F8" s="742"/>
      <c r="G8" s="742"/>
      <c r="H8" s="742"/>
      <c r="I8" s="742"/>
      <c r="J8" s="742"/>
      <c r="K8" s="742"/>
      <c r="L8" s="742"/>
      <c r="M8" s="742"/>
      <c r="N8" s="742"/>
      <c r="O8" s="742"/>
      <c r="P8" s="742"/>
      <c r="Q8" s="742"/>
      <c r="R8" s="742"/>
      <c r="S8" s="742"/>
      <c r="T8" s="742"/>
      <c r="U8" s="742"/>
      <c r="V8" s="742"/>
      <c r="W8" s="742"/>
      <c r="X8" s="742"/>
      <c r="Y8" s="49" t="s">
        <v>0</v>
      </c>
    </row>
    <row r="9" spans="1:25" ht="23.25">
      <c r="A9" s="741" t="s">
        <v>265</v>
      </c>
      <c r="B9" s="743"/>
      <c r="C9" s="743"/>
      <c r="D9" s="743"/>
      <c r="E9" s="743"/>
      <c r="F9" s="743"/>
      <c r="G9" s="743"/>
      <c r="H9" s="743"/>
      <c r="I9" s="743"/>
      <c r="J9" s="743"/>
      <c r="K9" s="743"/>
      <c r="L9" s="743"/>
      <c r="M9" s="743"/>
      <c r="N9" s="743"/>
      <c r="O9" s="743"/>
      <c r="P9" s="743"/>
      <c r="Q9" s="743"/>
      <c r="R9" s="743"/>
      <c r="S9" s="743"/>
      <c r="T9" s="743"/>
      <c r="U9" s="743"/>
      <c r="V9" s="743"/>
      <c r="W9" s="743"/>
      <c r="X9" s="743"/>
      <c r="Y9" s="49" t="s">
        <v>0</v>
      </c>
    </row>
    <row r="10" spans="1:25" ht="23.25">
      <c r="A10" s="806"/>
      <c r="B10" s="806"/>
      <c r="C10" s="806"/>
      <c r="D10" s="806"/>
      <c r="E10" s="806"/>
      <c r="F10" s="806"/>
      <c r="G10" s="806"/>
      <c r="H10" s="806"/>
      <c r="I10" s="806"/>
      <c r="J10" s="806"/>
      <c r="K10" s="806"/>
      <c r="L10" s="806"/>
      <c r="M10" s="806"/>
      <c r="N10" s="806"/>
      <c r="O10" s="806"/>
      <c r="P10" s="806"/>
      <c r="Q10" s="806"/>
      <c r="R10" s="806"/>
      <c r="S10" s="806"/>
      <c r="T10" s="806"/>
      <c r="U10" s="806"/>
      <c r="V10" s="806"/>
      <c r="W10" s="806"/>
      <c r="X10" s="806"/>
      <c r="Y10" s="49" t="s">
        <v>0</v>
      </c>
    </row>
    <row r="11" spans="1:25" ht="23.25">
      <c r="A11" s="806"/>
      <c r="B11" s="806"/>
      <c r="C11" s="806"/>
      <c r="D11" s="806"/>
      <c r="E11" s="806"/>
      <c r="F11" s="806"/>
      <c r="G11" s="806"/>
      <c r="H11" s="806"/>
      <c r="I11" s="806"/>
      <c r="J11" s="806"/>
      <c r="K11" s="806"/>
      <c r="L11" s="806"/>
      <c r="M11" s="806"/>
      <c r="N11" s="806"/>
      <c r="O11" s="806"/>
      <c r="P11" s="806"/>
      <c r="Q11" s="806"/>
      <c r="R11" s="806"/>
      <c r="S11" s="806"/>
      <c r="T11" s="806"/>
      <c r="U11" s="806"/>
      <c r="V11" s="806"/>
      <c r="W11" s="806"/>
      <c r="X11" s="806"/>
      <c r="Y11" s="49" t="s">
        <v>0</v>
      </c>
    </row>
    <row r="12" spans="1:25" ht="23.25">
      <c r="A12" s="806"/>
      <c r="B12" s="806"/>
      <c r="C12" s="806"/>
      <c r="D12" s="806"/>
      <c r="E12" s="806"/>
      <c r="F12" s="806"/>
      <c r="G12" s="806"/>
      <c r="H12" s="806"/>
      <c r="I12" s="806"/>
      <c r="J12" s="806"/>
      <c r="K12" s="806"/>
      <c r="L12" s="806"/>
      <c r="M12" s="806"/>
      <c r="N12" s="806"/>
      <c r="O12" s="806"/>
      <c r="P12" s="806"/>
      <c r="Q12" s="806"/>
      <c r="R12" s="806"/>
      <c r="S12" s="806"/>
      <c r="T12" s="806"/>
      <c r="U12" s="806"/>
      <c r="V12" s="806"/>
      <c r="W12" s="806"/>
      <c r="X12" s="806"/>
      <c r="Y12" s="49" t="s">
        <v>0</v>
      </c>
    </row>
    <row r="13" spans="1:25">
      <c r="A13" s="786"/>
      <c r="B13" s="786"/>
      <c r="C13" s="786"/>
      <c r="D13" s="786"/>
      <c r="E13" s="786"/>
      <c r="F13" s="786"/>
      <c r="G13" s="786"/>
      <c r="H13" s="786"/>
      <c r="I13" s="786"/>
      <c r="J13" s="786"/>
      <c r="K13" s="786"/>
      <c r="L13" s="786"/>
      <c r="M13" s="786"/>
      <c r="N13" s="786"/>
      <c r="O13" s="786"/>
      <c r="P13" s="786"/>
      <c r="Q13" s="786"/>
      <c r="R13" s="786"/>
      <c r="S13" s="786"/>
      <c r="T13" s="786"/>
      <c r="U13" s="810"/>
      <c r="V13" s="803" t="s">
        <v>42</v>
      </c>
      <c r="W13" s="804"/>
      <c r="X13" s="805"/>
      <c r="Y13" s="49" t="s">
        <v>0</v>
      </c>
    </row>
    <row r="14" spans="1:25">
      <c r="A14" s="786"/>
      <c r="B14" s="786"/>
      <c r="C14" s="786"/>
      <c r="D14" s="786"/>
      <c r="E14" s="786"/>
      <c r="F14" s="786"/>
      <c r="G14" s="786"/>
      <c r="H14" s="786"/>
      <c r="I14" s="786"/>
      <c r="J14" s="786"/>
      <c r="K14" s="786"/>
      <c r="L14" s="786"/>
      <c r="M14" s="786"/>
      <c r="N14" s="786"/>
      <c r="O14" s="786"/>
      <c r="P14" s="786"/>
      <c r="Q14" s="786"/>
      <c r="R14" s="786"/>
      <c r="S14" s="786"/>
      <c r="T14" s="786"/>
      <c r="U14" s="810"/>
      <c r="V14" s="796" t="s">
        <v>20</v>
      </c>
      <c r="W14" s="798" t="s">
        <v>51</v>
      </c>
      <c r="X14" s="788" t="s">
        <v>289</v>
      </c>
      <c r="Y14" s="49" t="s">
        <v>0</v>
      </c>
    </row>
    <row r="15" spans="1:25" ht="16.5" thickBot="1">
      <c r="A15" s="787"/>
      <c r="B15" s="787"/>
      <c r="C15" s="787"/>
      <c r="D15" s="787"/>
      <c r="E15" s="787"/>
      <c r="F15" s="787"/>
      <c r="G15" s="787"/>
      <c r="H15" s="787"/>
      <c r="I15" s="787"/>
      <c r="J15" s="787"/>
      <c r="K15" s="787"/>
      <c r="L15" s="787"/>
      <c r="M15" s="787"/>
      <c r="N15" s="787"/>
      <c r="O15" s="787"/>
      <c r="P15" s="787"/>
      <c r="Q15" s="787"/>
      <c r="R15" s="787"/>
      <c r="S15" s="787"/>
      <c r="T15" s="787"/>
      <c r="U15" s="811"/>
      <c r="V15" s="797"/>
      <c r="W15" s="789"/>
      <c r="X15" s="789"/>
      <c r="Y15" s="49" t="s">
        <v>0</v>
      </c>
    </row>
    <row r="16" spans="1:25">
      <c r="A16" s="799" t="s">
        <v>109</v>
      </c>
      <c r="B16" s="800"/>
      <c r="C16" s="800"/>
      <c r="D16" s="800"/>
      <c r="E16" s="800"/>
      <c r="F16" s="800"/>
      <c r="G16" s="800"/>
      <c r="H16" s="800"/>
      <c r="I16" s="800"/>
      <c r="J16" s="800"/>
      <c r="K16" s="800"/>
      <c r="L16" s="800"/>
      <c r="M16" s="800"/>
      <c r="N16" s="800"/>
      <c r="O16" s="800"/>
      <c r="P16" s="800"/>
      <c r="Q16" s="800"/>
      <c r="R16" s="800"/>
      <c r="S16" s="800"/>
      <c r="T16" s="800"/>
      <c r="U16" s="800"/>
      <c r="V16" s="93">
        <v>0</v>
      </c>
      <c r="W16" s="93">
        <v>0</v>
      </c>
      <c r="X16" s="92">
        <v>26625</v>
      </c>
      <c r="Y16" s="49" t="s">
        <v>0</v>
      </c>
    </row>
    <row r="17" spans="1:25" ht="20.25" customHeight="1">
      <c r="A17" s="814" t="s">
        <v>240</v>
      </c>
      <c r="B17" s="815"/>
      <c r="C17" s="815"/>
      <c r="D17" s="815"/>
      <c r="E17" s="815"/>
      <c r="F17" s="815"/>
      <c r="G17" s="815"/>
      <c r="H17" s="815"/>
      <c r="I17" s="815"/>
      <c r="J17" s="815"/>
      <c r="K17" s="815"/>
      <c r="L17" s="815"/>
      <c r="M17" s="815"/>
      <c r="N17" s="815"/>
      <c r="O17" s="815"/>
      <c r="P17" s="815"/>
      <c r="Q17" s="815"/>
      <c r="R17" s="815"/>
      <c r="S17" s="815"/>
      <c r="T17" s="815"/>
      <c r="U17" s="815"/>
      <c r="V17" s="386">
        <v>0</v>
      </c>
      <c r="W17" s="386">
        <v>0</v>
      </c>
      <c r="X17" s="358">
        <v>8000</v>
      </c>
      <c r="Y17" s="49" t="s">
        <v>0</v>
      </c>
    </row>
    <row r="18" spans="1:25">
      <c r="A18" s="801" t="s">
        <v>110</v>
      </c>
      <c r="B18" s="802"/>
      <c r="C18" s="802"/>
      <c r="D18" s="802"/>
      <c r="E18" s="802"/>
      <c r="F18" s="802"/>
      <c r="G18" s="802"/>
      <c r="H18" s="802"/>
      <c r="I18" s="802"/>
      <c r="J18" s="802"/>
      <c r="K18" s="802"/>
      <c r="L18" s="802"/>
      <c r="M18" s="802"/>
      <c r="N18" s="802"/>
      <c r="O18" s="802"/>
      <c r="P18" s="802"/>
      <c r="Q18" s="802"/>
      <c r="R18" s="802"/>
      <c r="S18" s="802"/>
      <c r="T18" s="802"/>
      <c r="U18" s="802"/>
      <c r="V18" s="341">
        <f>+V17+V16</f>
        <v>0</v>
      </c>
      <c r="W18" s="341">
        <f>+W17+W16</f>
        <v>0</v>
      </c>
      <c r="X18" s="204">
        <f>+X17+X16</f>
        <v>34625</v>
      </c>
      <c r="Y18" s="49" t="s">
        <v>0</v>
      </c>
    </row>
    <row r="19" spans="1:25">
      <c r="A19" s="799" t="s">
        <v>328</v>
      </c>
      <c r="B19" s="800"/>
      <c r="C19" s="800"/>
      <c r="D19" s="800"/>
      <c r="E19" s="800"/>
      <c r="F19" s="800"/>
      <c r="G19" s="800"/>
      <c r="H19" s="800"/>
      <c r="I19" s="800"/>
      <c r="J19" s="800"/>
      <c r="K19" s="800"/>
      <c r="L19" s="800"/>
      <c r="M19" s="800"/>
      <c r="N19" s="800"/>
      <c r="O19" s="800"/>
      <c r="P19" s="800"/>
      <c r="Q19" s="800"/>
      <c r="R19" s="800"/>
      <c r="S19" s="800"/>
      <c r="T19" s="800"/>
      <c r="U19" s="800"/>
      <c r="V19" s="51">
        <v>0</v>
      </c>
      <c r="W19" s="51">
        <v>0</v>
      </c>
      <c r="X19" s="52">
        <v>26625</v>
      </c>
      <c r="Y19" s="49" t="s">
        <v>0</v>
      </c>
    </row>
    <row r="20" spans="1:25">
      <c r="A20" s="790" t="s">
        <v>329</v>
      </c>
      <c r="B20" s="791"/>
      <c r="C20" s="791"/>
      <c r="D20" s="791"/>
      <c r="E20" s="791"/>
      <c r="F20" s="791"/>
      <c r="G20" s="791"/>
      <c r="H20" s="791"/>
      <c r="I20" s="791"/>
      <c r="J20" s="791"/>
      <c r="K20" s="791"/>
      <c r="L20" s="791"/>
      <c r="M20" s="791"/>
      <c r="N20" s="791"/>
      <c r="O20" s="791"/>
      <c r="P20" s="791"/>
      <c r="Q20" s="791"/>
      <c r="R20" s="791"/>
      <c r="S20" s="791"/>
      <c r="T20" s="791"/>
      <c r="U20" s="791"/>
      <c r="V20" s="94">
        <f>+V19</f>
        <v>0</v>
      </c>
      <c r="W20" s="94">
        <f>+W19</f>
        <v>0</v>
      </c>
      <c r="X20" s="94">
        <f>+X19</f>
        <v>26625</v>
      </c>
      <c r="Y20" s="49" t="s">
        <v>0</v>
      </c>
    </row>
    <row r="21" spans="1:25">
      <c r="A21" s="764" t="s">
        <v>11</v>
      </c>
      <c r="B21" s="765"/>
      <c r="C21" s="765"/>
      <c r="D21" s="765"/>
      <c r="E21" s="765"/>
      <c r="F21" s="765"/>
      <c r="G21" s="765"/>
      <c r="H21" s="765"/>
      <c r="I21" s="765"/>
      <c r="J21" s="765"/>
      <c r="K21" s="765"/>
      <c r="L21" s="765"/>
      <c r="M21" s="765"/>
      <c r="N21" s="765"/>
      <c r="O21" s="765"/>
      <c r="P21" s="765"/>
      <c r="Q21" s="765"/>
      <c r="R21" s="765"/>
      <c r="S21" s="765"/>
      <c r="T21" s="765"/>
      <c r="U21" s="765"/>
      <c r="V21" s="51"/>
      <c r="W21" s="51"/>
      <c r="X21" s="52"/>
      <c r="Y21" s="49" t="s">
        <v>0</v>
      </c>
    </row>
    <row r="22" spans="1:25">
      <c r="A22" s="763" t="s">
        <v>41</v>
      </c>
      <c r="B22" s="762"/>
      <c r="C22" s="762"/>
      <c r="D22" s="762"/>
      <c r="E22" s="762"/>
      <c r="F22" s="762"/>
      <c r="G22" s="762"/>
      <c r="H22" s="762"/>
      <c r="I22" s="762"/>
      <c r="J22" s="762"/>
      <c r="K22" s="762"/>
      <c r="L22" s="762"/>
      <c r="M22" s="762"/>
      <c r="N22" s="762"/>
      <c r="O22" s="762"/>
      <c r="P22" s="762"/>
      <c r="Q22" s="762"/>
      <c r="R22" s="762"/>
      <c r="S22" s="762"/>
      <c r="T22" s="762"/>
      <c r="U22" s="762"/>
      <c r="V22" s="51">
        <v>0</v>
      </c>
      <c r="W22" s="51">
        <v>0</v>
      </c>
      <c r="X22" s="52">
        <v>0</v>
      </c>
      <c r="Y22" s="49" t="s">
        <v>0</v>
      </c>
    </row>
    <row r="23" spans="1:25">
      <c r="A23" s="816" t="s">
        <v>247</v>
      </c>
      <c r="B23" s="817"/>
      <c r="C23" s="817"/>
      <c r="D23" s="817"/>
      <c r="E23" s="817"/>
      <c r="F23" s="817"/>
      <c r="G23" s="817"/>
      <c r="H23" s="817"/>
      <c r="I23" s="817"/>
      <c r="J23" s="817"/>
      <c r="K23" s="817"/>
      <c r="L23" s="817"/>
      <c r="M23" s="817"/>
      <c r="N23" s="817"/>
      <c r="O23" s="817"/>
      <c r="P23" s="817"/>
      <c r="Q23" s="817"/>
      <c r="R23" s="817"/>
      <c r="S23" s="817"/>
      <c r="T23" s="817"/>
      <c r="U23" s="818"/>
      <c r="V23" s="90">
        <f>SUM(V20:V22)</f>
        <v>0</v>
      </c>
      <c r="W23" s="90">
        <f>SUM(W20:W22)</f>
        <v>0</v>
      </c>
      <c r="X23" s="90">
        <f>SUM(X20:X22)</f>
        <v>26625</v>
      </c>
      <c r="Y23" s="49" t="s">
        <v>0</v>
      </c>
    </row>
    <row r="24" spans="1:25">
      <c r="A24" s="764" t="s">
        <v>96</v>
      </c>
      <c r="B24" s="765"/>
      <c r="C24" s="765"/>
      <c r="D24" s="765"/>
      <c r="E24" s="765"/>
      <c r="F24" s="765"/>
      <c r="G24" s="765"/>
      <c r="H24" s="765"/>
      <c r="I24" s="765"/>
      <c r="J24" s="765"/>
      <c r="K24" s="765"/>
      <c r="L24" s="765"/>
      <c r="M24" s="765"/>
      <c r="N24" s="765"/>
      <c r="O24" s="765"/>
      <c r="P24" s="765"/>
      <c r="Q24" s="765"/>
      <c r="R24" s="765"/>
      <c r="S24" s="765"/>
      <c r="T24" s="765"/>
      <c r="U24" s="765"/>
      <c r="V24" s="51"/>
      <c r="W24" s="51"/>
      <c r="X24" s="52"/>
      <c r="Y24" s="49" t="s">
        <v>0</v>
      </c>
    </row>
    <row r="25" spans="1:25">
      <c r="A25" s="761" t="s">
        <v>339</v>
      </c>
      <c r="B25" s="762"/>
      <c r="C25" s="762"/>
      <c r="D25" s="762"/>
      <c r="E25" s="762"/>
      <c r="F25" s="762"/>
      <c r="G25" s="762"/>
      <c r="H25" s="762"/>
      <c r="I25" s="762"/>
      <c r="J25" s="762"/>
      <c r="K25" s="762"/>
      <c r="L25" s="762"/>
      <c r="M25" s="762"/>
      <c r="N25" s="762"/>
      <c r="O25" s="762"/>
      <c r="P25" s="762"/>
      <c r="Q25" s="762"/>
      <c r="R25" s="762"/>
      <c r="S25" s="762"/>
      <c r="T25" s="762"/>
      <c r="U25" s="762"/>
      <c r="V25" s="51"/>
      <c r="W25" s="51"/>
      <c r="X25" s="52"/>
      <c r="Y25" s="49" t="s">
        <v>0</v>
      </c>
    </row>
    <row r="26" spans="1:25">
      <c r="A26" s="732" t="s">
        <v>454</v>
      </c>
      <c r="B26" s="733"/>
      <c r="C26" s="733"/>
      <c r="D26" s="733"/>
      <c r="E26" s="733"/>
      <c r="F26" s="733"/>
      <c r="G26" s="733"/>
      <c r="H26" s="733"/>
      <c r="I26" s="733"/>
      <c r="J26" s="733"/>
      <c r="K26" s="733"/>
      <c r="L26" s="733"/>
      <c r="M26" s="733"/>
      <c r="N26" s="733"/>
      <c r="O26" s="733"/>
      <c r="P26" s="733"/>
      <c r="Q26" s="733"/>
      <c r="R26" s="733"/>
      <c r="S26" s="733"/>
      <c r="T26" s="733"/>
      <c r="U26" s="733"/>
      <c r="V26" s="51"/>
      <c r="W26" s="51"/>
      <c r="X26" s="52">
        <v>-11000</v>
      </c>
      <c r="Y26" s="49" t="s">
        <v>0</v>
      </c>
    </row>
    <row r="27" spans="1:25">
      <c r="A27" s="732" t="s">
        <v>343</v>
      </c>
      <c r="B27" s="733"/>
      <c r="C27" s="733"/>
      <c r="D27" s="733"/>
      <c r="E27" s="733"/>
      <c r="F27" s="733"/>
      <c r="G27" s="733"/>
      <c r="H27" s="733"/>
      <c r="I27" s="733"/>
      <c r="J27" s="733"/>
      <c r="K27" s="733"/>
      <c r="L27" s="733"/>
      <c r="M27" s="733"/>
      <c r="N27" s="733"/>
      <c r="O27" s="733"/>
      <c r="P27" s="733"/>
      <c r="Q27" s="733"/>
      <c r="R27" s="733"/>
      <c r="S27" s="733"/>
      <c r="T27" s="733"/>
      <c r="U27" s="733"/>
      <c r="V27" s="51">
        <f>+V26</f>
        <v>0</v>
      </c>
      <c r="W27" s="51">
        <f>+W26</f>
        <v>0</v>
      </c>
      <c r="X27" s="52">
        <f>+X26</f>
        <v>-11000</v>
      </c>
      <c r="Y27" s="49" t="s">
        <v>0</v>
      </c>
    </row>
    <row r="28" spans="1:25" ht="18" customHeight="1">
      <c r="A28" s="391" t="s">
        <v>97</v>
      </c>
      <c r="B28" s="392"/>
      <c r="C28" s="392"/>
      <c r="D28" s="392"/>
      <c r="E28" s="392"/>
      <c r="F28" s="392"/>
      <c r="G28" s="392"/>
      <c r="H28" s="392"/>
      <c r="I28" s="392"/>
      <c r="J28" s="392"/>
      <c r="K28" s="392"/>
      <c r="L28" s="392"/>
      <c r="M28" s="392"/>
      <c r="N28" s="392"/>
      <c r="O28" s="392"/>
      <c r="P28" s="392"/>
      <c r="Q28" s="392"/>
      <c r="R28" s="392"/>
      <c r="S28" s="392"/>
      <c r="T28" s="392"/>
      <c r="U28" s="392"/>
      <c r="V28" s="57">
        <f>SUM(+V27)</f>
        <v>0</v>
      </c>
      <c r="W28" s="57">
        <f>SUM(+W27)</f>
        <v>0</v>
      </c>
      <c r="X28" s="57">
        <f>SUM(+X27)</f>
        <v>-11000</v>
      </c>
      <c r="Y28" s="49" t="s">
        <v>0</v>
      </c>
    </row>
    <row r="29" spans="1:25" ht="18" customHeight="1">
      <c r="A29" s="389" t="s">
        <v>248</v>
      </c>
      <c r="B29" s="390"/>
      <c r="C29" s="390"/>
      <c r="D29" s="390"/>
      <c r="E29" s="390"/>
      <c r="F29" s="390"/>
      <c r="G29" s="390"/>
      <c r="H29" s="390"/>
      <c r="I29" s="390"/>
      <c r="J29" s="390"/>
      <c r="K29" s="390"/>
      <c r="L29" s="390"/>
      <c r="M29" s="390"/>
      <c r="N29" s="390"/>
      <c r="O29" s="390"/>
      <c r="P29" s="390"/>
      <c r="Q29" s="390"/>
      <c r="R29" s="390"/>
      <c r="S29" s="390"/>
      <c r="T29" s="390"/>
      <c r="U29" s="390"/>
      <c r="V29" s="58">
        <f>V23+V28</f>
        <v>0</v>
      </c>
      <c r="W29" s="58">
        <f>W23+W28</f>
        <v>0</v>
      </c>
      <c r="X29" s="58">
        <f>X23+X28</f>
        <v>15625</v>
      </c>
      <c r="Y29" s="49" t="s">
        <v>0</v>
      </c>
    </row>
    <row r="30" spans="1:25" ht="18" customHeight="1">
      <c r="A30" s="821" t="s">
        <v>335</v>
      </c>
      <c r="B30" s="822"/>
      <c r="C30" s="822"/>
      <c r="D30" s="822"/>
      <c r="E30" s="822"/>
      <c r="F30" s="822"/>
      <c r="G30" s="822"/>
      <c r="H30" s="822"/>
      <c r="I30" s="822"/>
      <c r="J30" s="822"/>
      <c r="K30" s="822"/>
      <c r="L30" s="822"/>
      <c r="M30" s="822"/>
      <c r="N30" s="822"/>
      <c r="O30" s="822"/>
      <c r="P30" s="822"/>
      <c r="Q30" s="822"/>
      <c r="R30" s="822"/>
      <c r="S30" s="822"/>
      <c r="T30" s="822"/>
      <c r="U30" s="822"/>
      <c r="V30" s="341">
        <f>+V29-V18</f>
        <v>0</v>
      </c>
      <c r="W30" s="341">
        <f>+W29-W18</f>
        <v>0</v>
      </c>
      <c r="X30" s="204">
        <f>+X29-X18</f>
        <v>-19000</v>
      </c>
      <c r="Y30" s="49" t="s">
        <v>0</v>
      </c>
    </row>
    <row r="31" spans="1:25">
      <c r="Y31" s="49" t="s">
        <v>0</v>
      </c>
    </row>
    <row r="32" spans="1:25" ht="18" customHeight="1">
      <c r="Y32" s="49" t="s">
        <v>0</v>
      </c>
    </row>
    <row r="33" spans="1:25" ht="18" customHeight="1">
      <c r="Y33" s="49" t="s">
        <v>0</v>
      </c>
    </row>
    <row r="34" spans="1:25" ht="18" customHeight="1">
      <c r="Y34" s="49" t="s">
        <v>0</v>
      </c>
    </row>
    <row r="35" spans="1:25" ht="22.5">
      <c r="A35" s="744" t="s">
        <v>276</v>
      </c>
      <c r="B35" s="742"/>
      <c r="C35" s="742"/>
      <c r="D35" s="742"/>
      <c r="E35" s="742"/>
      <c r="F35" s="742"/>
      <c r="G35" s="742"/>
      <c r="H35" s="742"/>
      <c r="I35" s="742"/>
      <c r="J35" s="742"/>
      <c r="K35" s="742"/>
      <c r="L35" s="742"/>
      <c r="M35" s="742"/>
      <c r="N35" s="742"/>
      <c r="O35" s="742"/>
      <c r="P35" s="742"/>
      <c r="Q35" s="742"/>
      <c r="R35" s="742"/>
      <c r="S35" s="742"/>
      <c r="T35" s="742"/>
      <c r="U35" s="742"/>
      <c r="V35" s="742"/>
      <c r="W35" s="742"/>
      <c r="X35" s="742"/>
      <c r="Y35" s="49" t="s">
        <v>0</v>
      </c>
    </row>
    <row r="36" spans="1:25" ht="23.25">
      <c r="A36" s="741" t="str">
        <f>A7</f>
        <v>United States Marshals Service</v>
      </c>
      <c r="B36" s="774"/>
      <c r="C36" s="774"/>
      <c r="D36" s="774"/>
      <c r="E36" s="774"/>
      <c r="F36" s="774"/>
      <c r="G36" s="774"/>
      <c r="H36" s="774"/>
      <c r="I36" s="774"/>
      <c r="J36" s="774"/>
      <c r="K36" s="774"/>
      <c r="L36" s="774"/>
      <c r="M36" s="774"/>
      <c r="N36" s="774"/>
      <c r="O36" s="774"/>
      <c r="P36" s="774"/>
      <c r="Q36" s="774"/>
      <c r="R36" s="774"/>
      <c r="S36" s="774"/>
      <c r="T36" s="774"/>
      <c r="U36" s="774"/>
      <c r="V36" s="774"/>
      <c r="W36" s="774"/>
      <c r="X36" s="774"/>
      <c r="Y36" s="49" t="s">
        <v>0</v>
      </c>
    </row>
    <row r="37" spans="1:25" ht="23.25">
      <c r="A37" s="741" t="str">
        <f>+A8</f>
        <v>Construction</v>
      </c>
      <c r="B37" s="742"/>
      <c r="C37" s="742"/>
      <c r="D37" s="742"/>
      <c r="E37" s="742"/>
      <c r="F37" s="742"/>
      <c r="G37" s="742"/>
      <c r="H37" s="742"/>
      <c r="I37" s="742"/>
      <c r="J37" s="742"/>
      <c r="K37" s="742"/>
      <c r="L37" s="742"/>
      <c r="M37" s="742"/>
      <c r="N37" s="742"/>
      <c r="O37" s="742"/>
      <c r="P37" s="742"/>
      <c r="Q37" s="742"/>
      <c r="R37" s="742"/>
      <c r="S37" s="742"/>
      <c r="T37" s="742"/>
      <c r="U37" s="742"/>
      <c r="V37" s="742"/>
      <c r="W37" s="742"/>
      <c r="X37" s="742"/>
      <c r="Y37" s="49" t="s">
        <v>0</v>
      </c>
    </row>
    <row r="38" spans="1:25" ht="23.25">
      <c r="A38" s="741" t="s">
        <v>265</v>
      </c>
      <c r="B38" s="743"/>
      <c r="C38" s="743"/>
      <c r="D38" s="743"/>
      <c r="E38" s="743"/>
      <c r="F38" s="743"/>
      <c r="G38" s="743"/>
      <c r="H38" s="743"/>
      <c r="I38" s="743"/>
      <c r="J38" s="743"/>
      <c r="K38" s="743"/>
      <c r="L38" s="743"/>
      <c r="M38" s="743"/>
      <c r="N38" s="743"/>
      <c r="O38" s="743"/>
      <c r="P38" s="743"/>
      <c r="Q38" s="743"/>
      <c r="R38" s="743"/>
      <c r="S38" s="743"/>
      <c r="T38" s="743"/>
      <c r="U38" s="743"/>
      <c r="V38" s="743"/>
      <c r="W38" s="743"/>
      <c r="X38" s="743"/>
      <c r="Y38" s="49" t="s">
        <v>0</v>
      </c>
    </row>
    <row r="39" spans="1:25" ht="18" customHeight="1">
      <c r="Y39" s="49" t="s">
        <v>0</v>
      </c>
    </row>
    <row r="40" spans="1:25" ht="18" customHeight="1">
      <c r="A40" s="33"/>
      <c r="B40" s="33"/>
      <c r="C40" s="33"/>
      <c r="D40" s="34"/>
      <c r="E40" s="34"/>
      <c r="F40" s="34"/>
      <c r="G40" s="34"/>
      <c r="H40" s="34"/>
      <c r="I40" s="34"/>
      <c r="J40" s="34"/>
      <c r="K40" s="34"/>
      <c r="L40" s="34"/>
      <c r="M40" s="34"/>
      <c r="N40" s="34"/>
      <c r="O40" s="34"/>
      <c r="P40" s="34"/>
      <c r="Q40" s="34"/>
      <c r="R40" s="34"/>
      <c r="S40" s="34"/>
      <c r="T40" s="34"/>
      <c r="U40" s="34"/>
      <c r="V40" s="34"/>
      <c r="W40" s="34"/>
      <c r="X40" s="34"/>
      <c r="Y40" s="49" t="s">
        <v>0</v>
      </c>
    </row>
    <row r="41" spans="1:25" ht="22.5" customHeight="1">
      <c r="A41" s="735" t="s">
        <v>286</v>
      </c>
      <c r="B41" s="736"/>
      <c r="C41" s="736"/>
      <c r="D41" s="745" t="s">
        <v>403</v>
      </c>
      <c r="E41" s="746"/>
      <c r="F41" s="747"/>
      <c r="G41" s="751" t="s">
        <v>330</v>
      </c>
      <c r="H41" s="752"/>
      <c r="I41" s="753"/>
      <c r="J41" s="757" t="s">
        <v>249</v>
      </c>
      <c r="K41" s="746"/>
      <c r="L41" s="747"/>
      <c r="M41" s="757" t="s">
        <v>247</v>
      </c>
      <c r="N41" s="746"/>
      <c r="O41" s="747"/>
      <c r="P41" s="757" t="s">
        <v>250</v>
      </c>
      <c r="Q41" s="775"/>
      <c r="R41" s="775"/>
      <c r="S41" s="757" t="s">
        <v>251</v>
      </c>
      <c r="T41" s="746"/>
      <c r="U41" s="746"/>
      <c r="V41" s="757" t="s">
        <v>44</v>
      </c>
      <c r="W41" s="746"/>
      <c r="X41" s="747"/>
      <c r="Y41" s="49" t="s">
        <v>0</v>
      </c>
    </row>
    <row r="42" spans="1:25" ht="27.75" customHeight="1">
      <c r="A42" s="737"/>
      <c r="B42" s="738"/>
      <c r="C42" s="738"/>
      <c r="D42" s="748"/>
      <c r="E42" s="749"/>
      <c r="F42" s="750"/>
      <c r="G42" s="754"/>
      <c r="H42" s="755"/>
      <c r="I42" s="756"/>
      <c r="J42" s="748"/>
      <c r="K42" s="749"/>
      <c r="L42" s="750"/>
      <c r="M42" s="748"/>
      <c r="N42" s="749"/>
      <c r="O42" s="750"/>
      <c r="P42" s="776"/>
      <c r="Q42" s="777"/>
      <c r="R42" s="777"/>
      <c r="S42" s="748"/>
      <c r="T42" s="749"/>
      <c r="U42" s="749"/>
      <c r="V42" s="748"/>
      <c r="W42" s="749"/>
      <c r="X42" s="750"/>
      <c r="Y42" s="49" t="s">
        <v>0</v>
      </c>
    </row>
    <row r="43" spans="1:25" ht="16.5" thickBot="1">
      <c r="A43" s="739"/>
      <c r="B43" s="740"/>
      <c r="C43" s="740"/>
      <c r="D43" s="116" t="s">
        <v>287</v>
      </c>
      <c r="E43" s="117" t="s">
        <v>51</v>
      </c>
      <c r="F43" s="118" t="s">
        <v>289</v>
      </c>
      <c r="G43" s="116" t="s">
        <v>287</v>
      </c>
      <c r="H43" s="117" t="s">
        <v>51</v>
      </c>
      <c r="I43" s="118" t="s">
        <v>289</v>
      </c>
      <c r="J43" s="116" t="s">
        <v>287</v>
      </c>
      <c r="K43" s="117" t="s">
        <v>51</v>
      </c>
      <c r="L43" s="118" t="s">
        <v>289</v>
      </c>
      <c r="M43" s="116" t="s">
        <v>287</v>
      </c>
      <c r="N43" s="117" t="s">
        <v>51</v>
      </c>
      <c r="O43" s="118" t="s">
        <v>289</v>
      </c>
      <c r="P43" s="116" t="s">
        <v>287</v>
      </c>
      <c r="Q43" s="117" t="s">
        <v>51</v>
      </c>
      <c r="R43" s="118" t="s">
        <v>289</v>
      </c>
      <c r="S43" s="116" t="s">
        <v>287</v>
      </c>
      <c r="T43" s="117" t="s">
        <v>51</v>
      </c>
      <c r="U43" s="118" t="s">
        <v>289</v>
      </c>
      <c r="V43" s="119" t="s">
        <v>287</v>
      </c>
      <c r="W43" s="117" t="s">
        <v>51</v>
      </c>
      <c r="X43" s="120" t="s">
        <v>289</v>
      </c>
      <c r="Y43" s="49" t="s">
        <v>0</v>
      </c>
    </row>
    <row r="44" spans="1:25">
      <c r="A44" s="107"/>
      <c r="B44" s="819" t="s">
        <v>338</v>
      </c>
      <c r="C44" s="820"/>
      <c r="D44" s="372">
        <v>0</v>
      </c>
      <c r="E44" s="366">
        <v>0</v>
      </c>
      <c r="F44" s="366">
        <f>26625+8000</f>
        <v>34625</v>
      </c>
      <c r="G44" s="372">
        <v>0</v>
      </c>
      <c r="H44" s="366">
        <v>0</v>
      </c>
      <c r="I44" s="366">
        <v>26625</v>
      </c>
      <c r="J44" s="372">
        <v>0</v>
      </c>
      <c r="K44" s="366">
        <v>0</v>
      </c>
      <c r="L44" s="366">
        <v>0</v>
      </c>
      <c r="M44" s="372">
        <f>SUM(G44,J44)</f>
        <v>0</v>
      </c>
      <c r="N44" s="366">
        <f>SUM(H44,K44)</f>
        <v>0</v>
      </c>
      <c r="O44" s="366">
        <f>SUM(I44,L44)</f>
        <v>26625</v>
      </c>
      <c r="P44" s="372">
        <v>0</v>
      </c>
      <c r="Q44" s="366">
        <v>0</v>
      </c>
      <c r="R44" s="366">
        <v>0</v>
      </c>
      <c r="S44" s="372">
        <v>0</v>
      </c>
      <c r="T44" s="366">
        <v>0</v>
      </c>
      <c r="U44" s="366">
        <v>-11000</v>
      </c>
      <c r="V44" s="372">
        <f>P44+M44+S44</f>
        <v>0</v>
      </c>
      <c r="W44" s="366">
        <f>+N44+Q44+T44</f>
        <v>0</v>
      </c>
      <c r="X44" s="373">
        <f>R44+O44+U44</f>
        <v>15625</v>
      </c>
      <c r="Y44" s="49" t="s">
        <v>0</v>
      </c>
    </row>
    <row r="45" spans="1:25">
      <c r="A45" s="718"/>
      <c r="B45" s="719"/>
      <c r="C45" s="719" t="s">
        <v>52</v>
      </c>
      <c r="D45" s="375">
        <f t="shared" ref="D45:X45" si="0">SUM(D44:D44)</f>
        <v>0</v>
      </c>
      <c r="E45" s="720">
        <f t="shared" si="0"/>
        <v>0</v>
      </c>
      <c r="F45" s="721">
        <f t="shared" si="0"/>
        <v>34625</v>
      </c>
      <c r="G45" s="375">
        <f t="shared" si="0"/>
        <v>0</v>
      </c>
      <c r="H45" s="720">
        <f t="shared" si="0"/>
        <v>0</v>
      </c>
      <c r="I45" s="721">
        <f t="shared" si="0"/>
        <v>26625</v>
      </c>
      <c r="J45" s="375">
        <f t="shared" si="0"/>
        <v>0</v>
      </c>
      <c r="K45" s="720">
        <f t="shared" si="0"/>
        <v>0</v>
      </c>
      <c r="L45" s="721">
        <f t="shared" si="0"/>
        <v>0</v>
      </c>
      <c r="M45" s="375">
        <f t="shared" si="0"/>
        <v>0</v>
      </c>
      <c r="N45" s="720">
        <f t="shared" si="0"/>
        <v>0</v>
      </c>
      <c r="O45" s="721">
        <f t="shared" si="0"/>
        <v>26625</v>
      </c>
      <c r="P45" s="375">
        <f t="shared" si="0"/>
        <v>0</v>
      </c>
      <c r="Q45" s="720">
        <f t="shared" si="0"/>
        <v>0</v>
      </c>
      <c r="R45" s="721">
        <f t="shared" si="0"/>
        <v>0</v>
      </c>
      <c r="S45" s="375">
        <f t="shared" si="0"/>
        <v>0</v>
      </c>
      <c r="T45" s="720">
        <f t="shared" si="0"/>
        <v>0</v>
      </c>
      <c r="U45" s="722">
        <f t="shared" si="0"/>
        <v>-11000</v>
      </c>
      <c r="V45" s="375">
        <f t="shared" si="0"/>
        <v>0</v>
      </c>
      <c r="W45" s="720">
        <f t="shared" si="0"/>
        <v>0</v>
      </c>
      <c r="X45" s="723">
        <f t="shared" si="0"/>
        <v>15625</v>
      </c>
      <c r="Y45" s="49" t="s">
        <v>0</v>
      </c>
    </row>
    <row r="46" spans="1:25">
      <c r="A46" s="812" t="s">
        <v>341</v>
      </c>
      <c r="B46" s="813"/>
      <c r="C46" s="813"/>
      <c r="D46" s="813"/>
      <c r="E46" s="813"/>
      <c r="F46" s="813"/>
      <c r="G46" s="813"/>
      <c r="H46" s="813"/>
      <c r="I46" s="813"/>
      <c r="J46" s="813"/>
      <c r="K46" s="813"/>
      <c r="L46" s="813"/>
      <c r="M46" s="813"/>
      <c r="N46" s="813"/>
      <c r="O46" s="813"/>
      <c r="P46" s="813"/>
      <c r="Q46" s="813"/>
      <c r="R46" s="813"/>
      <c r="S46" s="813"/>
      <c r="T46" s="813"/>
      <c r="U46" s="813"/>
      <c r="Y46" s="49" t="s">
        <v>23</v>
      </c>
    </row>
    <row r="47" spans="1:25">
      <c r="C47" s="5"/>
    </row>
    <row r="48" spans="1:25" s="335" customFormat="1" ht="15">
      <c r="D48" s="336"/>
      <c r="E48" s="336"/>
      <c r="F48" s="336"/>
      <c r="G48" s="336"/>
      <c r="H48" s="336"/>
      <c r="I48" s="336"/>
      <c r="J48" s="336"/>
      <c r="K48" s="336"/>
      <c r="L48" s="336"/>
      <c r="M48" s="336"/>
      <c r="N48" s="336"/>
      <c r="O48" s="336"/>
      <c r="P48" s="336"/>
      <c r="Q48" s="336"/>
      <c r="R48" s="336"/>
      <c r="S48" s="336"/>
      <c r="T48" s="336"/>
      <c r="U48" s="336"/>
      <c r="V48" s="336"/>
      <c r="W48" s="336"/>
      <c r="X48" s="336"/>
      <c r="Y48" s="337"/>
    </row>
    <row r="49" spans="4:25" s="335" customFormat="1" ht="15">
      <c r="D49" s="336"/>
      <c r="E49" s="336"/>
      <c r="F49" s="336"/>
      <c r="G49" s="336"/>
      <c r="H49" s="336"/>
      <c r="I49" s="336"/>
      <c r="J49" s="336"/>
      <c r="K49" s="336"/>
      <c r="L49" s="336"/>
      <c r="M49" s="336"/>
      <c r="N49" s="336"/>
      <c r="O49" s="336"/>
      <c r="P49" s="336"/>
      <c r="Q49" s="336"/>
      <c r="R49" s="336"/>
      <c r="S49" s="336"/>
      <c r="T49" s="336"/>
      <c r="U49" s="336"/>
      <c r="V49" s="336"/>
      <c r="W49" s="336"/>
      <c r="X49" s="336"/>
      <c r="Y49" s="337"/>
    </row>
    <row r="50" spans="4:25">
      <c r="K50" s="36"/>
    </row>
  </sheetData>
  <customSheetViews>
    <customSheetView guid="{9A28834D-6BE2-4884-BE97-BE00946B08BB}" scale="65" showPageBreaks="1" showGridLines="0" outlineSymbols="0" fitToPage="1" printArea="1" hiddenRows="1" view="pageBreakPreview" topLeftCell="A13">
      <selection activeCell="A3" sqref="A3:IV3"/>
      <pageMargins left="0.5" right="0.4" top="0.5" bottom="0.25" header="0" footer="0"/>
      <printOptions horizontalCentered="1"/>
      <pageSetup scale="55" firstPageNumber="8" fitToHeight="0" orientation="landscape" useFirstPageNumber="1" r:id="rId1"/>
      <headerFooter alignWithMargins="0">
        <oddFooter>&amp;C&amp;"Times New Roman,Regular"Exhibit B - Summary of Requirements - Construction</oddFooter>
      </headerFooter>
    </customSheetView>
  </customSheetViews>
  <mergeCells count="42">
    <mergeCell ref="B44:C44"/>
    <mergeCell ref="V41:X42"/>
    <mergeCell ref="A26:U26"/>
    <mergeCell ref="A27:U27"/>
    <mergeCell ref="A30:U30"/>
    <mergeCell ref="D41:F42"/>
    <mergeCell ref="G41:I42"/>
    <mergeCell ref="A35:X35"/>
    <mergeCell ref="A36:X36"/>
    <mergeCell ref="A37:X37"/>
    <mergeCell ref="A38:X38"/>
    <mergeCell ref="A41:C43"/>
    <mergeCell ref="P41:R42"/>
    <mergeCell ref="S41:U42"/>
    <mergeCell ref="J41:L42"/>
    <mergeCell ref="M41:O42"/>
    <mergeCell ref="A46:U46"/>
    <mergeCell ref="A1:X1"/>
    <mergeCell ref="A2:X2"/>
    <mergeCell ref="A5:X5"/>
    <mergeCell ref="A6:X6"/>
    <mergeCell ref="A7:X7"/>
    <mergeCell ref="A20:U20"/>
    <mergeCell ref="A21:U21"/>
    <mergeCell ref="A16:U16"/>
    <mergeCell ref="A17:U17"/>
    <mergeCell ref="A18:U18"/>
    <mergeCell ref="A19:U19"/>
    <mergeCell ref="A25:U25"/>
    <mergeCell ref="A22:U22"/>
    <mergeCell ref="A23:U23"/>
    <mergeCell ref="A24:U24"/>
    <mergeCell ref="A13:U15"/>
    <mergeCell ref="V13:X13"/>
    <mergeCell ref="V14:V15"/>
    <mergeCell ref="W14:W15"/>
    <mergeCell ref="X14:X15"/>
    <mergeCell ref="A8:X8"/>
    <mergeCell ref="A9:X9"/>
    <mergeCell ref="A10:X10"/>
    <mergeCell ref="A11:X11"/>
    <mergeCell ref="A12:X12"/>
  </mergeCells>
  <printOptions horizontalCentered="1"/>
  <pageMargins left="0.5" right="0.4" top="0.5" bottom="0.25" header="0" footer="0"/>
  <pageSetup scale="55" firstPageNumber="8" fitToHeight="0" orientation="landscape" useFirstPageNumber="1" r:id="rId2"/>
  <headerFooter alignWithMargins="0">
    <oddFooter>&amp;C&amp;"Times New Roman,Regular"Exhibit B - Summary of Requirements - Construction</oddFooter>
  </headerFooter>
</worksheet>
</file>

<file path=xl/worksheets/sheet4.xml><?xml version="1.0" encoding="utf-8"?>
<worksheet xmlns="http://schemas.openxmlformats.org/spreadsheetml/2006/main" xmlns:r="http://schemas.openxmlformats.org/officeDocument/2006/relationships">
  <sheetPr codeName="Sheet6">
    <pageSetUpPr fitToPage="1"/>
  </sheetPr>
  <dimension ref="A1:X44"/>
  <sheetViews>
    <sheetView view="pageBreakPreview" zoomScale="75" zoomScaleNormal="100" zoomScaleSheetLayoutView="75" workbookViewId="0">
      <selection activeCell="X48" sqref="X48"/>
    </sheetView>
  </sheetViews>
  <sheetFormatPr defaultColWidth="7.21875" defaultRowHeight="12.75"/>
  <cols>
    <col min="1" max="1" width="26.44140625" style="425" customWidth="1"/>
    <col min="2" max="2" width="17.21875" style="425" customWidth="1"/>
    <col min="3" max="3" width="4.6640625" style="425" hidden="1" customWidth="1"/>
    <col min="4" max="4" width="7.5546875" style="425" hidden="1" customWidth="1"/>
    <col min="5" max="5" width="4.6640625" style="425" hidden="1" customWidth="1"/>
    <col min="6" max="6" width="11.88671875" style="425" customWidth="1"/>
    <col min="7" max="7" width="8.33203125" style="425" customWidth="1"/>
    <col min="8" max="8" width="7.44140625" style="425" customWidth="1"/>
    <col min="9" max="9" width="4.6640625" style="425" customWidth="1"/>
    <col min="10" max="10" width="7.21875" style="425" customWidth="1"/>
    <col min="11" max="11" width="4.6640625" style="425" hidden="1" customWidth="1"/>
    <col min="12" max="12" width="7.21875" style="425" hidden="1" customWidth="1"/>
    <col min="13" max="13" width="4.6640625" style="425" hidden="1" customWidth="1"/>
    <col min="14" max="14" width="11.5546875" style="425" customWidth="1"/>
    <col min="15" max="15" width="4.6640625" style="425" hidden="1" customWidth="1"/>
    <col min="16" max="16" width="7.21875" style="425" hidden="1" customWidth="1"/>
    <col min="17" max="17" width="4.6640625" style="425" hidden="1" customWidth="1"/>
    <col min="18" max="18" width="10" style="425" customWidth="1"/>
    <col min="19" max="19" width="4.6640625" style="425" hidden="1" customWidth="1"/>
    <col min="20" max="20" width="7.88671875" style="425" hidden="1" customWidth="1"/>
    <col min="21" max="21" width="6.44140625" style="425" hidden="1" customWidth="1"/>
    <col min="22" max="22" width="10" style="425" customWidth="1"/>
    <col min="23" max="23" width="11.88671875" style="425" customWidth="1"/>
    <col min="24" max="24" width="8.88671875" style="480" customWidth="1"/>
    <col min="25" max="16384" width="7.21875" style="425"/>
  </cols>
  <sheetData>
    <row r="1" spans="1:24" ht="20.25">
      <c r="A1" s="837" t="s">
        <v>33</v>
      </c>
      <c r="B1" s="838"/>
      <c r="C1" s="838"/>
      <c r="D1" s="838"/>
      <c r="E1" s="838"/>
      <c r="F1" s="838"/>
      <c r="G1" s="838"/>
      <c r="H1" s="838"/>
      <c r="I1" s="838"/>
      <c r="J1" s="838"/>
      <c r="K1" s="838"/>
      <c r="L1" s="838"/>
      <c r="M1" s="838"/>
      <c r="N1" s="838"/>
      <c r="O1" s="838"/>
      <c r="P1" s="838"/>
      <c r="Q1" s="838"/>
      <c r="R1" s="838"/>
      <c r="S1" s="838"/>
      <c r="T1" s="838"/>
      <c r="U1" s="838"/>
      <c r="V1" s="838"/>
      <c r="W1" s="838"/>
      <c r="X1" s="424" t="s">
        <v>0</v>
      </c>
    </row>
    <row r="2" spans="1:24" ht="20.25">
      <c r="A2" s="839"/>
      <c r="B2" s="839"/>
      <c r="C2" s="839"/>
      <c r="D2" s="839"/>
      <c r="E2" s="839"/>
      <c r="F2" s="839"/>
      <c r="G2" s="839"/>
      <c r="H2" s="839"/>
      <c r="I2" s="839"/>
      <c r="J2" s="839"/>
      <c r="K2" s="839"/>
      <c r="L2" s="839"/>
      <c r="M2" s="839"/>
      <c r="N2" s="839"/>
      <c r="O2" s="839"/>
      <c r="P2" s="839"/>
      <c r="Q2" s="839"/>
      <c r="R2" s="839"/>
      <c r="S2" s="839"/>
      <c r="T2" s="839"/>
      <c r="U2" s="839"/>
      <c r="V2" s="839"/>
      <c r="W2" s="839"/>
      <c r="X2" s="424" t="s">
        <v>0</v>
      </c>
    </row>
    <row r="3" spans="1:24">
      <c r="A3" s="840"/>
      <c r="B3" s="840"/>
      <c r="C3" s="840"/>
      <c r="D3" s="840"/>
      <c r="E3" s="840"/>
      <c r="F3" s="840"/>
      <c r="G3" s="840"/>
      <c r="H3" s="840"/>
      <c r="I3" s="840"/>
      <c r="J3" s="840"/>
      <c r="K3" s="840"/>
      <c r="L3" s="840"/>
      <c r="M3" s="840"/>
      <c r="N3" s="840"/>
      <c r="O3" s="840"/>
      <c r="P3" s="840"/>
      <c r="Q3" s="840"/>
      <c r="R3" s="840"/>
      <c r="S3" s="840"/>
      <c r="T3" s="840"/>
      <c r="U3" s="840"/>
      <c r="V3" s="840"/>
      <c r="W3" s="840"/>
      <c r="X3" s="424" t="s">
        <v>0</v>
      </c>
    </row>
    <row r="4" spans="1:24" ht="23.25">
      <c r="A4" s="841" t="s">
        <v>237</v>
      </c>
      <c r="B4" s="842"/>
      <c r="C4" s="842"/>
      <c r="D4" s="842"/>
      <c r="E4" s="842"/>
      <c r="F4" s="842"/>
      <c r="G4" s="842"/>
      <c r="H4" s="842"/>
      <c r="I4" s="842"/>
      <c r="J4" s="842"/>
      <c r="K4" s="842"/>
      <c r="L4" s="842"/>
      <c r="M4" s="842"/>
      <c r="N4" s="842"/>
      <c r="O4" s="842"/>
      <c r="P4" s="842"/>
      <c r="Q4" s="842"/>
      <c r="R4" s="842"/>
      <c r="S4" s="842"/>
      <c r="T4" s="842"/>
      <c r="U4" s="842"/>
      <c r="V4" s="842"/>
      <c r="W4" s="842"/>
      <c r="X4" s="424" t="s">
        <v>0</v>
      </c>
    </row>
    <row r="5" spans="1:24" ht="23.25">
      <c r="A5" s="843" t="str">
        <f ca="1">+'B. Summary of Requirements_S&amp;E '!A5:X5</f>
        <v>United States Marshals Service</v>
      </c>
      <c r="B5" s="844"/>
      <c r="C5" s="844"/>
      <c r="D5" s="844"/>
      <c r="E5" s="844"/>
      <c r="F5" s="844"/>
      <c r="G5" s="844"/>
      <c r="H5" s="844"/>
      <c r="I5" s="844"/>
      <c r="J5" s="844"/>
      <c r="K5" s="844"/>
      <c r="L5" s="844"/>
      <c r="M5" s="844"/>
      <c r="N5" s="844"/>
      <c r="O5" s="844"/>
      <c r="P5" s="844"/>
      <c r="Q5" s="844"/>
      <c r="R5" s="844"/>
      <c r="S5" s="844"/>
      <c r="T5" s="844"/>
      <c r="U5" s="844"/>
      <c r="V5" s="844"/>
      <c r="W5" s="844"/>
      <c r="X5" s="424" t="s">
        <v>0</v>
      </c>
    </row>
    <row r="6" spans="1:24" ht="23.25">
      <c r="A6" s="843" t="str">
        <f ca="1">+'B. Summary of Requirements_S&amp;E '!A6:X6</f>
        <v>Salaries and Expenses</v>
      </c>
      <c r="B6" s="844"/>
      <c r="C6" s="844"/>
      <c r="D6" s="844"/>
      <c r="E6" s="844"/>
      <c r="F6" s="844"/>
      <c r="G6" s="844"/>
      <c r="H6" s="844"/>
      <c r="I6" s="844"/>
      <c r="J6" s="844"/>
      <c r="K6" s="844"/>
      <c r="L6" s="844"/>
      <c r="M6" s="844"/>
      <c r="N6" s="844"/>
      <c r="O6" s="844"/>
      <c r="P6" s="844"/>
      <c r="Q6" s="844"/>
      <c r="R6" s="844"/>
      <c r="S6" s="844"/>
      <c r="T6" s="844"/>
      <c r="U6" s="844"/>
      <c r="V6" s="844"/>
      <c r="W6" s="844"/>
      <c r="X6" s="424" t="s">
        <v>0</v>
      </c>
    </row>
    <row r="7" spans="1:24" ht="20.25">
      <c r="A7" s="845" t="s">
        <v>265</v>
      </c>
      <c r="B7" s="846"/>
      <c r="C7" s="846"/>
      <c r="D7" s="846"/>
      <c r="E7" s="846"/>
      <c r="F7" s="846"/>
      <c r="G7" s="846"/>
      <c r="H7" s="846"/>
      <c r="I7" s="846"/>
      <c r="J7" s="846"/>
      <c r="K7" s="846"/>
      <c r="L7" s="846"/>
      <c r="M7" s="846"/>
      <c r="N7" s="846"/>
      <c r="O7" s="846"/>
      <c r="P7" s="846"/>
      <c r="Q7" s="846"/>
      <c r="R7" s="846"/>
      <c r="S7" s="846"/>
      <c r="T7" s="846"/>
      <c r="U7" s="846"/>
      <c r="V7" s="846"/>
      <c r="W7" s="846"/>
      <c r="X7" s="424" t="s">
        <v>0</v>
      </c>
    </row>
    <row r="8" spans="1:24">
      <c r="A8" s="847"/>
      <c r="B8" s="847"/>
      <c r="C8" s="847"/>
      <c r="D8" s="847"/>
      <c r="E8" s="847"/>
      <c r="F8" s="847"/>
      <c r="G8" s="847"/>
      <c r="H8" s="847"/>
      <c r="I8" s="847"/>
      <c r="J8" s="847"/>
      <c r="K8" s="847"/>
      <c r="L8" s="847"/>
      <c r="M8" s="847"/>
      <c r="N8" s="847"/>
      <c r="O8" s="847"/>
      <c r="P8" s="847"/>
      <c r="Q8" s="847"/>
      <c r="R8" s="847"/>
      <c r="S8" s="847"/>
      <c r="T8" s="847"/>
      <c r="U8" s="847"/>
      <c r="V8" s="847"/>
      <c r="W8" s="847"/>
      <c r="X8" s="424" t="s">
        <v>0</v>
      </c>
    </row>
    <row r="9" spans="1:24">
      <c r="A9" s="850"/>
      <c r="B9" s="850"/>
      <c r="C9" s="850"/>
      <c r="D9" s="850"/>
      <c r="E9" s="850"/>
      <c r="F9" s="850"/>
      <c r="G9" s="850"/>
      <c r="H9" s="850"/>
      <c r="I9" s="850"/>
      <c r="J9" s="850"/>
      <c r="K9" s="850"/>
      <c r="L9" s="850"/>
      <c r="M9" s="850"/>
      <c r="N9" s="850"/>
      <c r="O9" s="850"/>
      <c r="P9" s="850"/>
      <c r="Q9" s="850"/>
      <c r="R9" s="850"/>
      <c r="S9" s="850"/>
      <c r="T9" s="850"/>
      <c r="U9" s="850"/>
      <c r="V9" s="850"/>
      <c r="W9" s="850"/>
      <c r="X9" s="424" t="s">
        <v>0</v>
      </c>
    </row>
    <row r="10" spans="1:24" ht="48.75" customHeight="1">
      <c r="A10" s="828" t="s">
        <v>236</v>
      </c>
      <c r="B10" s="833" t="s">
        <v>21</v>
      </c>
      <c r="C10" s="823" t="s">
        <v>362</v>
      </c>
      <c r="D10" s="824"/>
      <c r="E10" s="824"/>
      <c r="F10" s="825"/>
      <c r="G10" s="830" t="s">
        <v>347</v>
      </c>
      <c r="H10" s="831"/>
      <c r="I10" s="831"/>
      <c r="J10" s="832"/>
      <c r="K10" s="823" t="s">
        <v>359</v>
      </c>
      <c r="L10" s="824"/>
      <c r="M10" s="824"/>
      <c r="N10" s="825"/>
      <c r="O10" s="823" t="s">
        <v>349</v>
      </c>
      <c r="P10" s="824"/>
      <c r="Q10" s="824"/>
      <c r="R10" s="825"/>
      <c r="S10" s="823" t="s">
        <v>350</v>
      </c>
      <c r="T10" s="824"/>
      <c r="U10" s="824"/>
      <c r="V10" s="825"/>
      <c r="W10" s="833" t="s">
        <v>28</v>
      </c>
      <c r="X10" s="424" t="s">
        <v>0</v>
      </c>
    </row>
    <row r="11" spans="1:24">
      <c r="A11" s="829"/>
      <c r="B11" s="834"/>
      <c r="C11" s="426" t="s">
        <v>287</v>
      </c>
      <c r="D11" s="426" t="s">
        <v>9</v>
      </c>
      <c r="E11" s="426" t="s">
        <v>51</v>
      </c>
      <c r="F11" s="427" t="s">
        <v>289</v>
      </c>
      <c r="G11" s="683" t="s">
        <v>287</v>
      </c>
      <c r="H11" s="426" t="s">
        <v>9</v>
      </c>
      <c r="I11" s="426" t="s">
        <v>51</v>
      </c>
      <c r="J11" s="427" t="s">
        <v>289</v>
      </c>
      <c r="K11" s="683" t="s">
        <v>287</v>
      </c>
      <c r="L11" s="426" t="s">
        <v>9</v>
      </c>
      <c r="M11" s="426" t="s">
        <v>51</v>
      </c>
      <c r="N11" s="427" t="s">
        <v>289</v>
      </c>
      <c r="O11" s="683" t="s">
        <v>287</v>
      </c>
      <c r="P11" s="426" t="s">
        <v>9</v>
      </c>
      <c r="Q11" s="426" t="s">
        <v>51</v>
      </c>
      <c r="R11" s="427" t="s">
        <v>289</v>
      </c>
      <c r="S11" s="428" t="s">
        <v>287</v>
      </c>
      <c r="T11" s="428" t="s">
        <v>9</v>
      </c>
      <c r="U11" s="428" t="s">
        <v>51</v>
      </c>
      <c r="V11" s="429" t="s">
        <v>289</v>
      </c>
      <c r="W11" s="834"/>
      <c r="X11" s="424" t="s">
        <v>0</v>
      </c>
    </row>
    <row r="12" spans="1:24" ht="15.75">
      <c r="A12" s="430"/>
      <c r="B12" s="431"/>
      <c r="C12" s="432"/>
      <c r="D12" s="433"/>
      <c r="E12" s="433"/>
      <c r="F12" s="434"/>
      <c r="G12" s="435"/>
      <c r="H12" s="436"/>
      <c r="I12" s="436"/>
      <c r="J12" s="437"/>
      <c r="K12" s="435"/>
      <c r="L12" s="436"/>
      <c r="M12" s="436"/>
      <c r="N12" s="437"/>
      <c r="O12" s="435"/>
      <c r="P12" s="436"/>
      <c r="Q12" s="436"/>
      <c r="R12" s="437"/>
      <c r="S12" s="438"/>
      <c r="T12" s="439"/>
      <c r="U12" s="439"/>
      <c r="V12" s="440"/>
      <c r="W12" s="441"/>
      <c r="X12" s="424" t="s">
        <v>0</v>
      </c>
    </row>
    <row r="13" spans="1:24" ht="18.75" customHeight="1">
      <c r="A13" s="458" t="s">
        <v>426</v>
      </c>
      <c r="B13" s="464" t="s">
        <v>347</v>
      </c>
      <c r="C13" s="442">
        <v>0</v>
      </c>
      <c r="D13" s="443">
        <v>0</v>
      </c>
      <c r="E13" s="443">
        <v>0</v>
      </c>
      <c r="F13" s="441">
        <v>0</v>
      </c>
      <c r="G13" s="442">
        <v>8</v>
      </c>
      <c r="H13" s="443">
        <v>6</v>
      </c>
      <c r="I13" s="443">
        <v>4</v>
      </c>
      <c r="J13" s="441">
        <v>1519</v>
      </c>
      <c r="K13" s="442">
        <v>0</v>
      </c>
      <c r="L13" s="443">
        <v>0</v>
      </c>
      <c r="M13" s="443">
        <v>0</v>
      </c>
      <c r="N13" s="441">
        <v>0</v>
      </c>
      <c r="O13" s="442">
        <v>0</v>
      </c>
      <c r="P13" s="443">
        <v>0</v>
      </c>
      <c r="Q13" s="443">
        <v>0</v>
      </c>
      <c r="R13" s="441">
        <v>0</v>
      </c>
      <c r="S13" s="442">
        <v>0</v>
      </c>
      <c r="T13" s="443">
        <v>0</v>
      </c>
      <c r="U13" s="443">
        <v>0</v>
      </c>
      <c r="V13" s="441">
        <v>0</v>
      </c>
      <c r="W13" s="441">
        <f>+J13+F13+N13+R13+V13</f>
        <v>1519</v>
      </c>
      <c r="X13" s="424" t="s">
        <v>0</v>
      </c>
    </row>
    <row r="14" spans="1:24" ht="18.75" customHeight="1">
      <c r="A14" s="444"/>
      <c r="B14" s="445"/>
      <c r="C14" s="446"/>
      <c r="D14" s="447"/>
      <c r="E14" s="447"/>
      <c r="F14" s="448"/>
      <c r="G14" s="446"/>
      <c r="H14" s="447"/>
      <c r="I14" s="447"/>
      <c r="J14" s="448"/>
      <c r="K14" s="435"/>
      <c r="L14" s="449"/>
      <c r="M14" s="449"/>
      <c r="N14" s="450"/>
      <c r="O14" s="446"/>
      <c r="P14" s="447"/>
      <c r="Q14" s="447"/>
      <c r="R14" s="448"/>
      <c r="S14" s="435"/>
      <c r="T14" s="449"/>
      <c r="U14" s="449"/>
      <c r="V14" s="450"/>
      <c r="W14" s="441"/>
      <c r="X14" s="424" t="s">
        <v>0</v>
      </c>
    </row>
    <row r="15" spans="1:24" ht="18.75" customHeight="1">
      <c r="A15" s="693" t="s">
        <v>278</v>
      </c>
      <c r="B15" s="694"/>
      <c r="C15" s="474">
        <f>SUM(C12:C14)</f>
        <v>0</v>
      </c>
      <c r="D15" s="475">
        <f>SUM(D12:D14)</f>
        <v>0</v>
      </c>
      <c r="E15" s="475">
        <f>SUM(E12:E14)</f>
        <v>0</v>
      </c>
      <c r="F15" s="476">
        <f>SUM(F12:F14)</f>
        <v>0</v>
      </c>
      <c r="G15" s="474">
        <f t="shared" ref="G15:W15" si="0">SUM(G12:G14)</f>
        <v>8</v>
      </c>
      <c r="H15" s="475">
        <f t="shared" si="0"/>
        <v>6</v>
      </c>
      <c r="I15" s="475">
        <f t="shared" si="0"/>
        <v>4</v>
      </c>
      <c r="J15" s="690">
        <f t="shared" si="0"/>
        <v>1519</v>
      </c>
      <c r="K15" s="474">
        <f t="shared" si="0"/>
        <v>0</v>
      </c>
      <c r="L15" s="475">
        <f t="shared" si="0"/>
        <v>0</v>
      </c>
      <c r="M15" s="475">
        <f t="shared" si="0"/>
        <v>0</v>
      </c>
      <c r="N15" s="690">
        <f t="shared" si="0"/>
        <v>0</v>
      </c>
      <c r="O15" s="474">
        <f t="shared" si="0"/>
        <v>0</v>
      </c>
      <c r="P15" s="475">
        <f t="shared" si="0"/>
        <v>0</v>
      </c>
      <c r="Q15" s="475">
        <f t="shared" si="0"/>
        <v>0</v>
      </c>
      <c r="R15" s="690">
        <f t="shared" si="0"/>
        <v>0</v>
      </c>
      <c r="S15" s="474">
        <f t="shared" si="0"/>
        <v>0</v>
      </c>
      <c r="T15" s="475">
        <f t="shared" si="0"/>
        <v>0</v>
      </c>
      <c r="U15" s="475">
        <f t="shared" si="0"/>
        <v>0</v>
      </c>
      <c r="V15" s="690">
        <f t="shared" si="0"/>
        <v>0</v>
      </c>
      <c r="W15" s="690">
        <f t="shared" si="0"/>
        <v>1519</v>
      </c>
      <c r="X15" s="424" t="s">
        <v>0</v>
      </c>
    </row>
    <row r="16" spans="1:24" ht="18.75" customHeight="1">
      <c r="A16" s="451"/>
      <c r="B16" s="444"/>
      <c r="C16" s="451"/>
      <c r="D16" s="452"/>
      <c r="E16" s="452"/>
      <c r="F16" s="453"/>
      <c r="G16" s="451"/>
      <c r="H16" s="452"/>
      <c r="I16" s="452"/>
      <c r="J16" s="453"/>
      <c r="K16" s="451"/>
      <c r="L16" s="452"/>
      <c r="M16" s="452"/>
      <c r="N16" s="453"/>
      <c r="O16" s="451"/>
      <c r="P16" s="452"/>
      <c r="Q16" s="452"/>
      <c r="R16" s="453"/>
      <c r="S16" s="451"/>
      <c r="T16" s="452"/>
      <c r="U16" s="452"/>
      <c r="V16" s="453"/>
      <c r="W16" s="453"/>
      <c r="X16" s="424" t="s">
        <v>0</v>
      </c>
    </row>
    <row r="17" spans="1:24" ht="45" customHeight="1">
      <c r="A17" s="835" t="s">
        <v>10</v>
      </c>
      <c r="B17" s="833" t="s">
        <v>21</v>
      </c>
      <c r="C17" s="823" t="str">
        <f>+C10</f>
        <v>Judicial &amp; Courthouse Security</v>
      </c>
      <c r="D17" s="824"/>
      <c r="E17" s="824"/>
      <c r="F17" s="825"/>
      <c r="G17" s="830" t="str">
        <f>+G10</f>
        <v>Fugitive Apprehension</v>
      </c>
      <c r="H17" s="831"/>
      <c r="I17" s="831"/>
      <c r="J17" s="832"/>
      <c r="K17" s="823" t="str">
        <f>+K10</f>
        <v>Prisoner Security &amp; Transport</v>
      </c>
      <c r="L17" s="824"/>
      <c r="M17" s="824"/>
      <c r="N17" s="825"/>
      <c r="O17" s="823" t="str">
        <f>+O10</f>
        <v>Protection of Witnesses</v>
      </c>
      <c r="P17" s="824"/>
      <c r="Q17" s="824"/>
      <c r="R17" s="825"/>
      <c r="S17" s="823" t="str">
        <f>+S10</f>
        <v>Tactical Operations</v>
      </c>
      <c r="T17" s="824"/>
      <c r="U17" s="824"/>
      <c r="V17" s="825"/>
      <c r="W17" s="826" t="s">
        <v>268</v>
      </c>
      <c r="X17" s="424" t="s">
        <v>0</v>
      </c>
    </row>
    <row r="18" spans="1:24" ht="18.75" customHeight="1">
      <c r="A18" s="836"/>
      <c r="B18" s="834"/>
      <c r="C18" s="426" t="s">
        <v>287</v>
      </c>
      <c r="D18" s="426" t="s">
        <v>9</v>
      </c>
      <c r="E18" s="426" t="s">
        <v>51</v>
      </c>
      <c r="F18" s="427" t="s">
        <v>289</v>
      </c>
      <c r="G18" s="683" t="s">
        <v>287</v>
      </c>
      <c r="H18" s="426" t="s">
        <v>9</v>
      </c>
      <c r="I18" s="426" t="s">
        <v>51</v>
      </c>
      <c r="J18" s="427" t="s">
        <v>289</v>
      </c>
      <c r="K18" s="691" t="s">
        <v>287</v>
      </c>
      <c r="L18" s="454" t="s">
        <v>9</v>
      </c>
      <c r="M18" s="454" t="s">
        <v>51</v>
      </c>
      <c r="N18" s="455" t="s">
        <v>289</v>
      </c>
      <c r="O18" s="683" t="s">
        <v>287</v>
      </c>
      <c r="P18" s="426" t="s">
        <v>9</v>
      </c>
      <c r="Q18" s="426" t="s">
        <v>51</v>
      </c>
      <c r="R18" s="427" t="s">
        <v>289</v>
      </c>
      <c r="S18" s="456" t="s">
        <v>287</v>
      </c>
      <c r="T18" s="456" t="s">
        <v>9</v>
      </c>
      <c r="U18" s="456" t="s">
        <v>51</v>
      </c>
      <c r="V18" s="457" t="s">
        <v>289</v>
      </c>
      <c r="W18" s="827"/>
      <c r="X18" s="424" t="s">
        <v>0</v>
      </c>
    </row>
    <row r="19" spans="1:24" ht="18.75" customHeight="1">
      <c r="A19" s="458"/>
      <c r="B19" s="459"/>
      <c r="C19" s="460"/>
      <c r="D19" s="443"/>
      <c r="E19" s="443"/>
      <c r="F19" s="441"/>
      <c r="G19" s="460"/>
      <c r="H19" s="443"/>
      <c r="I19" s="443"/>
      <c r="J19" s="441"/>
      <c r="K19" s="461"/>
      <c r="L19" s="462"/>
      <c r="M19" s="462"/>
      <c r="N19" s="463"/>
      <c r="O19" s="460"/>
      <c r="P19" s="443"/>
      <c r="Q19" s="443"/>
      <c r="R19" s="441"/>
      <c r="S19" s="461"/>
      <c r="T19" s="462"/>
      <c r="U19" s="462"/>
      <c r="V19" s="463"/>
      <c r="W19" s="441"/>
      <c r="X19" s="424" t="s">
        <v>0</v>
      </c>
    </row>
    <row r="20" spans="1:24" ht="18.75" customHeight="1">
      <c r="A20" s="458" t="s">
        <v>345</v>
      </c>
      <c r="B20" s="464" t="s">
        <v>363</v>
      </c>
      <c r="C20" s="442">
        <v>0</v>
      </c>
      <c r="D20" s="443">
        <v>0</v>
      </c>
      <c r="E20" s="443">
        <v>0</v>
      </c>
      <c r="F20" s="441">
        <v>-382</v>
      </c>
      <c r="G20" s="442">
        <v>0</v>
      </c>
      <c r="H20" s="443">
        <v>0</v>
      </c>
      <c r="I20" s="443">
        <v>0</v>
      </c>
      <c r="J20" s="441">
        <v>-299</v>
      </c>
      <c r="K20" s="442">
        <v>0</v>
      </c>
      <c r="L20" s="443">
        <v>0</v>
      </c>
      <c r="M20" s="443">
        <v>0</v>
      </c>
      <c r="N20" s="441">
        <v>-205</v>
      </c>
      <c r="O20" s="442">
        <v>0</v>
      </c>
      <c r="P20" s="443">
        <v>0</v>
      </c>
      <c r="Q20" s="443">
        <v>0</v>
      </c>
      <c r="R20" s="441">
        <v>-35</v>
      </c>
      <c r="S20" s="442">
        <v>0</v>
      </c>
      <c r="T20" s="443">
        <v>0</v>
      </c>
      <c r="U20" s="443">
        <v>0</v>
      </c>
      <c r="V20" s="441">
        <v>-33</v>
      </c>
      <c r="W20" s="441">
        <f>+J20+F20+N20+R20+V20</f>
        <v>-954</v>
      </c>
      <c r="X20" s="424" t="s">
        <v>0</v>
      </c>
    </row>
    <row r="21" spans="1:24" ht="18.75" customHeight="1">
      <c r="A21" s="466" t="s">
        <v>453</v>
      </c>
      <c r="B21" s="464" t="s">
        <v>363</v>
      </c>
      <c r="C21" s="442">
        <v>0</v>
      </c>
      <c r="D21" s="443">
        <v>0</v>
      </c>
      <c r="E21" s="443">
        <v>0</v>
      </c>
      <c r="F21" s="441">
        <v>-303</v>
      </c>
      <c r="G21" s="442">
        <v>0</v>
      </c>
      <c r="H21" s="443">
        <v>0</v>
      </c>
      <c r="I21" s="443">
        <v>0</v>
      </c>
      <c r="J21" s="441">
        <v>-238</v>
      </c>
      <c r="K21" s="442">
        <v>0</v>
      </c>
      <c r="L21" s="443">
        <v>0</v>
      </c>
      <c r="M21" s="443">
        <v>0</v>
      </c>
      <c r="N21" s="441">
        <v>-163</v>
      </c>
      <c r="O21" s="442">
        <v>0</v>
      </c>
      <c r="P21" s="443">
        <v>0</v>
      </c>
      <c r="Q21" s="443">
        <v>0</v>
      </c>
      <c r="R21" s="441">
        <v>-28</v>
      </c>
      <c r="S21" s="442">
        <v>0</v>
      </c>
      <c r="T21" s="443">
        <v>0</v>
      </c>
      <c r="U21" s="443">
        <v>0</v>
      </c>
      <c r="V21" s="441">
        <v>-26</v>
      </c>
      <c r="W21" s="441">
        <f>+J21+F21+N21+R21+V21</f>
        <v>-758</v>
      </c>
      <c r="X21" s="424" t="s">
        <v>0</v>
      </c>
    </row>
    <row r="22" spans="1:24" ht="18.75" customHeight="1">
      <c r="A22" s="466" t="s">
        <v>346</v>
      </c>
      <c r="B22" s="464" t="s">
        <v>363</v>
      </c>
      <c r="C22" s="442">
        <v>0</v>
      </c>
      <c r="D22" s="443">
        <v>0</v>
      </c>
      <c r="E22" s="443">
        <v>0</v>
      </c>
      <c r="F22" s="441">
        <v>-152</v>
      </c>
      <c r="G22" s="442">
        <v>0</v>
      </c>
      <c r="H22" s="443">
        <v>0</v>
      </c>
      <c r="I22" s="443">
        <v>0</v>
      </c>
      <c r="J22" s="441">
        <v>-120</v>
      </c>
      <c r="K22" s="442">
        <v>0</v>
      </c>
      <c r="L22" s="443">
        <v>0</v>
      </c>
      <c r="M22" s="443">
        <v>0</v>
      </c>
      <c r="N22" s="441">
        <v>-82</v>
      </c>
      <c r="O22" s="442">
        <v>0</v>
      </c>
      <c r="P22" s="443">
        <v>0</v>
      </c>
      <c r="Q22" s="443">
        <v>0</v>
      </c>
      <c r="R22" s="441">
        <v>-14</v>
      </c>
      <c r="S22" s="442">
        <v>0</v>
      </c>
      <c r="T22" s="443">
        <v>0</v>
      </c>
      <c r="U22" s="443">
        <v>0</v>
      </c>
      <c r="V22" s="441">
        <v>-13</v>
      </c>
      <c r="W22" s="441">
        <f>+J22+F22+N22+R22+V22</f>
        <v>-381</v>
      </c>
      <c r="X22" s="424"/>
    </row>
    <row r="23" spans="1:24" ht="18.75" customHeight="1">
      <c r="A23" s="466" t="s">
        <v>438</v>
      </c>
      <c r="B23" s="464" t="s">
        <v>347</v>
      </c>
      <c r="C23" s="442">
        <v>0</v>
      </c>
      <c r="D23" s="443">
        <v>0</v>
      </c>
      <c r="E23" s="443">
        <v>0</v>
      </c>
      <c r="F23" s="441">
        <v>0</v>
      </c>
      <c r="G23" s="442">
        <v>0</v>
      </c>
      <c r="H23" s="443">
        <v>0</v>
      </c>
      <c r="I23" s="443">
        <v>0</v>
      </c>
      <c r="J23" s="441">
        <v>-239</v>
      </c>
      <c r="K23" s="442">
        <v>0</v>
      </c>
      <c r="L23" s="443">
        <v>0</v>
      </c>
      <c r="M23" s="443">
        <v>0</v>
      </c>
      <c r="N23" s="441">
        <v>0</v>
      </c>
      <c r="O23" s="442">
        <v>0</v>
      </c>
      <c r="P23" s="443">
        <v>0</v>
      </c>
      <c r="Q23" s="443">
        <v>0</v>
      </c>
      <c r="R23" s="441">
        <v>0</v>
      </c>
      <c r="S23" s="442">
        <v>0</v>
      </c>
      <c r="T23" s="443">
        <v>0</v>
      </c>
      <c r="U23" s="443">
        <v>0</v>
      </c>
      <c r="V23" s="441">
        <v>0</v>
      </c>
      <c r="W23" s="441">
        <f>+J23+F23+N23+R23+V23</f>
        <v>-239</v>
      </c>
      <c r="X23" s="424"/>
    </row>
    <row r="24" spans="1:24" ht="18.75" customHeight="1">
      <c r="A24" s="466" t="s">
        <v>440</v>
      </c>
      <c r="B24" s="464" t="s">
        <v>364</v>
      </c>
      <c r="C24" s="442">
        <v>0</v>
      </c>
      <c r="D24" s="443">
        <v>0</v>
      </c>
      <c r="E24" s="443">
        <v>0</v>
      </c>
      <c r="F24" s="441">
        <v>-5000</v>
      </c>
      <c r="G24" s="442">
        <v>0</v>
      </c>
      <c r="H24" s="443">
        <v>0</v>
      </c>
      <c r="I24" s="443">
        <v>0</v>
      </c>
      <c r="J24" s="441">
        <v>0</v>
      </c>
      <c r="K24" s="442">
        <v>0</v>
      </c>
      <c r="L24" s="443">
        <v>0</v>
      </c>
      <c r="M24" s="443">
        <v>0</v>
      </c>
      <c r="N24" s="441">
        <v>0</v>
      </c>
      <c r="O24" s="442">
        <v>0</v>
      </c>
      <c r="P24" s="443">
        <v>0</v>
      </c>
      <c r="Q24" s="443">
        <v>0</v>
      </c>
      <c r="R24" s="441">
        <v>0</v>
      </c>
      <c r="S24" s="442">
        <v>0</v>
      </c>
      <c r="T24" s="443">
        <v>0</v>
      </c>
      <c r="U24" s="443">
        <v>0</v>
      </c>
      <c r="V24" s="441">
        <v>0</v>
      </c>
      <c r="W24" s="441">
        <f>+J24+F24+N24+R24+V24</f>
        <v>-5000</v>
      </c>
      <c r="X24" s="424" t="s">
        <v>0</v>
      </c>
    </row>
    <row r="25" spans="1:24" ht="18.75" customHeight="1">
      <c r="A25" s="444"/>
      <c r="B25" s="498"/>
      <c r="C25" s="467"/>
      <c r="D25" s="468"/>
      <c r="E25" s="468"/>
      <c r="F25" s="469"/>
      <c r="G25" s="467"/>
      <c r="H25" s="468"/>
      <c r="I25" s="468"/>
      <c r="J25" s="469"/>
      <c r="K25" s="467"/>
      <c r="L25" s="468"/>
      <c r="M25" s="468"/>
      <c r="N25" s="469"/>
      <c r="O25" s="467"/>
      <c r="P25" s="468"/>
      <c r="Q25" s="468"/>
      <c r="R25" s="469"/>
      <c r="S25" s="470"/>
      <c r="T25" s="471"/>
      <c r="U25" s="471"/>
      <c r="V25" s="472"/>
      <c r="W25" s="441"/>
      <c r="X25" s="424" t="s">
        <v>0</v>
      </c>
    </row>
    <row r="26" spans="1:24" ht="18.75" customHeight="1">
      <c r="A26" s="473" t="s">
        <v>268</v>
      </c>
      <c r="B26" s="692"/>
      <c r="C26" s="474">
        <f t="shared" ref="C26:W26" si="1">SUM(C19:C25)</f>
        <v>0</v>
      </c>
      <c r="D26" s="475">
        <f t="shared" si="1"/>
        <v>0</v>
      </c>
      <c r="E26" s="475">
        <f t="shared" si="1"/>
        <v>0</v>
      </c>
      <c r="F26" s="476">
        <f t="shared" si="1"/>
        <v>-5837</v>
      </c>
      <c r="G26" s="474">
        <f t="shared" si="1"/>
        <v>0</v>
      </c>
      <c r="H26" s="475">
        <f t="shared" si="1"/>
        <v>0</v>
      </c>
      <c r="I26" s="475">
        <f t="shared" si="1"/>
        <v>0</v>
      </c>
      <c r="J26" s="690">
        <f t="shared" si="1"/>
        <v>-896</v>
      </c>
      <c r="K26" s="474">
        <f t="shared" si="1"/>
        <v>0</v>
      </c>
      <c r="L26" s="475">
        <f t="shared" si="1"/>
        <v>0</v>
      </c>
      <c r="M26" s="475">
        <f t="shared" si="1"/>
        <v>0</v>
      </c>
      <c r="N26" s="690">
        <f t="shared" si="1"/>
        <v>-450</v>
      </c>
      <c r="O26" s="474">
        <f t="shared" si="1"/>
        <v>0</v>
      </c>
      <c r="P26" s="475">
        <f t="shared" si="1"/>
        <v>0</v>
      </c>
      <c r="Q26" s="475">
        <f t="shared" si="1"/>
        <v>0</v>
      </c>
      <c r="R26" s="690">
        <f t="shared" si="1"/>
        <v>-77</v>
      </c>
      <c r="S26" s="474">
        <f t="shared" si="1"/>
        <v>0</v>
      </c>
      <c r="T26" s="475">
        <f t="shared" si="1"/>
        <v>0</v>
      </c>
      <c r="U26" s="475">
        <f t="shared" si="1"/>
        <v>0</v>
      </c>
      <c r="V26" s="476">
        <f t="shared" si="1"/>
        <v>-72</v>
      </c>
      <c r="W26" s="477">
        <f t="shared" si="1"/>
        <v>-7332</v>
      </c>
      <c r="X26" s="424" t="s">
        <v>23</v>
      </c>
    </row>
    <row r="27" spans="1:24" ht="18.75" customHeight="1">
      <c r="A27" s="478"/>
      <c r="B27" s="479"/>
      <c r="C27" s="479"/>
      <c r="D27" s="479"/>
      <c r="E27" s="479"/>
      <c r="F27" s="479"/>
      <c r="G27" s="479"/>
      <c r="H27" s="479"/>
      <c r="I27" s="479"/>
      <c r="J27" s="479"/>
      <c r="K27" s="479"/>
      <c r="L27" s="479"/>
      <c r="M27" s="479"/>
      <c r="N27" s="479"/>
      <c r="O27" s="479"/>
      <c r="P27" s="479"/>
      <c r="Q27" s="479"/>
      <c r="R27" s="479"/>
      <c r="S27" s="479"/>
      <c r="T27" s="479"/>
      <c r="U27" s="479"/>
      <c r="V27" s="479"/>
      <c r="W27" s="479"/>
      <c r="X27" s="424"/>
    </row>
    <row r="28" spans="1:24" ht="18.75" customHeight="1">
      <c r="X28" s="424"/>
    </row>
    <row r="29" spans="1:24" ht="23.25">
      <c r="A29" s="841" t="s">
        <v>237</v>
      </c>
      <c r="B29" s="841"/>
      <c r="C29" s="841"/>
      <c r="D29" s="841"/>
      <c r="E29" s="841"/>
      <c r="F29" s="841"/>
      <c r="G29" s="841"/>
      <c r="H29" s="560"/>
      <c r="I29" s="560"/>
      <c r="J29" s="560"/>
      <c r="K29" s="560"/>
      <c r="L29" s="560"/>
      <c r="M29" s="560"/>
      <c r="N29" s="560"/>
      <c r="O29" s="560"/>
      <c r="P29" s="560"/>
      <c r="Q29" s="560"/>
      <c r="R29" s="560"/>
      <c r="S29" s="560"/>
      <c r="T29" s="560"/>
      <c r="U29" s="560"/>
      <c r="V29" s="560"/>
      <c r="W29" s="560"/>
      <c r="X29" s="424" t="s">
        <v>0</v>
      </c>
    </row>
    <row r="30" spans="1:24" ht="23.25">
      <c r="A30" s="843" t="str">
        <f ca="1">+'B. Summary of Requirements_Cons'!A36:X36</f>
        <v>United States Marshals Service</v>
      </c>
      <c r="B30" s="843"/>
      <c r="C30" s="843"/>
      <c r="D30" s="843"/>
      <c r="E30" s="843"/>
      <c r="F30" s="843"/>
      <c r="G30" s="843"/>
      <c r="H30" s="562"/>
      <c r="I30" s="562"/>
      <c r="J30" s="562"/>
      <c r="K30" s="562"/>
      <c r="L30" s="562"/>
      <c r="M30" s="562"/>
      <c r="N30" s="562"/>
      <c r="O30" s="562"/>
      <c r="P30" s="562"/>
      <c r="Q30" s="562"/>
      <c r="R30" s="562"/>
      <c r="S30" s="562"/>
      <c r="T30" s="562"/>
      <c r="U30" s="562"/>
      <c r="V30" s="562"/>
      <c r="W30" s="562"/>
      <c r="X30" s="424" t="s">
        <v>0</v>
      </c>
    </row>
    <row r="31" spans="1:24" ht="23.25">
      <c r="A31" s="843" t="str">
        <f ca="1">+'B. Summary of Requirements_Cons'!A37:X37</f>
        <v>Construction</v>
      </c>
      <c r="B31" s="843"/>
      <c r="C31" s="843"/>
      <c r="D31" s="843"/>
      <c r="E31" s="843"/>
      <c r="F31" s="843"/>
      <c r="G31" s="843"/>
      <c r="H31" s="843"/>
      <c r="I31" s="843"/>
      <c r="J31" s="843"/>
      <c r="K31" s="843"/>
      <c r="L31" s="843"/>
      <c r="M31" s="843"/>
      <c r="N31" s="843"/>
      <c r="O31" s="843"/>
      <c r="P31" s="843"/>
      <c r="Q31" s="843"/>
      <c r="R31" s="843"/>
      <c r="S31" s="843"/>
      <c r="T31" s="843"/>
      <c r="U31" s="843"/>
      <c r="V31" s="843"/>
      <c r="W31" s="843"/>
      <c r="X31" s="424" t="s">
        <v>0</v>
      </c>
    </row>
    <row r="32" spans="1:24" ht="23.25">
      <c r="A32" s="853" t="s">
        <v>265</v>
      </c>
      <c r="B32" s="853"/>
      <c r="C32" s="853"/>
      <c r="D32" s="853"/>
      <c r="E32" s="853"/>
      <c r="F32" s="853"/>
      <c r="G32" s="853"/>
      <c r="H32" s="843"/>
      <c r="I32" s="843"/>
      <c r="J32" s="843"/>
      <c r="K32" s="843"/>
      <c r="L32" s="843"/>
      <c r="M32" s="843"/>
      <c r="N32" s="843"/>
      <c r="O32" s="843"/>
      <c r="P32" s="843"/>
      <c r="Q32" s="843"/>
      <c r="R32" s="843"/>
      <c r="S32" s="843"/>
      <c r="T32" s="843"/>
      <c r="U32" s="843"/>
      <c r="V32" s="843"/>
      <c r="W32" s="843"/>
      <c r="X32" s="424" t="s">
        <v>0</v>
      </c>
    </row>
    <row r="33" spans="1:24">
      <c r="A33" s="847"/>
      <c r="B33" s="847"/>
      <c r="C33" s="847"/>
      <c r="D33" s="847"/>
      <c r="E33" s="847"/>
      <c r="F33" s="847"/>
      <c r="G33" s="847"/>
      <c r="H33" s="847"/>
      <c r="I33" s="847"/>
      <c r="J33" s="847"/>
      <c r="K33" s="847"/>
      <c r="L33" s="847"/>
      <c r="M33" s="847"/>
      <c r="N33" s="847"/>
      <c r="O33" s="847"/>
      <c r="P33" s="847"/>
      <c r="Q33" s="847"/>
      <c r="R33" s="847"/>
      <c r="S33" s="847"/>
      <c r="T33" s="847"/>
      <c r="U33" s="847"/>
      <c r="V33" s="847"/>
      <c r="W33" s="847"/>
      <c r="X33" s="424" t="s">
        <v>0</v>
      </c>
    </row>
    <row r="34" spans="1:24">
      <c r="A34" s="854"/>
      <c r="B34" s="854"/>
      <c r="C34" s="854"/>
      <c r="D34" s="854"/>
      <c r="E34" s="854"/>
      <c r="F34" s="854"/>
      <c r="G34" s="854"/>
      <c r="H34" s="854"/>
      <c r="I34" s="854"/>
      <c r="J34" s="854"/>
      <c r="K34" s="854"/>
      <c r="L34" s="854"/>
      <c r="M34" s="854"/>
      <c r="N34" s="854"/>
      <c r="O34" s="854"/>
      <c r="P34" s="854"/>
      <c r="Q34" s="854"/>
      <c r="R34" s="854"/>
      <c r="S34" s="854"/>
      <c r="T34" s="854"/>
      <c r="U34" s="854"/>
      <c r="V34" s="854"/>
      <c r="W34" s="854"/>
      <c r="X34" s="424" t="s">
        <v>0</v>
      </c>
    </row>
    <row r="35" spans="1:24" ht="18.75" customHeight="1">
      <c r="A35" s="835" t="s">
        <v>10</v>
      </c>
      <c r="B35" s="833" t="s">
        <v>21</v>
      </c>
      <c r="C35" s="823" t="s">
        <v>338</v>
      </c>
      <c r="D35" s="848"/>
      <c r="E35" s="848"/>
      <c r="F35" s="849"/>
      <c r="G35" s="833" t="s">
        <v>268</v>
      </c>
      <c r="H35" s="682" t="s">
        <v>0</v>
      </c>
      <c r="I35" s="479"/>
      <c r="J35" s="479"/>
      <c r="K35" s="479"/>
      <c r="L35" s="479"/>
      <c r="M35" s="479"/>
      <c r="N35" s="479"/>
      <c r="O35" s="479"/>
      <c r="P35" s="479"/>
      <c r="Q35" s="479"/>
      <c r="R35" s="479"/>
      <c r="S35" s="479"/>
      <c r="T35" s="479"/>
      <c r="U35" s="479"/>
      <c r="V35" s="479"/>
      <c r="W35" s="479"/>
      <c r="X35" s="424" t="s">
        <v>0</v>
      </c>
    </row>
    <row r="36" spans="1:24" ht="18.75" customHeight="1">
      <c r="A36" s="836"/>
      <c r="B36" s="834"/>
      <c r="C36" s="426" t="s">
        <v>287</v>
      </c>
      <c r="D36" s="426" t="s">
        <v>9</v>
      </c>
      <c r="E36" s="426" t="s">
        <v>51</v>
      </c>
      <c r="F36" s="427" t="s">
        <v>289</v>
      </c>
      <c r="G36" s="834"/>
      <c r="H36" s="682" t="s">
        <v>0</v>
      </c>
      <c r="I36" s="479"/>
      <c r="J36" s="479"/>
      <c r="K36" s="479"/>
      <c r="L36" s="479"/>
      <c r="M36" s="479"/>
      <c r="N36" s="479"/>
      <c r="O36" s="479"/>
      <c r="P36" s="479"/>
      <c r="Q36" s="479"/>
      <c r="R36" s="479"/>
      <c r="S36" s="479"/>
      <c r="T36" s="479"/>
      <c r="U36" s="479"/>
      <c r="V36" s="479"/>
      <c r="W36" s="479"/>
      <c r="X36" s="424" t="s">
        <v>0</v>
      </c>
    </row>
    <row r="37" spans="1:24" ht="18.75" customHeight="1">
      <c r="A37" s="458"/>
      <c r="B37" s="459"/>
      <c r="C37" s="460"/>
      <c r="D37" s="443"/>
      <c r="E37" s="443"/>
      <c r="F37" s="441"/>
      <c r="G37" s="441"/>
      <c r="H37" s="424" t="s">
        <v>0</v>
      </c>
      <c r="X37" s="424" t="s">
        <v>0</v>
      </c>
    </row>
    <row r="38" spans="1:24" ht="18.75" customHeight="1">
      <c r="A38" s="466" t="s">
        <v>454</v>
      </c>
      <c r="B38" s="464" t="s">
        <v>338</v>
      </c>
      <c r="C38" s="442">
        <v>0</v>
      </c>
      <c r="D38" s="465">
        <v>0</v>
      </c>
      <c r="E38" s="465">
        <v>0</v>
      </c>
      <c r="F38" s="499">
        <v>-11000</v>
      </c>
      <c r="G38" s="499">
        <f>+F38</f>
        <v>-11000</v>
      </c>
      <c r="H38" s="424"/>
      <c r="X38" s="424" t="s">
        <v>0</v>
      </c>
    </row>
    <row r="39" spans="1:24" ht="18.75" customHeight="1">
      <c r="A39" s="444"/>
      <c r="B39" s="498"/>
      <c r="C39" s="467"/>
      <c r="D39" s="468"/>
      <c r="E39" s="468"/>
      <c r="F39" s="469"/>
      <c r="G39" s="441"/>
      <c r="H39" s="424" t="s">
        <v>0</v>
      </c>
      <c r="X39" s="424" t="s">
        <v>0</v>
      </c>
    </row>
    <row r="40" spans="1:24" ht="18.75" customHeight="1" thickBot="1">
      <c r="A40" s="684" t="s">
        <v>268</v>
      </c>
      <c r="B40" s="689"/>
      <c r="C40" s="685">
        <f>SUM(C37:C39)</f>
        <v>0</v>
      </c>
      <c r="D40" s="686">
        <f>SUM(D37:D39)</f>
        <v>0</v>
      </c>
      <c r="E40" s="686">
        <f>SUM(E37:E39)</f>
        <v>0</v>
      </c>
      <c r="F40" s="687">
        <f>SUM(F37:F39)</f>
        <v>-11000</v>
      </c>
      <c r="G40" s="688">
        <f>SUM(G37:G39)</f>
        <v>-11000</v>
      </c>
      <c r="H40" s="424" t="s">
        <v>23</v>
      </c>
      <c r="X40" s="424" t="s">
        <v>23</v>
      </c>
    </row>
    <row r="41" spans="1:24" ht="18.75" customHeight="1">
      <c r="A41" s="851"/>
      <c r="B41" s="852"/>
      <c r="C41" s="852"/>
      <c r="D41" s="852"/>
      <c r="E41" s="852"/>
      <c r="F41" s="852"/>
      <c r="G41" s="852"/>
      <c r="H41" s="852"/>
      <c r="I41" s="852"/>
      <c r="J41" s="852"/>
      <c r="K41" s="852"/>
      <c r="L41" s="852"/>
      <c r="M41" s="852"/>
      <c r="N41" s="852"/>
      <c r="O41" s="852"/>
      <c r="P41" s="852"/>
      <c r="Q41" s="852"/>
      <c r="R41" s="852"/>
      <c r="S41" s="852"/>
      <c r="T41" s="852"/>
      <c r="U41" s="852"/>
      <c r="V41" s="852"/>
      <c r="W41" s="852"/>
      <c r="X41" s="424"/>
    </row>
    <row r="42" spans="1:24" ht="18.75" customHeight="1">
      <c r="A42" s="478"/>
      <c r="B42" s="479"/>
      <c r="C42" s="479"/>
      <c r="D42" s="479"/>
      <c r="E42" s="479"/>
      <c r="F42" s="479"/>
      <c r="G42" s="479"/>
      <c r="H42" s="479"/>
      <c r="I42" s="479"/>
      <c r="J42" s="479"/>
      <c r="K42" s="479"/>
      <c r="L42" s="479"/>
      <c r="M42" s="479"/>
      <c r="N42" s="479"/>
      <c r="O42" s="479"/>
      <c r="P42" s="479"/>
      <c r="Q42" s="479"/>
      <c r="R42" s="479"/>
      <c r="S42" s="479"/>
      <c r="T42" s="479"/>
      <c r="U42" s="479"/>
      <c r="V42" s="479"/>
      <c r="W42" s="479"/>
      <c r="X42" s="424"/>
    </row>
    <row r="43" spans="1:24" ht="15" customHeight="1">
      <c r="A43" s="481"/>
      <c r="B43" s="482"/>
      <c r="C43" s="482"/>
      <c r="D43" s="482"/>
      <c r="E43" s="482"/>
      <c r="F43" s="482"/>
      <c r="G43" s="482"/>
      <c r="H43" s="482"/>
      <c r="I43" s="482"/>
      <c r="J43" s="482"/>
      <c r="K43" s="482"/>
      <c r="L43" s="482"/>
      <c r="M43" s="482"/>
      <c r="O43" s="482"/>
      <c r="P43" s="482"/>
      <c r="Q43" s="482"/>
      <c r="W43" s="483"/>
    </row>
    <row r="44" spans="1:24">
      <c r="A44" s="482"/>
      <c r="B44" s="482"/>
      <c r="C44" s="482"/>
      <c r="D44" s="482"/>
      <c r="E44" s="482"/>
      <c r="F44" s="482"/>
      <c r="G44" s="482"/>
      <c r="H44" s="482"/>
      <c r="I44" s="482"/>
      <c r="J44" s="482"/>
      <c r="K44" s="482"/>
      <c r="L44" s="482"/>
      <c r="M44" s="482"/>
      <c r="O44" s="482"/>
      <c r="P44" s="482"/>
      <c r="Q44" s="482"/>
    </row>
  </sheetData>
  <customSheetViews>
    <customSheetView guid="{9A28834D-6BE2-4884-BE97-BE00946B08BB}" scale="75" showPageBreaks="1" fitToPage="1" printArea="1" hiddenRows="1" hiddenColumns="1" view="pageBreakPreview" topLeftCell="A22">
      <selection activeCell="A14" sqref="A14"/>
      <pageMargins left="0.5" right="0.5" top="0.75" bottom="0.75" header="0.5" footer="0.5"/>
      <printOptions horizontalCentered="1"/>
      <pageSetup scale="63" orientation="landscape" r:id="rId1"/>
      <headerFooter alignWithMargins="0">
        <oddFooter>&amp;C&amp;"Times New Roman,Regular"Exhibit C - Program Increases/Offsets By Decision Unit</oddFooter>
      </headerFooter>
    </customSheetView>
  </customSheetViews>
  <mergeCells count="42">
    <mergeCell ref="A41:W41"/>
    <mergeCell ref="A32:G32"/>
    <mergeCell ref="H32:N32"/>
    <mergeCell ref="A35:A36"/>
    <mergeCell ref="A33:W33"/>
    <mergeCell ref="A34:W34"/>
    <mergeCell ref="A6:W6"/>
    <mergeCell ref="A7:W7"/>
    <mergeCell ref="A8:W8"/>
    <mergeCell ref="B35:B36"/>
    <mergeCell ref="C35:F35"/>
    <mergeCell ref="O32:U32"/>
    <mergeCell ref="V32:W32"/>
    <mergeCell ref="G35:G36"/>
    <mergeCell ref="V31:W31"/>
    <mergeCell ref="A9:W9"/>
    <mergeCell ref="C17:F17"/>
    <mergeCell ref="A29:G29"/>
    <mergeCell ref="A30:G30"/>
    <mergeCell ref="A31:G31"/>
    <mergeCell ref="H31:N31"/>
    <mergeCell ref="O31:U31"/>
    <mergeCell ref="A1:W1"/>
    <mergeCell ref="A2:W2"/>
    <mergeCell ref="A3:W3"/>
    <mergeCell ref="A4:W4"/>
    <mergeCell ref="A5:W5"/>
    <mergeCell ref="S10:V10"/>
    <mergeCell ref="W17:W18"/>
    <mergeCell ref="A10:A11"/>
    <mergeCell ref="O17:R17"/>
    <mergeCell ref="G17:J17"/>
    <mergeCell ref="K17:N17"/>
    <mergeCell ref="S17:V17"/>
    <mergeCell ref="G10:J10"/>
    <mergeCell ref="K10:N10"/>
    <mergeCell ref="W10:W11"/>
    <mergeCell ref="A17:A18"/>
    <mergeCell ref="B17:B18"/>
    <mergeCell ref="B10:B11"/>
    <mergeCell ref="C10:F10"/>
    <mergeCell ref="O10:R10"/>
  </mergeCells>
  <printOptions horizontalCentered="1"/>
  <pageMargins left="0.5" right="0.5" top="0.75" bottom="0.75" header="0.5" footer="0.5"/>
  <pageSetup scale="63" orientation="landscape" r:id="rId2"/>
  <headerFooter alignWithMargins="0">
    <oddFooter>&amp;C&amp;"Times New Roman,Regular"Exhibit C - Program Increases/Offsets By Decision Unit</oddFooter>
  </headerFooter>
</worksheet>
</file>

<file path=xl/worksheets/sheet5.xml><?xml version="1.0" encoding="utf-8"?>
<worksheet xmlns="http://schemas.openxmlformats.org/spreadsheetml/2006/main" xmlns:r="http://schemas.openxmlformats.org/officeDocument/2006/relationships">
  <sheetPr codeName="Sheet9">
    <pageSetUpPr fitToPage="1"/>
  </sheetPr>
  <dimension ref="A1:IV48"/>
  <sheetViews>
    <sheetView view="pageBreakPreview" zoomScaleNormal="75" zoomScaleSheetLayoutView="100" workbookViewId="0">
      <selection activeCell="I22" sqref="I22"/>
    </sheetView>
  </sheetViews>
  <sheetFormatPr defaultColWidth="7.21875" defaultRowHeight="12.75"/>
  <cols>
    <col min="1" max="1" width="49.5546875" style="280" customWidth="1"/>
    <col min="2" max="2" width="1.21875" style="280" customWidth="1"/>
    <col min="3" max="3" width="10.77734375" style="280" customWidth="1"/>
    <col min="4" max="4" width="11" style="280" customWidth="1"/>
    <col min="5" max="5" width="1.21875" style="280" customWidth="1"/>
    <col min="6" max="7" width="11.21875" style="280" customWidth="1"/>
    <col min="8" max="8" width="1.21875" style="280" customWidth="1"/>
    <col min="9" max="9" width="7.21875" style="280" customWidth="1"/>
    <col min="10" max="10" width="10.88671875" style="280" bestFit="1" customWidth="1"/>
    <col min="11" max="13" width="6.77734375" style="280" customWidth="1"/>
    <col min="14" max="14" width="7.21875" style="280" customWidth="1"/>
    <col min="15" max="15" width="6.33203125" style="280" customWidth="1"/>
    <col min="16" max="16" width="8.6640625" style="280" bestFit="1" customWidth="1"/>
    <col min="17" max="17" width="1.88671875" style="280" customWidth="1"/>
    <col min="18" max="16384" width="7.21875" style="280"/>
  </cols>
  <sheetData>
    <row r="1" spans="1:20" ht="20.25">
      <c r="A1" s="857" t="s">
        <v>156</v>
      </c>
      <c r="B1" s="858"/>
      <c r="C1" s="858"/>
      <c r="D1" s="858"/>
      <c r="E1" s="858"/>
      <c r="F1" s="858"/>
      <c r="G1" s="858"/>
      <c r="H1" s="858"/>
      <c r="I1" s="858"/>
      <c r="J1" s="858"/>
      <c r="K1" s="858"/>
      <c r="L1" s="858"/>
      <c r="M1" s="858"/>
      <c r="N1" s="858"/>
      <c r="O1" s="858"/>
      <c r="P1" s="858"/>
      <c r="Q1" s="278" t="s">
        <v>0</v>
      </c>
      <c r="R1" s="279"/>
      <c r="S1" s="279"/>
    </row>
    <row r="2" spans="1:20" ht="19.149999999999999" customHeight="1">
      <c r="A2" s="281"/>
      <c r="Q2" s="278" t="s">
        <v>0</v>
      </c>
      <c r="T2" s="278"/>
    </row>
    <row r="3" spans="1:20" ht="15.75">
      <c r="A3" s="859" t="s">
        <v>298</v>
      </c>
      <c r="B3" s="860"/>
      <c r="C3" s="860"/>
      <c r="D3" s="860"/>
      <c r="E3" s="860"/>
      <c r="F3" s="860"/>
      <c r="G3" s="860"/>
      <c r="H3" s="860"/>
      <c r="I3" s="860"/>
      <c r="J3" s="860"/>
      <c r="K3" s="860"/>
      <c r="L3" s="860"/>
      <c r="M3" s="860"/>
      <c r="N3" s="860"/>
      <c r="O3" s="860"/>
      <c r="P3" s="860"/>
      <c r="Q3" s="278" t="s">
        <v>0</v>
      </c>
      <c r="R3" s="32"/>
      <c r="S3" s="32"/>
      <c r="T3" s="278"/>
    </row>
    <row r="4" spans="1:20" ht="15.75">
      <c r="A4" s="861" t="str">
        <f ca="1">+'B. Summary of Requirements_S&amp;E '!A5:X5</f>
        <v>United States Marshals Service</v>
      </c>
      <c r="B4" s="860"/>
      <c r="C4" s="860"/>
      <c r="D4" s="860"/>
      <c r="E4" s="860"/>
      <c r="F4" s="860"/>
      <c r="G4" s="860"/>
      <c r="H4" s="860"/>
      <c r="I4" s="860"/>
      <c r="J4" s="860"/>
      <c r="K4" s="860"/>
      <c r="L4" s="860"/>
      <c r="M4" s="860"/>
      <c r="N4" s="860"/>
      <c r="O4" s="860"/>
      <c r="P4" s="860"/>
      <c r="Q4" s="278" t="s">
        <v>0</v>
      </c>
      <c r="R4" s="30"/>
      <c r="S4" s="30"/>
    </row>
    <row r="5" spans="1:20" ht="15.75">
      <c r="A5" s="861" t="str">
        <f ca="1">+'B. Summary of Requirements_S&amp;E '!A6:X6</f>
        <v>Salaries and Expenses</v>
      </c>
      <c r="B5" s="860"/>
      <c r="C5" s="860"/>
      <c r="D5" s="860"/>
      <c r="E5" s="860"/>
      <c r="F5" s="860"/>
      <c r="G5" s="860"/>
      <c r="H5" s="860"/>
      <c r="I5" s="860"/>
      <c r="J5" s="860"/>
      <c r="K5" s="860"/>
      <c r="L5" s="860"/>
      <c r="M5" s="860"/>
      <c r="N5" s="860"/>
      <c r="O5" s="860"/>
      <c r="P5" s="860"/>
      <c r="Q5" s="278" t="s">
        <v>0</v>
      </c>
      <c r="R5" s="30"/>
      <c r="S5" s="30"/>
    </row>
    <row r="6" spans="1:20" ht="15">
      <c r="A6" s="862" t="s">
        <v>265</v>
      </c>
      <c r="B6" s="860"/>
      <c r="C6" s="860"/>
      <c r="D6" s="860"/>
      <c r="E6" s="860"/>
      <c r="F6" s="860"/>
      <c r="G6" s="860"/>
      <c r="H6" s="860"/>
      <c r="I6" s="860"/>
      <c r="J6" s="860"/>
      <c r="K6" s="860"/>
      <c r="L6" s="860"/>
      <c r="M6" s="860"/>
      <c r="N6" s="860"/>
      <c r="O6" s="860"/>
      <c r="P6" s="860"/>
      <c r="Q6" s="278" t="s">
        <v>0</v>
      </c>
      <c r="R6" s="32"/>
      <c r="S6" s="32"/>
      <c r="T6" s="278"/>
    </row>
    <row r="7" spans="1:20">
      <c r="Q7" s="278" t="s">
        <v>0</v>
      </c>
      <c r="T7" s="278"/>
    </row>
    <row r="8" spans="1:20" ht="13.5" thickBot="1">
      <c r="Q8" s="278" t="s">
        <v>0</v>
      </c>
      <c r="T8" s="278"/>
    </row>
    <row r="9" spans="1:20" ht="37.5" customHeight="1">
      <c r="A9" s="282"/>
      <c r="B9" s="283"/>
      <c r="C9" s="863" t="s">
        <v>314</v>
      </c>
      <c r="D9" s="864"/>
      <c r="E9" s="284"/>
      <c r="F9" s="863" t="s">
        <v>330</v>
      </c>
      <c r="G9" s="864"/>
      <c r="H9" s="284"/>
      <c r="I9" s="870" t="s">
        <v>247</v>
      </c>
      <c r="J9" s="864"/>
      <c r="K9" s="871">
        <v>2012</v>
      </c>
      <c r="L9" s="872"/>
      <c r="M9" s="872"/>
      <c r="N9" s="873"/>
      <c r="O9" s="870" t="s">
        <v>44</v>
      </c>
      <c r="P9" s="864"/>
      <c r="Q9" s="278" t="s">
        <v>0</v>
      </c>
      <c r="S9" s="285"/>
      <c r="T9" s="278"/>
    </row>
    <row r="10" spans="1:20" ht="14.25" customHeight="1">
      <c r="A10" s="283"/>
      <c r="B10" s="283"/>
      <c r="C10" s="865"/>
      <c r="D10" s="866"/>
      <c r="E10" s="284"/>
      <c r="F10" s="868"/>
      <c r="G10" s="869"/>
      <c r="H10" s="284"/>
      <c r="I10" s="868"/>
      <c r="J10" s="869"/>
      <c r="K10" s="877" t="s">
        <v>290</v>
      </c>
      <c r="L10" s="878"/>
      <c r="M10" s="867" t="s">
        <v>299</v>
      </c>
      <c r="N10" s="856"/>
      <c r="O10" s="868"/>
      <c r="P10" s="869"/>
      <c r="Q10" s="278" t="s">
        <v>0</v>
      </c>
      <c r="S10" s="285"/>
      <c r="T10" s="278"/>
    </row>
    <row r="11" spans="1:20" ht="51">
      <c r="A11" s="717"/>
      <c r="B11" s="283"/>
      <c r="C11" s="287" t="s">
        <v>301</v>
      </c>
      <c r="D11" s="288" t="s">
        <v>302</v>
      </c>
      <c r="E11" s="286"/>
      <c r="F11" s="287" t="s">
        <v>301</v>
      </c>
      <c r="G11" s="288" t="s">
        <v>302</v>
      </c>
      <c r="H11" s="286"/>
      <c r="I11" s="287" t="s">
        <v>301</v>
      </c>
      <c r="J11" s="288" t="s">
        <v>302</v>
      </c>
      <c r="K11" s="287" t="s">
        <v>301</v>
      </c>
      <c r="L11" s="288" t="s">
        <v>302</v>
      </c>
      <c r="M11" s="287" t="s">
        <v>301</v>
      </c>
      <c r="N11" s="288" t="s">
        <v>302</v>
      </c>
      <c r="O11" s="287" t="s">
        <v>301</v>
      </c>
      <c r="P11" s="288" t="s">
        <v>302</v>
      </c>
      <c r="Q11" s="278" t="s">
        <v>0</v>
      </c>
      <c r="S11" s="289"/>
      <c r="T11" s="278"/>
    </row>
    <row r="12" spans="1:20">
      <c r="A12" s="290"/>
      <c r="B12" s="283"/>
      <c r="C12" s="291"/>
      <c r="D12" s="292"/>
      <c r="E12" s="293"/>
      <c r="F12" s="291"/>
      <c r="G12" s="292"/>
      <c r="H12" s="293"/>
      <c r="I12" s="291"/>
      <c r="J12" s="292"/>
      <c r="K12" s="291"/>
      <c r="L12" s="294"/>
      <c r="M12" s="295"/>
      <c r="N12" s="292"/>
      <c r="O12" s="291"/>
      <c r="P12" s="292"/>
      <c r="Q12" s="278" t="s">
        <v>0</v>
      </c>
      <c r="S12" s="296"/>
      <c r="T12" s="278"/>
    </row>
    <row r="13" spans="1:20">
      <c r="A13" s="297" t="s">
        <v>303</v>
      </c>
      <c r="B13" s="283"/>
      <c r="C13" s="291"/>
      <c r="D13" s="298"/>
      <c r="E13" s="293"/>
      <c r="F13" s="291"/>
      <c r="G13" s="298"/>
      <c r="H13" s="293"/>
      <c r="I13" s="291"/>
      <c r="J13" s="298"/>
      <c r="K13" s="291"/>
      <c r="L13" s="294"/>
      <c r="M13" s="291"/>
      <c r="N13" s="298"/>
      <c r="O13" s="291"/>
      <c r="P13" s="298"/>
      <c r="Q13" s="278" t="s">
        <v>0</v>
      </c>
      <c r="S13" s="299"/>
      <c r="T13" s="278"/>
    </row>
    <row r="14" spans="1:20" ht="25.5">
      <c r="A14" s="301" t="s">
        <v>304</v>
      </c>
      <c r="B14" s="283"/>
      <c r="C14" s="615">
        <v>43</v>
      </c>
      <c r="D14" s="620">
        <v>6137</v>
      </c>
      <c r="E14" s="617"/>
      <c r="F14" s="615">
        <v>43</v>
      </c>
      <c r="G14" s="620">
        <f>D14-340</f>
        <v>5797</v>
      </c>
      <c r="H14" s="643"/>
      <c r="I14" s="307">
        <f>+F14</f>
        <v>43</v>
      </c>
      <c r="J14" s="642">
        <f>+G14</f>
        <v>5797</v>
      </c>
      <c r="K14" s="307">
        <v>0</v>
      </c>
      <c r="L14" s="644">
        <v>0</v>
      </c>
      <c r="M14" s="307">
        <v>0</v>
      </c>
      <c r="N14" s="642">
        <v>0</v>
      </c>
      <c r="O14" s="307">
        <f>+I14+K14+M14</f>
        <v>43</v>
      </c>
      <c r="P14" s="308">
        <f>+J14+L14+N14</f>
        <v>5797</v>
      </c>
      <c r="Q14" s="278" t="s">
        <v>0</v>
      </c>
      <c r="S14" s="299"/>
      <c r="T14" s="278"/>
    </row>
    <row r="15" spans="1:20" s="304" customFormat="1">
      <c r="A15" s="656" t="s">
        <v>305</v>
      </c>
      <c r="B15" s="297"/>
      <c r="C15" s="657">
        <f>SUM(C14:C14)</f>
        <v>43</v>
      </c>
      <c r="D15" s="658">
        <f>SUM(D14:D14)</f>
        <v>6137</v>
      </c>
      <c r="E15" s="645"/>
      <c r="F15" s="657">
        <f>SUM(F14:F14)</f>
        <v>43</v>
      </c>
      <c r="G15" s="658">
        <f>SUM(G14:G14)</f>
        <v>5797</v>
      </c>
      <c r="H15" s="646"/>
      <c r="I15" s="657">
        <f t="shared" ref="I15:P15" si="0">SUM(I14:I14)</f>
        <v>43</v>
      </c>
      <c r="J15" s="658">
        <f t="shared" si="0"/>
        <v>5797</v>
      </c>
      <c r="K15" s="657">
        <f t="shared" si="0"/>
        <v>0</v>
      </c>
      <c r="L15" s="658">
        <f t="shared" si="0"/>
        <v>0</v>
      </c>
      <c r="M15" s="657">
        <f t="shared" si="0"/>
        <v>0</v>
      </c>
      <c r="N15" s="658">
        <f t="shared" si="0"/>
        <v>0</v>
      </c>
      <c r="O15" s="657">
        <f t="shared" si="0"/>
        <v>43</v>
      </c>
      <c r="P15" s="658">
        <f t="shared" si="0"/>
        <v>5797</v>
      </c>
      <c r="Q15" s="278" t="s">
        <v>0</v>
      </c>
      <c r="R15" s="280"/>
      <c r="S15" s="303"/>
      <c r="T15" s="278"/>
    </row>
    <row r="16" spans="1:20">
      <c r="A16" s="302"/>
      <c r="B16" s="283"/>
      <c r="C16" s="291"/>
      <c r="D16" s="292"/>
      <c r="E16" s="306"/>
      <c r="F16" s="291"/>
      <c r="G16" s="292"/>
      <c r="H16" s="306"/>
      <c r="I16" s="291"/>
      <c r="J16" s="292"/>
      <c r="K16" s="291"/>
      <c r="L16" s="294"/>
      <c r="M16" s="291"/>
      <c r="N16" s="292"/>
      <c r="O16" s="291"/>
      <c r="P16" s="292"/>
      <c r="Q16" s="278" t="s">
        <v>0</v>
      </c>
      <c r="S16" s="296"/>
      <c r="T16" s="278"/>
    </row>
    <row r="17" spans="1:256" ht="25.5">
      <c r="A17" s="305" t="s">
        <v>306</v>
      </c>
      <c r="B17" s="283"/>
      <c r="C17" s="291"/>
      <c r="D17" s="292"/>
      <c r="E17" s="306"/>
      <c r="F17" s="291"/>
      <c r="G17" s="292"/>
      <c r="H17" s="306"/>
      <c r="I17" s="291"/>
      <c r="J17" s="292"/>
      <c r="K17" s="291"/>
      <c r="L17" s="294"/>
      <c r="M17" s="291"/>
      <c r="N17" s="292"/>
      <c r="O17" s="307"/>
      <c r="P17" s="308"/>
      <c r="Q17" s="278" t="s">
        <v>0</v>
      </c>
      <c r="S17" s="296"/>
      <c r="T17" s="278"/>
    </row>
    <row r="18" spans="1:256">
      <c r="A18" s="300" t="s">
        <v>307</v>
      </c>
      <c r="B18" s="283"/>
      <c r="C18" s="615">
        <f>72+105</f>
        <v>177</v>
      </c>
      <c r="D18" s="616">
        <f>20635+27500</f>
        <v>48135</v>
      </c>
      <c r="E18" s="625"/>
      <c r="F18" s="615">
        <v>177</v>
      </c>
      <c r="G18" s="616">
        <v>48135</v>
      </c>
      <c r="H18" s="306"/>
      <c r="I18" s="615">
        <f>F18</f>
        <v>177</v>
      </c>
      <c r="J18" s="616">
        <f>G18</f>
        <v>48135</v>
      </c>
      <c r="K18" s="615">
        <v>0</v>
      </c>
      <c r="L18" s="616">
        <v>0</v>
      </c>
      <c r="M18" s="615">
        <v>0</v>
      </c>
      <c r="N18" s="616">
        <v>0</v>
      </c>
      <c r="O18" s="307">
        <f>+I18+K18+M18</f>
        <v>177</v>
      </c>
      <c r="P18" s="308">
        <f>+J18+L18+N18</f>
        <v>48135</v>
      </c>
      <c r="Q18" s="278" t="s">
        <v>0</v>
      </c>
      <c r="S18" s="296"/>
      <c r="T18" s="278"/>
    </row>
    <row r="19" spans="1:256">
      <c r="A19" s="656" t="s">
        <v>308</v>
      </c>
      <c r="B19" s="297"/>
      <c r="C19" s="657">
        <f>SUM(C18:C18)</f>
        <v>177</v>
      </c>
      <c r="D19" s="658">
        <f>SUM(D18:D18)</f>
        <v>48135</v>
      </c>
      <c r="E19" s="645"/>
      <c r="F19" s="657">
        <f>SUM(F18:F18)</f>
        <v>177</v>
      </c>
      <c r="G19" s="658">
        <f>SUM(G18:G18)</f>
        <v>48135</v>
      </c>
      <c r="H19" s="646"/>
      <c r="I19" s="657">
        <f t="shared" ref="I19:P19" si="1">SUM(I18:I18)</f>
        <v>177</v>
      </c>
      <c r="J19" s="658">
        <f t="shared" si="1"/>
        <v>48135</v>
      </c>
      <c r="K19" s="657">
        <f t="shared" si="1"/>
        <v>0</v>
      </c>
      <c r="L19" s="658">
        <f t="shared" si="1"/>
        <v>0</v>
      </c>
      <c r="M19" s="657">
        <f t="shared" si="1"/>
        <v>0</v>
      </c>
      <c r="N19" s="658">
        <f t="shared" si="1"/>
        <v>0</v>
      </c>
      <c r="O19" s="657">
        <f t="shared" si="1"/>
        <v>177</v>
      </c>
      <c r="P19" s="658">
        <f t="shared" si="1"/>
        <v>48135</v>
      </c>
      <c r="Q19" s="278" t="s">
        <v>0</v>
      </c>
      <c r="R19" s="303"/>
      <c r="S19" s="303"/>
      <c r="T19" s="278"/>
    </row>
    <row r="20" spans="1:256">
      <c r="A20" s="302"/>
      <c r="B20" s="283"/>
      <c r="C20" s="291"/>
      <c r="D20" s="292"/>
      <c r="E20" s="306"/>
      <c r="F20" s="291"/>
      <c r="G20" s="292"/>
      <c r="H20" s="306"/>
      <c r="I20" s="291"/>
      <c r="J20" s="292"/>
      <c r="K20" s="291"/>
      <c r="L20" s="294"/>
      <c r="M20" s="291"/>
      <c r="N20" s="292"/>
      <c r="O20" s="291"/>
      <c r="P20" s="292"/>
      <c r="Q20" s="278" t="s">
        <v>0</v>
      </c>
      <c r="R20" s="296"/>
      <c r="S20" s="296"/>
      <c r="T20" s="278"/>
    </row>
    <row r="21" spans="1:256" ht="25.5">
      <c r="A21" s="305" t="s">
        <v>309</v>
      </c>
      <c r="B21" s="283"/>
      <c r="C21" s="291"/>
      <c r="D21" s="292"/>
      <c r="E21" s="306"/>
      <c r="F21" s="291"/>
      <c r="G21" s="292"/>
      <c r="H21" s="306"/>
      <c r="I21" s="291"/>
      <c r="J21" s="292"/>
      <c r="K21" s="291"/>
      <c r="L21" s="294"/>
      <c r="M21" s="291"/>
      <c r="N21" s="292"/>
      <c r="O21" s="291"/>
      <c r="P21" s="292"/>
      <c r="Q21" s="278" t="s">
        <v>0</v>
      </c>
      <c r="R21" s="296"/>
      <c r="S21" s="296"/>
      <c r="T21" s="278"/>
    </row>
    <row r="22" spans="1:256" ht="38.25">
      <c r="A22" s="301" t="s">
        <v>310</v>
      </c>
      <c r="B22" s="283"/>
      <c r="C22" s="615">
        <f ca="1">5109+122+355-C14-C18-C23</f>
        <v>3451</v>
      </c>
      <c r="D22" s="616">
        <f>1125763+29651-D14-D18-D23</f>
        <v>712738</v>
      </c>
      <c r="E22" s="617"/>
      <c r="F22" s="615">
        <f>5109+355-F14-F18-F23</f>
        <v>3354</v>
      </c>
      <c r="G22" s="616">
        <f>1125763-G14-G18-G23</f>
        <v>690680</v>
      </c>
      <c r="H22" s="306"/>
      <c r="I22" s="615">
        <f>5109+355+350+122-3-I14-I18-I23</f>
        <v>3725</v>
      </c>
      <c r="J22" s="616">
        <f>G22+49638+35515+1204+907</f>
        <v>777944</v>
      </c>
      <c r="K22" s="615">
        <v>11</v>
      </c>
      <c r="L22" s="618">
        <v>0</v>
      </c>
      <c r="M22" s="615">
        <v>0</v>
      </c>
      <c r="N22" s="616">
        <f>-5837-450-77-72-7200</f>
        <v>-13636</v>
      </c>
      <c r="O22" s="291">
        <f>+I22+K22+M22</f>
        <v>3736</v>
      </c>
      <c r="P22" s="292">
        <f>+J22+L22+N22</f>
        <v>764308</v>
      </c>
      <c r="Q22" s="278" t="s">
        <v>0</v>
      </c>
      <c r="R22" s="296"/>
      <c r="S22" s="296"/>
      <c r="T22" s="278"/>
    </row>
    <row r="23" spans="1:256">
      <c r="A23" s="300" t="s">
        <v>311</v>
      </c>
      <c r="B23" s="283"/>
      <c r="C23" s="615">
        <f ca="1">1644+25+246</f>
        <v>1915</v>
      </c>
      <c r="D23" s="616">
        <f>381151+7253</f>
        <v>388404</v>
      </c>
      <c r="E23" s="617"/>
      <c r="F23" s="615">
        <f>1644+246</f>
        <v>1890</v>
      </c>
      <c r="G23" s="616">
        <f>381151</f>
        <v>381151</v>
      </c>
      <c r="H23" s="306"/>
      <c r="I23" s="615">
        <f>F23+73+25</f>
        <v>1988</v>
      </c>
      <c r="J23" s="616">
        <f>G23+36356</f>
        <v>417507</v>
      </c>
      <c r="K23" s="615">
        <f>4+55</f>
        <v>59</v>
      </c>
      <c r="L23" s="618">
        <v>1519</v>
      </c>
      <c r="M23" s="615">
        <v>0</v>
      </c>
      <c r="N23" s="616">
        <v>-896</v>
      </c>
      <c r="O23" s="291">
        <f>+I23+K23+M23</f>
        <v>2047</v>
      </c>
      <c r="P23" s="292">
        <f>+J23+L23+N23</f>
        <v>418130</v>
      </c>
      <c r="Q23" s="278" t="s">
        <v>0</v>
      </c>
      <c r="R23" s="296"/>
      <c r="S23" s="296"/>
      <c r="T23" s="278"/>
    </row>
    <row r="24" spans="1:256">
      <c r="A24" s="656" t="s">
        <v>312</v>
      </c>
      <c r="B24" s="297"/>
      <c r="C24" s="657">
        <f ca="1">SUM(C22:C23)</f>
        <v>5366</v>
      </c>
      <c r="D24" s="658">
        <f>SUM(D22:D23)</f>
        <v>1101142</v>
      </c>
      <c r="E24" s="645"/>
      <c r="F24" s="657">
        <f>SUM(F22:F23)</f>
        <v>5244</v>
      </c>
      <c r="G24" s="658">
        <f>SUM(G22:G23)</f>
        <v>1071831</v>
      </c>
      <c r="H24" s="646"/>
      <c r="I24" s="657">
        <f t="shared" ref="I24:P24" si="2">SUM(I22:I23)</f>
        <v>5713</v>
      </c>
      <c r="J24" s="658">
        <f t="shared" si="2"/>
        <v>1195451</v>
      </c>
      <c r="K24" s="657">
        <f t="shared" si="2"/>
        <v>70</v>
      </c>
      <c r="L24" s="658">
        <f t="shared" si="2"/>
        <v>1519</v>
      </c>
      <c r="M24" s="657">
        <f t="shared" si="2"/>
        <v>0</v>
      </c>
      <c r="N24" s="658">
        <f t="shared" si="2"/>
        <v>-14532</v>
      </c>
      <c r="O24" s="657">
        <f t="shared" si="2"/>
        <v>5783</v>
      </c>
      <c r="P24" s="658">
        <f t="shared" si="2"/>
        <v>1182438</v>
      </c>
      <c r="Q24" s="278" t="s">
        <v>0</v>
      </c>
      <c r="R24" s="303"/>
      <c r="S24" s="303"/>
      <c r="T24" s="278"/>
    </row>
    <row r="25" spans="1:256" ht="13.5" thickBot="1">
      <c r="A25" s="283"/>
      <c r="B25" s="283"/>
      <c r="C25" s="306"/>
      <c r="D25" s="306"/>
      <c r="E25" s="306"/>
      <c r="F25" s="306"/>
      <c r="G25" s="306"/>
      <c r="H25" s="306"/>
      <c r="I25" s="306"/>
      <c r="J25" s="306"/>
      <c r="K25" s="306"/>
      <c r="L25" s="306"/>
      <c r="M25" s="309"/>
      <c r="N25" s="306"/>
      <c r="O25" s="306"/>
      <c r="P25" s="306"/>
      <c r="Q25" s="278" t="s">
        <v>0</v>
      </c>
      <c r="R25" s="296"/>
      <c r="S25" s="296"/>
      <c r="T25" s="278"/>
    </row>
    <row r="26" spans="1:256" s="314" customFormat="1" ht="18.75" customHeight="1" thickBot="1">
      <c r="A26" s="310" t="s">
        <v>313</v>
      </c>
      <c r="B26" s="311"/>
      <c r="C26" s="650">
        <f ca="1">C15+C19+C24</f>
        <v>5586</v>
      </c>
      <c r="D26" s="651">
        <f>D15+D19+D24</f>
        <v>1155414</v>
      </c>
      <c r="E26" s="652"/>
      <c r="F26" s="650">
        <f>F15+F19+F24</f>
        <v>5464</v>
      </c>
      <c r="G26" s="651">
        <f>G15+G19+G24</f>
        <v>1125763</v>
      </c>
      <c r="H26" s="652"/>
      <c r="I26" s="650">
        <f t="shared" ref="I26:P26" si="3">I15+I19+I24</f>
        <v>5933</v>
      </c>
      <c r="J26" s="651">
        <f t="shared" si="3"/>
        <v>1249383</v>
      </c>
      <c r="K26" s="650">
        <f t="shared" si="3"/>
        <v>70</v>
      </c>
      <c r="L26" s="651">
        <f t="shared" si="3"/>
        <v>1519</v>
      </c>
      <c r="M26" s="650">
        <f t="shared" si="3"/>
        <v>0</v>
      </c>
      <c r="N26" s="651">
        <f t="shared" si="3"/>
        <v>-14532</v>
      </c>
      <c r="O26" s="650">
        <f t="shared" si="3"/>
        <v>6003</v>
      </c>
      <c r="P26" s="651">
        <f t="shared" si="3"/>
        <v>1236370</v>
      </c>
      <c r="Q26" s="278" t="s">
        <v>0</v>
      </c>
      <c r="R26" s="312"/>
      <c r="S26" s="313"/>
      <c r="T26" s="278"/>
    </row>
    <row r="27" spans="1:256" s="606" customFormat="1" ht="15">
      <c r="A27" s="881" t="s">
        <v>433</v>
      </c>
      <c r="B27" s="881"/>
      <c r="C27" s="881"/>
      <c r="D27" s="881"/>
      <c r="E27" s="881"/>
      <c r="F27" s="881"/>
      <c r="G27" s="881"/>
      <c r="H27" s="881"/>
      <c r="I27" s="881"/>
      <c r="J27" s="881"/>
      <c r="K27" s="881"/>
      <c r="L27" s="881"/>
      <c r="M27" s="881"/>
      <c r="N27" s="881"/>
      <c r="O27" s="881"/>
      <c r="P27" s="881"/>
      <c r="Q27" s="278" t="s">
        <v>0</v>
      </c>
      <c r="R27" s="394"/>
      <c r="S27" s="394"/>
      <c r="T27" s="394"/>
      <c r="U27" s="394"/>
      <c r="V27" s="640"/>
      <c r="W27" s="641"/>
      <c r="X27" s="639"/>
      <c r="Y27" s="640"/>
      <c r="Z27" s="641"/>
      <c r="AA27" s="640"/>
      <c r="AB27" s="641"/>
      <c r="AC27" s="640"/>
      <c r="AD27" s="641"/>
      <c r="AE27" s="640"/>
      <c r="AF27" s="641"/>
      <c r="AG27" s="639"/>
      <c r="AH27" s="639"/>
      <c r="AI27" s="640"/>
      <c r="AJ27" s="641"/>
      <c r="AK27" s="639"/>
      <c r="AL27" s="640"/>
      <c r="AM27" s="641"/>
      <c r="AN27" s="639"/>
      <c r="AO27" s="640"/>
      <c r="AP27" s="641"/>
      <c r="AQ27" s="640"/>
      <c r="AR27" s="641"/>
      <c r="AS27" s="640"/>
      <c r="AT27" s="641"/>
      <c r="AU27" s="640"/>
      <c r="AV27" s="641"/>
      <c r="AW27" s="639"/>
      <c r="AX27" s="639"/>
      <c r="AY27" s="640"/>
      <c r="AZ27" s="641"/>
      <c r="BA27" s="639"/>
      <c r="BB27" s="640"/>
      <c r="BC27" s="641"/>
      <c r="BD27" s="639"/>
      <c r="BE27" s="640"/>
      <c r="BF27" s="641"/>
      <c r="BG27" s="640"/>
      <c r="BH27" s="641"/>
      <c r="BI27" s="640"/>
      <c r="BJ27" s="641"/>
      <c r="BK27" s="640"/>
      <c r="BL27" s="641"/>
      <c r="BM27" s="639"/>
      <c r="BN27" s="639"/>
      <c r="BO27" s="640"/>
      <c r="BP27" s="641"/>
      <c r="BQ27" s="639"/>
      <c r="BR27" s="640"/>
      <c r="BS27" s="641"/>
      <c r="BT27" s="639"/>
      <c r="BU27" s="640"/>
      <c r="BV27" s="641"/>
      <c r="BW27" s="640"/>
      <c r="BX27" s="641"/>
      <c r="BY27" s="640"/>
      <c r="BZ27" s="641"/>
      <c r="CA27" s="640"/>
      <c r="CB27" s="641"/>
      <c r="CC27" s="639"/>
      <c r="CD27" s="639"/>
      <c r="CE27" s="640"/>
      <c r="CF27" s="641"/>
      <c r="CG27" s="639"/>
      <c r="CH27" s="640"/>
      <c r="CI27" s="641"/>
      <c r="CJ27" s="639"/>
      <c r="CK27" s="640"/>
      <c r="CL27" s="641"/>
      <c r="CM27" s="640"/>
      <c r="CN27" s="641"/>
      <c r="CO27" s="640"/>
      <c r="CP27" s="641"/>
      <c r="CQ27" s="640"/>
      <c r="CR27" s="641"/>
      <c r="CS27" s="639"/>
      <c r="CT27" s="639"/>
      <c r="CU27" s="640"/>
      <c r="CV27" s="641"/>
      <c r="CW27" s="639"/>
      <c r="CX27" s="640"/>
      <c r="CY27" s="641"/>
      <c r="CZ27" s="639"/>
      <c r="DA27" s="640"/>
      <c r="DB27" s="641"/>
      <c r="DC27" s="640"/>
      <c r="DD27" s="641"/>
      <c r="DE27" s="640"/>
      <c r="DF27" s="641"/>
      <c r="DG27" s="640"/>
      <c r="DH27" s="641"/>
      <c r="DI27" s="639"/>
      <c r="DJ27" s="639"/>
      <c r="DK27" s="640"/>
      <c r="DL27" s="641"/>
      <c r="DM27" s="639"/>
      <c r="DN27" s="640"/>
      <c r="DO27" s="641"/>
      <c r="DP27" s="639"/>
      <c r="DQ27" s="640"/>
      <c r="DR27" s="641"/>
      <c r="DS27" s="640"/>
      <c r="DT27" s="641"/>
      <c r="DU27" s="640"/>
      <c r="DV27" s="641"/>
      <c r="DW27" s="640"/>
      <c r="DX27" s="641"/>
      <c r="DY27" s="639"/>
      <c r="DZ27" s="639"/>
      <c r="EA27" s="640"/>
      <c r="EB27" s="641"/>
      <c r="EC27" s="639"/>
      <c r="ED27" s="640"/>
      <c r="EE27" s="641"/>
      <c r="EF27" s="639"/>
      <c r="EG27" s="640"/>
      <c r="EH27" s="641"/>
      <c r="EI27" s="640"/>
      <c r="EJ27" s="641"/>
      <c r="EK27" s="640"/>
      <c r="EL27" s="641"/>
      <c r="EM27" s="640"/>
      <c r="EN27" s="641"/>
      <c r="EO27" s="639"/>
      <c r="EP27" s="639"/>
      <c r="EQ27" s="640"/>
      <c r="ER27" s="641"/>
      <c r="ES27" s="639"/>
      <c r="ET27" s="640"/>
      <c r="EU27" s="641"/>
      <c r="EV27" s="639"/>
      <c r="EW27" s="640"/>
      <c r="EX27" s="641"/>
      <c r="EY27" s="640"/>
      <c r="EZ27" s="641"/>
      <c r="FA27" s="640"/>
      <c r="FB27" s="641"/>
      <c r="FC27" s="640"/>
      <c r="FD27" s="641"/>
      <c r="FE27" s="639"/>
      <c r="FF27" s="639"/>
      <c r="FG27" s="640"/>
      <c r="FH27" s="641"/>
      <c r="FI27" s="639"/>
      <c r="FJ27" s="640"/>
      <c r="FK27" s="641"/>
      <c r="FL27" s="639"/>
      <c r="FM27" s="640"/>
      <c r="FN27" s="641"/>
      <c r="FO27" s="640"/>
      <c r="FP27" s="641"/>
      <c r="FQ27" s="640"/>
      <c r="FR27" s="641"/>
      <c r="FS27" s="640"/>
      <c r="FT27" s="641"/>
      <c r="FU27" s="639"/>
      <c r="FV27" s="639"/>
      <c r="FW27" s="640"/>
      <c r="FX27" s="641"/>
      <c r="FY27" s="639"/>
      <c r="FZ27" s="640"/>
      <c r="GA27" s="641"/>
      <c r="GB27" s="639"/>
      <c r="GC27" s="640"/>
      <c r="GD27" s="641"/>
      <c r="GE27" s="640"/>
      <c r="GF27" s="641"/>
      <c r="GG27" s="640"/>
      <c r="GH27" s="641"/>
      <c r="GI27" s="640"/>
      <c r="GJ27" s="641"/>
      <c r="GK27" s="639"/>
      <c r="GL27" s="639"/>
      <c r="GM27" s="640"/>
      <c r="GN27" s="641"/>
      <c r="GO27" s="639"/>
      <c r="GP27" s="640"/>
      <c r="GQ27" s="641"/>
      <c r="GR27" s="639"/>
      <c r="GS27" s="640"/>
      <c r="GT27" s="641"/>
      <c r="GU27" s="640"/>
      <c r="GV27" s="641"/>
      <c r="GW27" s="640"/>
      <c r="GX27" s="641"/>
      <c r="GY27" s="640"/>
      <c r="GZ27" s="641"/>
      <c r="HA27" s="639"/>
      <c r="HB27" s="639"/>
      <c r="HC27" s="640"/>
      <c r="HD27" s="641"/>
      <c r="HE27" s="639"/>
      <c r="HF27" s="640"/>
      <c r="HG27" s="641"/>
      <c r="HH27" s="639"/>
      <c r="HI27" s="640"/>
      <c r="HJ27" s="641"/>
      <c r="HK27" s="640"/>
      <c r="HL27" s="641"/>
      <c r="HM27" s="640"/>
      <c r="HN27" s="641"/>
      <c r="HO27" s="640"/>
      <c r="HP27" s="641"/>
      <c r="HQ27" s="639"/>
      <c r="HR27" s="639"/>
      <c r="HS27" s="640"/>
      <c r="HT27" s="641"/>
      <c r="HU27" s="639"/>
      <c r="HV27" s="640"/>
      <c r="HW27" s="641"/>
      <c r="HX27" s="639"/>
      <c r="HY27" s="640"/>
      <c r="HZ27" s="641"/>
      <c r="IA27" s="640"/>
      <c r="IB27" s="641"/>
      <c r="IC27" s="640"/>
      <c r="ID27" s="641"/>
      <c r="IE27" s="640"/>
      <c r="IF27" s="641"/>
      <c r="IG27" s="639"/>
      <c r="IH27" s="639"/>
      <c r="II27" s="640"/>
      <c r="IJ27" s="641"/>
      <c r="IK27" s="639"/>
      <c r="IL27" s="640"/>
      <c r="IM27" s="641"/>
      <c r="IN27" s="639"/>
      <c r="IO27" s="640"/>
      <c r="IP27" s="641"/>
      <c r="IQ27" s="640"/>
      <c r="IR27" s="641"/>
      <c r="IS27" s="640"/>
      <c r="IT27" s="641"/>
      <c r="IU27" s="640"/>
      <c r="IV27" s="641"/>
    </row>
    <row r="28" spans="1:256">
      <c r="A28" s="316"/>
      <c r="B28" s="316"/>
      <c r="C28" s="653"/>
      <c r="D28" s="654"/>
      <c r="E28" s="653"/>
      <c r="F28" s="653"/>
      <c r="G28" s="654"/>
      <c r="H28" s="653"/>
      <c r="I28" s="653"/>
      <c r="J28" s="654"/>
      <c r="K28" s="655"/>
      <c r="L28" s="655"/>
      <c r="M28" s="655"/>
      <c r="N28" s="655"/>
      <c r="O28" s="655"/>
      <c r="P28" s="655"/>
      <c r="Q28" s="278" t="s">
        <v>0</v>
      </c>
      <c r="R28" s="315"/>
      <c r="S28" s="315"/>
      <c r="T28" s="278"/>
    </row>
    <row r="29" spans="1:256">
      <c r="A29" s="316"/>
      <c r="B29" s="316"/>
      <c r="C29" s="653"/>
      <c r="D29" s="654"/>
      <c r="E29" s="653"/>
      <c r="F29" s="653"/>
      <c r="G29" s="654"/>
      <c r="H29" s="653"/>
      <c r="I29" s="653"/>
      <c r="J29" s="654"/>
      <c r="K29" s="655"/>
      <c r="L29" s="655"/>
      <c r="M29" s="655"/>
      <c r="N29" s="655"/>
      <c r="O29" s="655"/>
      <c r="P29" s="655"/>
      <c r="Q29" s="278" t="s">
        <v>0</v>
      </c>
      <c r="R29" s="315"/>
      <c r="S29" s="315"/>
      <c r="T29" s="278"/>
    </row>
    <row r="30" spans="1:256">
      <c r="A30" s="316"/>
      <c r="B30" s="316"/>
      <c r="C30" s="647"/>
      <c r="D30" s="648"/>
      <c r="E30" s="647"/>
      <c r="F30" s="647"/>
      <c r="G30" s="648"/>
      <c r="H30" s="647"/>
      <c r="I30" s="647"/>
      <c r="J30" s="648"/>
      <c r="K30" s="649"/>
      <c r="L30" s="649"/>
      <c r="M30" s="649"/>
      <c r="N30" s="649"/>
      <c r="O30" s="649"/>
      <c r="P30" s="649"/>
      <c r="Q30" s="278" t="s">
        <v>0</v>
      </c>
      <c r="R30" s="315"/>
      <c r="S30" s="315"/>
    </row>
    <row r="31" spans="1:256" s="606" customFormat="1" ht="15.75">
      <c r="A31" s="882" t="s">
        <v>298</v>
      </c>
      <c r="B31" s="860"/>
      <c r="C31" s="860"/>
      <c r="D31" s="860"/>
      <c r="E31" s="860"/>
      <c r="F31" s="860"/>
      <c r="G31" s="860"/>
      <c r="H31" s="860"/>
      <c r="I31" s="860"/>
      <c r="J31" s="860"/>
      <c r="K31" s="860"/>
      <c r="L31" s="860"/>
      <c r="M31" s="860"/>
      <c r="N31" s="860"/>
      <c r="O31" s="860"/>
      <c r="P31" s="860"/>
      <c r="Q31" s="278" t="s">
        <v>0</v>
      </c>
    </row>
    <row r="32" spans="1:256" s="606" customFormat="1" ht="15.75">
      <c r="A32" s="883" t="str">
        <f ca="1">+'B. Summary of Requirements_Cons'!A7:X7</f>
        <v>United States Marshals Service</v>
      </c>
      <c r="B32" s="860"/>
      <c r="C32" s="860"/>
      <c r="D32" s="860"/>
      <c r="E32" s="860"/>
      <c r="F32" s="860"/>
      <c r="G32" s="860"/>
      <c r="H32" s="860"/>
      <c r="I32" s="860"/>
      <c r="J32" s="860"/>
      <c r="K32" s="860"/>
      <c r="L32" s="860"/>
      <c r="M32" s="860"/>
      <c r="N32" s="860"/>
      <c r="O32" s="860"/>
      <c r="P32" s="860"/>
      <c r="Q32" s="278" t="s">
        <v>0</v>
      </c>
    </row>
    <row r="33" spans="1:20" s="606" customFormat="1" ht="15.75">
      <c r="A33" s="883" t="str">
        <f ca="1">+'B. Summary of Requirements_Cons'!A8:X8</f>
        <v>Construction</v>
      </c>
      <c r="B33" s="860"/>
      <c r="C33" s="860"/>
      <c r="D33" s="860"/>
      <c r="E33" s="860"/>
      <c r="F33" s="860"/>
      <c r="G33" s="860"/>
      <c r="H33" s="860"/>
      <c r="I33" s="860"/>
      <c r="J33" s="860"/>
      <c r="K33" s="860"/>
      <c r="L33" s="860"/>
      <c r="M33" s="860"/>
      <c r="N33" s="860"/>
      <c r="O33" s="860"/>
      <c r="P33" s="860"/>
      <c r="Q33" s="278" t="s">
        <v>0</v>
      </c>
    </row>
    <row r="34" spans="1:20" s="606" customFormat="1" ht="15" customHeight="1">
      <c r="A34" s="884" t="s">
        <v>265</v>
      </c>
      <c r="B34" s="860"/>
      <c r="C34" s="860"/>
      <c r="D34" s="860"/>
      <c r="E34" s="860"/>
      <c r="F34" s="860"/>
      <c r="G34" s="860"/>
      <c r="H34" s="860"/>
      <c r="I34" s="860"/>
      <c r="J34" s="860"/>
      <c r="K34" s="860"/>
      <c r="L34" s="860"/>
      <c r="M34" s="860"/>
      <c r="N34" s="860"/>
      <c r="O34" s="860"/>
      <c r="P34" s="860"/>
      <c r="Q34" s="278" t="s">
        <v>0</v>
      </c>
    </row>
    <row r="35" spans="1:20" s="606" customFormat="1" ht="15" customHeight="1">
      <c r="Q35" s="278" t="s">
        <v>0</v>
      </c>
    </row>
    <row r="36" spans="1:20" s="606" customFormat="1" ht="13.5" thickBot="1">
      <c r="Q36" s="278" t="s">
        <v>0</v>
      </c>
    </row>
    <row r="37" spans="1:20" s="606" customFormat="1" ht="27" customHeight="1">
      <c r="A37" s="707"/>
      <c r="B37" s="607"/>
      <c r="C37" s="885" t="s">
        <v>314</v>
      </c>
      <c r="D37" s="864"/>
      <c r="E37" s="608"/>
      <c r="F37" s="863" t="s">
        <v>330</v>
      </c>
      <c r="G37" s="864"/>
      <c r="H37" s="608"/>
      <c r="I37" s="886" t="s">
        <v>247</v>
      </c>
      <c r="J37" s="864"/>
      <c r="K37" s="887">
        <v>2012</v>
      </c>
      <c r="L37" s="872"/>
      <c r="M37" s="872"/>
      <c r="N37" s="873"/>
      <c r="O37" s="886" t="s">
        <v>44</v>
      </c>
      <c r="P37" s="864"/>
      <c r="Q37" s="278" t="s">
        <v>0</v>
      </c>
    </row>
    <row r="38" spans="1:20" s="606" customFormat="1" ht="27" customHeight="1">
      <c r="A38" s="296"/>
      <c r="B38" s="607"/>
      <c r="C38" s="865"/>
      <c r="D38" s="866"/>
      <c r="E38" s="608"/>
      <c r="F38" s="868"/>
      <c r="G38" s="869"/>
      <c r="H38" s="608"/>
      <c r="I38" s="868"/>
      <c r="J38" s="869"/>
      <c r="K38" s="888" t="s">
        <v>290</v>
      </c>
      <c r="L38" s="889"/>
      <c r="M38" s="855" t="s">
        <v>299</v>
      </c>
      <c r="N38" s="856"/>
      <c r="O38" s="868"/>
      <c r="P38" s="869"/>
      <c r="Q38" s="278" t="s">
        <v>0</v>
      </c>
    </row>
    <row r="39" spans="1:20" s="606" customFormat="1">
      <c r="A39" s="879" t="s">
        <v>300</v>
      </c>
      <c r="B39" s="607"/>
      <c r="C39" s="609"/>
      <c r="D39" s="610"/>
      <c r="E39" s="611"/>
      <c r="F39" s="609"/>
      <c r="G39" s="610"/>
      <c r="H39" s="611"/>
      <c r="I39" s="609"/>
      <c r="J39" s="610"/>
      <c r="K39" s="609"/>
      <c r="L39" s="610"/>
      <c r="M39" s="612"/>
      <c r="N39" s="610"/>
      <c r="O39" s="609"/>
      <c r="P39" s="610"/>
      <c r="Q39" s="278" t="s">
        <v>0</v>
      </c>
    </row>
    <row r="40" spans="1:20" s="606" customFormat="1" ht="51">
      <c r="A40" s="880"/>
      <c r="B40" s="607"/>
      <c r="C40" s="613" t="s">
        <v>301</v>
      </c>
      <c r="D40" s="614" t="s">
        <v>302</v>
      </c>
      <c r="E40" s="611"/>
      <c r="F40" s="613" t="s">
        <v>301</v>
      </c>
      <c r="G40" s="614" t="s">
        <v>302</v>
      </c>
      <c r="H40" s="611"/>
      <c r="I40" s="613" t="s">
        <v>301</v>
      </c>
      <c r="J40" s="614" t="s">
        <v>302</v>
      </c>
      <c r="K40" s="613" t="s">
        <v>301</v>
      </c>
      <c r="L40" s="614" t="s">
        <v>302</v>
      </c>
      <c r="M40" s="613" t="s">
        <v>301</v>
      </c>
      <c r="N40" s="614" t="s">
        <v>302</v>
      </c>
      <c r="O40" s="613" t="s">
        <v>301</v>
      </c>
      <c r="P40" s="614" t="s">
        <v>302</v>
      </c>
      <c r="Q40" s="278" t="s">
        <v>0</v>
      </c>
    </row>
    <row r="41" spans="1:20" s="606" customFormat="1" ht="25.5">
      <c r="A41" s="624" t="s">
        <v>309</v>
      </c>
      <c r="B41" s="607"/>
      <c r="C41" s="615"/>
      <c r="D41" s="616"/>
      <c r="E41" s="617"/>
      <c r="F41" s="615"/>
      <c r="G41" s="616"/>
      <c r="H41" s="617"/>
      <c r="I41" s="615"/>
      <c r="J41" s="616"/>
      <c r="K41" s="615"/>
      <c r="L41" s="618"/>
      <c r="M41" s="615"/>
      <c r="N41" s="616"/>
      <c r="O41" s="615"/>
      <c r="P41" s="616"/>
      <c r="Q41" s="278" t="s">
        <v>0</v>
      </c>
    </row>
    <row r="42" spans="1:20" s="628" customFormat="1" ht="38.25">
      <c r="A42" s="629" t="s">
        <v>310</v>
      </c>
      <c r="B42" s="607"/>
      <c r="C42" s="630">
        <v>0</v>
      </c>
      <c r="D42" s="631">
        <v>34625</v>
      </c>
      <c r="E42" s="617"/>
      <c r="F42" s="630">
        <v>0</v>
      </c>
      <c r="G42" s="631">
        <v>26625</v>
      </c>
      <c r="H42" s="617"/>
      <c r="I42" s="630">
        <v>0</v>
      </c>
      <c r="J42" s="631">
        <v>26625</v>
      </c>
      <c r="K42" s="630">
        <v>0</v>
      </c>
      <c r="L42" s="632">
        <v>0</v>
      </c>
      <c r="M42" s="630">
        <v>0</v>
      </c>
      <c r="N42" s="631">
        <v>-11000</v>
      </c>
      <c r="O42" s="630">
        <f>+I42+K42+M42</f>
        <v>0</v>
      </c>
      <c r="P42" s="631">
        <f>+J42+L42+N42</f>
        <v>15625</v>
      </c>
      <c r="Q42" s="278" t="s">
        <v>0</v>
      </c>
      <c r="R42" s="633"/>
      <c r="S42" s="633"/>
      <c r="T42" s="605"/>
    </row>
    <row r="43" spans="1:20" s="628" customFormat="1" ht="15.75" customHeight="1">
      <c r="A43" s="621" t="s">
        <v>312</v>
      </c>
      <c r="B43" s="619"/>
      <c r="C43" s="634">
        <f>SUM(C42:C42)</f>
        <v>0</v>
      </c>
      <c r="D43" s="635">
        <f>SUM(D42:D42)</f>
        <v>34625</v>
      </c>
      <c r="E43" s="622"/>
      <c r="F43" s="634">
        <f>SUM(F42:F42)</f>
        <v>0</v>
      </c>
      <c r="G43" s="635">
        <f>SUM(G42:G42)</f>
        <v>26625</v>
      </c>
      <c r="H43" s="623"/>
      <c r="I43" s="634">
        <f t="shared" ref="I43:P43" si="4">SUM(I42:I42)</f>
        <v>0</v>
      </c>
      <c r="J43" s="635">
        <f t="shared" si="4"/>
        <v>26625</v>
      </c>
      <c r="K43" s="634">
        <f t="shared" si="4"/>
        <v>0</v>
      </c>
      <c r="L43" s="636">
        <f t="shared" si="4"/>
        <v>0</v>
      </c>
      <c r="M43" s="634">
        <f t="shared" si="4"/>
        <v>0</v>
      </c>
      <c r="N43" s="635">
        <f t="shared" si="4"/>
        <v>-11000</v>
      </c>
      <c r="O43" s="634">
        <f t="shared" si="4"/>
        <v>0</v>
      </c>
      <c r="P43" s="635">
        <f t="shared" si="4"/>
        <v>15625</v>
      </c>
      <c r="Q43" s="278" t="s">
        <v>0</v>
      </c>
      <c r="R43" s="637"/>
      <c r="S43" s="637"/>
      <c r="T43" s="605"/>
    </row>
    <row r="44" spans="1:20" s="628" customFormat="1" ht="13.5" thickBot="1">
      <c r="A44" s="606"/>
      <c r="B44" s="606"/>
      <c r="C44" s="606"/>
      <c r="D44" s="606"/>
      <c r="E44" s="606"/>
      <c r="F44" s="606"/>
      <c r="G44" s="606"/>
      <c r="H44" s="606"/>
      <c r="I44" s="606"/>
      <c r="J44" s="606"/>
      <c r="K44" s="606"/>
      <c r="L44" s="606"/>
      <c r="M44" s="606"/>
      <c r="N44" s="606"/>
      <c r="O44" s="606"/>
      <c r="P44" s="606"/>
      <c r="Q44" s="278" t="s">
        <v>0</v>
      </c>
      <c r="R44" s="638"/>
      <c r="S44" s="638"/>
      <c r="T44" s="605"/>
    </row>
    <row r="45" spans="1:20" s="606" customFormat="1" ht="13.5" thickBot="1">
      <c r="A45" s="626" t="s">
        <v>313</v>
      </c>
      <c r="B45" s="627"/>
      <c r="C45" s="650">
        <f>+C43</f>
        <v>0</v>
      </c>
      <c r="D45" s="651">
        <f>+D43</f>
        <v>34625</v>
      </c>
      <c r="E45" s="652"/>
      <c r="F45" s="650">
        <f>+F43</f>
        <v>0</v>
      </c>
      <c r="G45" s="651">
        <f>+G43</f>
        <v>26625</v>
      </c>
      <c r="H45" s="652"/>
      <c r="I45" s="650">
        <f t="shared" ref="I45:P45" si="5">+I43</f>
        <v>0</v>
      </c>
      <c r="J45" s="651">
        <f t="shared" si="5"/>
        <v>26625</v>
      </c>
      <c r="K45" s="650">
        <f t="shared" si="5"/>
        <v>0</v>
      </c>
      <c r="L45" s="651">
        <f t="shared" si="5"/>
        <v>0</v>
      </c>
      <c r="M45" s="650">
        <f t="shared" si="5"/>
        <v>0</v>
      </c>
      <c r="N45" s="651">
        <f t="shared" si="5"/>
        <v>-11000</v>
      </c>
      <c r="O45" s="650">
        <f t="shared" si="5"/>
        <v>0</v>
      </c>
      <c r="P45" s="651">
        <f t="shared" si="5"/>
        <v>15625</v>
      </c>
      <c r="Q45" s="278" t="s">
        <v>23</v>
      </c>
    </row>
    <row r="46" spans="1:20" ht="15">
      <c r="A46" s="874"/>
      <c r="B46" s="875"/>
      <c r="C46" s="875"/>
      <c r="D46" s="875"/>
      <c r="E46" s="875"/>
      <c r="F46" s="875"/>
      <c r="G46" s="875"/>
      <c r="H46" s="875"/>
      <c r="I46" s="875"/>
      <c r="J46" s="876"/>
      <c r="K46" s="876"/>
      <c r="L46" s="876"/>
      <c r="M46" s="876"/>
      <c r="N46" s="876"/>
      <c r="O46" s="876"/>
      <c r="P46" s="876"/>
      <c r="Q46" s="876"/>
      <c r="R46" s="876"/>
      <c r="S46" s="876"/>
    </row>
    <row r="47" spans="1:20" ht="15">
      <c r="A47" s="874"/>
      <c r="B47" s="875"/>
      <c r="C47" s="875"/>
      <c r="D47" s="875"/>
      <c r="E47" s="875"/>
      <c r="F47" s="875"/>
      <c r="G47" s="875"/>
      <c r="H47" s="875"/>
      <c r="I47" s="875"/>
      <c r="J47" s="876"/>
      <c r="K47" s="876"/>
      <c r="L47" s="876"/>
      <c r="M47" s="876"/>
      <c r="N47" s="876"/>
      <c r="O47" s="876"/>
      <c r="P47" s="876"/>
      <c r="Q47" s="876"/>
      <c r="R47" s="876"/>
      <c r="S47" s="876"/>
    </row>
    <row r="48" spans="1:20">
      <c r="S48" s="278"/>
    </row>
  </sheetData>
  <customSheetViews>
    <customSheetView guid="{9A28834D-6BE2-4884-BE97-BE00946B08BB}" scale="75" showPageBreaks="1" fitToPage="1" printArea="1" hiddenRows="1" view="pageBreakPreview" topLeftCell="A24">
      <selection activeCell="A61" sqref="A61:P61"/>
      <pageMargins left="0.5" right="0.5" top="1" bottom="0.75" header="0.5" footer="0.5"/>
      <printOptions horizontalCentered="1"/>
      <pageSetup scale="57" orientation="landscape" r:id="rId1"/>
      <headerFooter alignWithMargins="0">
        <oddFooter>&amp;C&amp;"Times New Roman,Regular"Exhibit D - Resources by DOJ Strategic Goals &amp; Strategic Objectives</oddFooter>
      </headerFooter>
    </customSheetView>
  </customSheetViews>
  <mergeCells count="27">
    <mergeCell ref="A47:S47"/>
    <mergeCell ref="A46:S46"/>
    <mergeCell ref="K10:L10"/>
    <mergeCell ref="A39:A40"/>
    <mergeCell ref="A27:P27"/>
    <mergeCell ref="A31:P31"/>
    <mergeCell ref="A32:P32"/>
    <mergeCell ref="A33:P33"/>
    <mergeCell ref="A34:P34"/>
    <mergeCell ref="C37:D38"/>
    <mergeCell ref="F37:G38"/>
    <mergeCell ref="I37:J38"/>
    <mergeCell ref="I9:J10"/>
    <mergeCell ref="K37:N37"/>
    <mergeCell ref="O37:P38"/>
    <mergeCell ref="K38:L38"/>
    <mergeCell ref="M38:N38"/>
    <mergeCell ref="A1:P1"/>
    <mergeCell ref="A3:P3"/>
    <mergeCell ref="A4:P4"/>
    <mergeCell ref="A6:P6"/>
    <mergeCell ref="C9:D10"/>
    <mergeCell ref="A5:P5"/>
    <mergeCell ref="M10:N10"/>
    <mergeCell ref="F9:G10"/>
    <mergeCell ref="O9:P10"/>
    <mergeCell ref="K9:N9"/>
  </mergeCells>
  <printOptions horizontalCentered="1"/>
  <pageMargins left="0.5" right="0.5" top="1" bottom="0.75" header="0.5" footer="0.5"/>
  <pageSetup scale="57" orientation="landscape" r:id="rId2"/>
  <headerFooter alignWithMargins="0">
    <oddFooter>&amp;C&amp;"Times New Roman,Regular"Exhibit D - Resources by DOJ Strategic Goals &amp; Strategic Objectives</oddFooter>
  </headerFooter>
</worksheet>
</file>

<file path=xl/worksheets/sheet6.xml><?xml version="1.0" encoding="utf-8"?>
<worksheet xmlns="http://schemas.openxmlformats.org/spreadsheetml/2006/main" xmlns:r="http://schemas.openxmlformats.org/officeDocument/2006/relationships">
  <sheetPr codeName="Sheet10"/>
  <dimension ref="A1:X64"/>
  <sheetViews>
    <sheetView view="pageBreakPreview" zoomScale="85" zoomScaleNormal="75" zoomScaleSheetLayoutView="75" workbookViewId="0">
      <selection activeCell="F23" sqref="F23"/>
    </sheetView>
  </sheetViews>
  <sheetFormatPr defaultRowHeight="15"/>
  <cols>
    <col min="1" max="1" width="33.44140625" customWidth="1"/>
    <col min="2" max="2" width="9.5546875" customWidth="1"/>
    <col min="3" max="3" width="11.5546875" customWidth="1"/>
    <col min="4" max="4" width="10.33203125" customWidth="1"/>
    <col min="5" max="5" width="9.5546875" customWidth="1"/>
    <col min="6" max="6" width="16.77734375" customWidth="1"/>
    <col min="7" max="7" width="4.109375" style="22" bestFit="1" customWidth="1"/>
    <col min="8" max="8" width="3.88671875" style="22" bestFit="1" customWidth="1"/>
    <col min="9" max="9" width="6.33203125" style="22" bestFit="1" customWidth="1"/>
    <col min="11" max="11" width="6.44140625" style="39" customWidth="1"/>
  </cols>
  <sheetData>
    <row r="1" spans="1:24" ht="20.25">
      <c r="A1" s="899" t="s">
        <v>32</v>
      </c>
      <c r="B1" s="900"/>
      <c r="C1" s="900"/>
      <c r="D1" s="900"/>
      <c r="E1" s="900"/>
      <c r="F1" s="900"/>
      <c r="G1" s="900"/>
      <c r="H1" s="900"/>
      <c r="I1" s="900"/>
      <c r="J1" s="39" t="s">
        <v>0</v>
      </c>
    </row>
    <row r="2" spans="1:24" ht="15.75">
      <c r="A2" s="901" t="s">
        <v>288</v>
      </c>
      <c r="B2" s="901"/>
      <c r="C2" s="901"/>
      <c r="D2" s="901"/>
      <c r="E2" s="901"/>
      <c r="F2" s="901"/>
      <c r="G2" s="901"/>
      <c r="H2" s="901"/>
      <c r="I2" s="902"/>
      <c r="J2" s="39" t="s">
        <v>0</v>
      </c>
    </row>
    <row r="3" spans="1:24" ht="15" customHeight="1">
      <c r="A3" s="859" t="s">
        <v>241</v>
      </c>
      <c r="B3" s="860"/>
      <c r="C3" s="860"/>
      <c r="D3" s="860"/>
      <c r="E3" s="860"/>
      <c r="F3" s="860"/>
      <c r="G3" s="860"/>
      <c r="H3" s="860"/>
      <c r="I3" s="860"/>
      <c r="J3" s="39" t="s">
        <v>0</v>
      </c>
      <c r="L3" s="30"/>
      <c r="M3" s="30"/>
      <c r="N3" s="30"/>
      <c r="O3" s="30"/>
      <c r="P3" s="30"/>
      <c r="Q3" s="30"/>
      <c r="R3" s="30"/>
      <c r="S3" s="30"/>
      <c r="T3" s="30"/>
      <c r="U3" s="30"/>
      <c r="V3" s="30"/>
      <c r="W3" s="30"/>
      <c r="X3" s="30"/>
    </row>
    <row r="4" spans="1:24" ht="15.75">
      <c r="A4" s="861" t="str">
        <f ca="1">+'B. Summary of Requirements_S&amp;E '!A5</f>
        <v>United States Marshals Service</v>
      </c>
      <c r="B4" s="860"/>
      <c r="C4" s="860"/>
      <c r="D4" s="860"/>
      <c r="E4" s="860"/>
      <c r="F4" s="860"/>
      <c r="G4" s="860"/>
      <c r="H4" s="860"/>
      <c r="I4" s="860"/>
      <c r="J4" s="39" t="s">
        <v>0</v>
      </c>
      <c r="L4" s="32"/>
      <c r="M4" s="30"/>
      <c r="N4" s="30"/>
      <c r="O4" s="30"/>
      <c r="P4" s="30"/>
      <c r="Q4" s="30"/>
      <c r="R4" s="30"/>
      <c r="S4" s="30"/>
      <c r="T4" s="30"/>
      <c r="U4" s="30"/>
      <c r="V4" s="30"/>
      <c r="W4" s="30"/>
      <c r="X4" s="30"/>
    </row>
    <row r="5" spans="1:24" ht="21.75" customHeight="1">
      <c r="A5" s="897"/>
      <c r="B5" s="897"/>
      <c r="C5" s="897"/>
      <c r="D5" s="897"/>
      <c r="E5" s="897"/>
      <c r="F5" s="897"/>
      <c r="G5" s="897"/>
      <c r="H5" s="897"/>
      <c r="I5" s="897"/>
      <c r="J5" s="39" t="s">
        <v>0</v>
      </c>
      <c r="L5" s="31"/>
      <c r="M5" s="30"/>
      <c r="N5" s="30"/>
      <c r="O5" s="30"/>
      <c r="P5" s="30"/>
      <c r="Q5" s="30"/>
      <c r="R5" s="30"/>
      <c r="S5" s="30"/>
      <c r="T5" s="30"/>
      <c r="U5" s="30"/>
      <c r="V5" s="30"/>
      <c r="W5" s="30"/>
      <c r="X5" s="30"/>
    </row>
    <row r="6" spans="1:24">
      <c r="A6" s="897"/>
      <c r="B6" s="897"/>
      <c r="C6" s="897"/>
      <c r="D6" s="897"/>
      <c r="E6" s="897"/>
      <c r="F6" s="897"/>
      <c r="G6" s="897"/>
      <c r="H6" s="897"/>
      <c r="I6" s="897"/>
      <c r="J6" s="39" t="s">
        <v>0</v>
      </c>
      <c r="L6" s="31"/>
      <c r="M6" s="30"/>
      <c r="N6" s="30"/>
      <c r="O6" s="30"/>
      <c r="P6" s="30"/>
      <c r="Q6" s="30"/>
      <c r="R6" s="30"/>
      <c r="S6" s="30"/>
      <c r="T6" s="30"/>
      <c r="U6" s="30"/>
      <c r="V6" s="30"/>
      <c r="W6" s="30"/>
      <c r="X6" s="30"/>
    </row>
    <row r="7" spans="1:24">
      <c r="A7" s="184"/>
      <c r="B7" s="30"/>
      <c r="C7" s="30"/>
      <c r="D7" s="30"/>
      <c r="E7" s="30"/>
      <c r="F7" s="30"/>
      <c r="G7" s="178" t="s">
        <v>256</v>
      </c>
      <c r="H7" s="178" t="s">
        <v>51</v>
      </c>
      <c r="I7" s="178" t="s">
        <v>289</v>
      </c>
      <c r="J7" s="39"/>
      <c r="L7" s="31"/>
      <c r="M7" s="30"/>
      <c r="N7" s="30"/>
      <c r="O7" s="30"/>
      <c r="P7" s="30"/>
      <c r="Q7" s="30"/>
      <c r="R7" s="30"/>
      <c r="S7" s="30"/>
      <c r="T7" s="30"/>
      <c r="U7" s="30"/>
      <c r="V7" s="30"/>
      <c r="W7" s="30"/>
      <c r="X7" s="30"/>
    </row>
    <row r="8" spans="1:24" s="582" customFormat="1">
      <c r="A8" s="903" t="s">
        <v>55</v>
      </c>
      <c r="B8" s="904"/>
      <c r="C8" s="904"/>
      <c r="D8" s="904"/>
      <c r="E8" s="904"/>
      <c r="F8" s="904"/>
      <c r="G8" s="904"/>
      <c r="H8" s="904"/>
      <c r="I8" s="904"/>
      <c r="J8" s="572" t="s">
        <v>0</v>
      </c>
      <c r="K8" s="572"/>
      <c r="L8" s="573"/>
      <c r="M8" s="573"/>
      <c r="N8" s="573"/>
    </row>
    <row r="9" spans="1:24" s="582" customFormat="1" ht="15" customHeight="1">
      <c r="A9" s="573"/>
      <c r="B9" s="573"/>
      <c r="C9" s="573"/>
      <c r="D9" s="573"/>
      <c r="E9" s="573"/>
      <c r="F9" s="573"/>
      <c r="G9" s="583"/>
      <c r="H9" s="583"/>
      <c r="I9" s="583"/>
      <c r="J9" s="572" t="s">
        <v>0</v>
      </c>
      <c r="K9" s="572"/>
      <c r="L9" s="573"/>
    </row>
    <row r="10" spans="1:24" s="574" customFormat="1" ht="68.25" customHeight="1">
      <c r="A10" s="890" t="s">
        <v>444</v>
      </c>
      <c r="B10" s="891"/>
      <c r="C10" s="891"/>
      <c r="D10" s="891"/>
      <c r="E10" s="891"/>
      <c r="F10" s="891"/>
      <c r="G10" s="570">
        <v>0</v>
      </c>
      <c r="H10" s="570">
        <v>0</v>
      </c>
      <c r="I10" s="571">
        <v>-100</v>
      </c>
      <c r="J10" s="572" t="s">
        <v>0</v>
      </c>
      <c r="K10" s="572"/>
      <c r="L10" s="573"/>
    </row>
    <row r="11" spans="1:24" s="574" customFormat="1" ht="64.5" customHeight="1">
      <c r="A11" s="890" t="s">
        <v>445</v>
      </c>
      <c r="B11" s="891"/>
      <c r="C11" s="891"/>
      <c r="D11" s="891"/>
      <c r="E11" s="891"/>
      <c r="F11" s="891"/>
      <c r="G11" s="570">
        <v>0</v>
      </c>
      <c r="H11" s="570">
        <v>0</v>
      </c>
      <c r="I11" s="571">
        <v>-8</v>
      </c>
      <c r="J11" s="572" t="s">
        <v>0</v>
      </c>
      <c r="K11" s="572"/>
      <c r="L11" s="573"/>
    </row>
    <row r="12" spans="1:24" s="574" customFormat="1" ht="8.25" customHeight="1">
      <c r="A12" s="575"/>
      <c r="B12" s="575"/>
      <c r="C12" s="575"/>
      <c r="D12" s="575"/>
      <c r="E12" s="575"/>
      <c r="F12" s="575"/>
      <c r="G12" s="576"/>
      <c r="H12" s="576"/>
      <c r="I12" s="571"/>
      <c r="J12" s="572" t="s">
        <v>0</v>
      </c>
      <c r="K12" s="572"/>
      <c r="L12" s="573"/>
    </row>
    <row r="13" spans="1:24" s="574" customFormat="1" ht="69.75" customHeight="1">
      <c r="A13" s="890" t="s">
        <v>446</v>
      </c>
      <c r="B13" s="891"/>
      <c r="C13" s="891"/>
      <c r="D13" s="891"/>
      <c r="E13" s="891"/>
      <c r="F13" s="891"/>
      <c r="G13" s="570">
        <v>0</v>
      </c>
      <c r="H13" s="570">
        <v>0</v>
      </c>
      <c r="I13" s="571">
        <v>2806</v>
      </c>
      <c r="J13" s="572" t="s">
        <v>0</v>
      </c>
      <c r="K13" s="572"/>
      <c r="L13" s="573"/>
    </row>
    <row r="14" spans="1:24" s="574" customFormat="1">
      <c r="A14" s="575"/>
      <c r="B14" s="575"/>
      <c r="C14" s="575"/>
      <c r="D14" s="575"/>
      <c r="E14" s="575"/>
      <c r="F14" s="575"/>
      <c r="G14" s="576"/>
      <c r="H14" s="576"/>
      <c r="I14" s="571"/>
      <c r="J14" s="572" t="s">
        <v>0</v>
      </c>
      <c r="K14" s="572"/>
      <c r="L14" s="573"/>
    </row>
    <row r="15" spans="1:24" s="574" customFormat="1" ht="15.75" customHeight="1">
      <c r="A15" s="577"/>
      <c r="B15" s="577"/>
      <c r="C15" s="577"/>
      <c r="D15" s="577"/>
      <c r="E15" s="577"/>
      <c r="F15" s="578" t="s">
        <v>397</v>
      </c>
      <c r="G15" s="579">
        <f>SUM(G10:G13)</f>
        <v>0</v>
      </c>
      <c r="H15" s="579">
        <f>SUM(H10:H13)</f>
        <v>0</v>
      </c>
      <c r="I15" s="580">
        <f>SUM(I10:I13)</f>
        <v>2698</v>
      </c>
      <c r="J15" s="572" t="s">
        <v>0</v>
      </c>
      <c r="K15" s="581"/>
      <c r="L15" s="573"/>
    </row>
    <row r="16" spans="1:24" s="83" customFormat="1">
      <c r="A16" s="907" t="s">
        <v>290</v>
      </c>
      <c r="B16" s="908"/>
      <c r="C16" s="908"/>
      <c r="D16" s="908"/>
      <c r="E16" s="908"/>
      <c r="F16" s="908"/>
      <c r="G16" s="908"/>
      <c r="H16" s="908"/>
      <c r="I16" s="908"/>
      <c r="J16" s="39" t="s">
        <v>0</v>
      </c>
      <c r="K16" s="39"/>
      <c r="L16" s="31"/>
    </row>
    <row r="17" spans="1:12" s="83" customFormat="1">
      <c r="A17" s="175"/>
      <c r="B17" s="175"/>
      <c r="C17" s="175"/>
      <c r="D17" s="175"/>
      <c r="E17" s="175"/>
      <c r="F17" s="175"/>
      <c r="G17" s="175"/>
      <c r="H17" s="175"/>
      <c r="I17" s="175"/>
      <c r="J17" s="39" t="s">
        <v>0</v>
      </c>
      <c r="K17" s="39"/>
      <c r="L17" s="31"/>
    </row>
    <row r="18" spans="1:12" s="83" customFormat="1" ht="43.5" customHeight="1">
      <c r="A18" s="905" t="s">
        <v>447</v>
      </c>
      <c r="B18" s="906"/>
      <c r="C18" s="906"/>
      <c r="D18" s="906"/>
      <c r="E18" s="906"/>
      <c r="F18" s="906"/>
      <c r="G18" s="87"/>
      <c r="H18" s="571"/>
      <c r="I18" s="571">
        <v>2787</v>
      </c>
      <c r="J18" s="39" t="s">
        <v>0</v>
      </c>
      <c r="K18" s="39"/>
      <c r="L18" s="31"/>
    </row>
    <row r="19" spans="1:12" s="83" customFormat="1" ht="9" customHeight="1">
      <c r="A19" s="175"/>
      <c r="B19" s="175"/>
      <c r="C19" s="175"/>
      <c r="D19" s="175"/>
      <c r="E19" s="175"/>
      <c r="F19" s="175"/>
      <c r="G19" s="175"/>
      <c r="H19" s="175"/>
      <c r="I19" s="175"/>
      <c r="J19" s="39" t="s">
        <v>0</v>
      </c>
      <c r="K19" s="39"/>
      <c r="L19" s="31"/>
    </row>
    <row r="20" spans="1:12" s="83" customFormat="1" ht="15" customHeight="1">
      <c r="A20" s="84"/>
      <c r="B20" s="84"/>
      <c r="C20" s="84"/>
      <c r="D20" s="84"/>
      <c r="E20" s="84"/>
      <c r="F20" s="84"/>
      <c r="G20" s="178" t="s">
        <v>256</v>
      </c>
      <c r="H20" s="178" t="s">
        <v>51</v>
      </c>
      <c r="I20" s="178" t="s">
        <v>289</v>
      </c>
      <c r="J20" s="39" t="s">
        <v>0</v>
      </c>
      <c r="K20" s="39"/>
      <c r="L20" s="31"/>
    </row>
    <row r="21" spans="1:12" s="83" customFormat="1" ht="66" customHeight="1">
      <c r="A21" s="905" t="s">
        <v>402</v>
      </c>
      <c r="B21" s="906"/>
      <c r="C21" s="906"/>
      <c r="D21" s="906"/>
      <c r="E21" s="906"/>
      <c r="F21" s="906"/>
      <c r="G21" s="87"/>
      <c r="H21" s="587">
        <v>350</v>
      </c>
      <c r="I21" s="571">
        <f>60662+18567</f>
        <v>79229</v>
      </c>
      <c r="J21" s="39" t="s">
        <v>0</v>
      </c>
      <c r="K21" s="39"/>
      <c r="L21" s="31"/>
    </row>
    <row r="22" spans="1:12" s="83" customFormat="1" ht="8.25" customHeight="1">
      <c r="A22" s="175"/>
      <c r="B22" s="175"/>
      <c r="C22" s="175"/>
      <c r="D22" s="175"/>
      <c r="E22" s="175"/>
      <c r="F22" s="175"/>
      <c r="G22" s="175"/>
      <c r="H22" s="175"/>
      <c r="I22" s="175"/>
      <c r="J22" s="39" t="s">
        <v>0</v>
      </c>
      <c r="K22" s="39"/>
      <c r="L22" s="31"/>
    </row>
    <row r="23" spans="1:12" s="83" customFormat="1" ht="19.5" customHeight="1">
      <c r="B23" s="892" t="s">
        <v>111</v>
      </c>
      <c r="C23" s="892" t="s">
        <v>17</v>
      </c>
      <c r="D23" s="892" t="s">
        <v>399</v>
      </c>
      <c r="E23" s="892" t="s">
        <v>17</v>
      </c>
      <c r="F23" s="85"/>
      <c r="G23" s="85"/>
      <c r="H23" s="85"/>
      <c r="I23" s="85"/>
      <c r="J23" s="39" t="s">
        <v>0</v>
      </c>
      <c r="K23" s="39"/>
    </row>
    <row r="24" spans="1:12" s="83" customFormat="1" ht="22.5" customHeight="1">
      <c r="B24" s="893"/>
      <c r="C24" s="893"/>
      <c r="D24" s="893"/>
      <c r="E24" s="893"/>
      <c r="F24" s="85"/>
      <c r="G24" s="85"/>
      <c r="H24" s="85"/>
      <c r="I24" s="85"/>
      <c r="J24" s="39" t="s">
        <v>0</v>
      </c>
      <c r="K24" s="39"/>
    </row>
    <row r="25" spans="1:12" s="83" customFormat="1">
      <c r="A25" s="84" t="s">
        <v>398</v>
      </c>
      <c r="B25" s="584">
        <v>34224</v>
      </c>
      <c r="C25" s="584">
        <v>43442</v>
      </c>
      <c r="D25" s="584">
        <v>9302</v>
      </c>
      <c r="E25" s="584">
        <v>16201</v>
      </c>
      <c r="F25" s="86"/>
      <c r="G25" s="86"/>
      <c r="H25" s="86"/>
      <c r="I25" s="86"/>
      <c r="J25" s="39" t="s">
        <v>0</v>
      </c>
      <c r="K25" s="39"/>
    </row>
    <row r="26" spans="1:12" s="83" customFormat="1">
      <c r="A26" s="84" t="s">
        <v>233</v>
      </c>
      <c r="B26" s="585">
        <v>-17112</v>
      </c>
      <c r="C26" s="585">
        <v>0</v>
      </c>
      <c r="D26" s="585">
        <v>-4651</v>
      </c>
      <c r="E26" s="585">
        <v>0</v>
      </c>
      <c r="F26" s="86"/>
      <c r="G26" s="86"/>
      <c r="H26" s="86"/>
      <c r="I26" s="86"/>
      <c r="J26" s="39" t="s">
        <v>0</v>
      </c>
      <c r="K26" s="39"/>
    </row>
    <row r="27" spans="1:12" s="83" customFormat="1">
      <c r="A27" s="84" t="s">
        <v>242</v>
      </c>
      <c r="B27" s="584">
        <f>SUM(B25:B26)</f>
        <v>17112</v>
      </c>
      <c r="C27" s="584">
        <f>SUM(C25:C26)</f>
        <v>43442</v>
      </c>
      <c r="D27" s="584">
        <f>SUM(D25:D26)</f>
        <v>4651</v>
      </c>
      <c r="E27" s="584">
        <f>SUM(E25:E26)</f>
        <v>16201</v>
      </c>
      <c r="F27" s="86"/>
      <c r="G27" s="86"/>
      <c r="H27" s="86"/>
      <c r="I27" s="86"/>
      <c r="J27" s="39" t="s">
        <v>0</v>
      </c>
      <c r="K27" s="39"/>
    </row>
    <row r="28" spans="1:12" s="83" customFormat="1">
      <c r="A28" s="84" t="s">
        <v>243</v>
      </c>
      <c r="B28" s="586">
        <v>6564</v>
      </c>
      <c r="C28" s="586">
        <v>17220</v>
      </c>
      <c r="D28" s="586">
        <v>1843</v>
      </c>
      <c r="E28" s="586">
        <v>6067</v>
      </c>
      <c r="F28" s="84"/>
      <c r="G28" s="84"/>
      <c r="H28" s="84"/>
      <c r="I28" s="84"/>
      <c r="J28" s="39" t="s">
        <v>0</v>
      </c>
      <c r="K28" s="39"/>
    </row>
    <row r="29" spans="1:12" s="83" customFormat="1">
      <c r="A29" s="84" t="s">
        <v>98</v>
      </c>
      <c r="B29" s="586">
        <v>19661</v>
      </c>
      <c r="C29" s="586">
        <v>0</v>
      </c>
      <c r="D29" s="586">
        <v>6091</v>
      </c>
      <c r="E29" s="586">
        <v>1032</v>
      </c>
      <c r="F29" s="84"/>
      <c r="G29" s="84"/>
      <c r="H29" s="84"/>
      <c r="I29" s="84"/>
      <c r="J29" s="39" t="s">
        <v>0</v>
      </c>
      <c r="K29" s="39"/>
    </row>
    <row r="30" spans="1:12" s="83" customFormat="1">
      <c r="A30" s="84" t="s">
        <v>244</v>
      </c>
      <c r="B30" s="586">
        <v>0</v>
      </c>
      <c r="C30" s="586">
        <v>0</v>
      </c>
      <c r="D30" s="586">
        <v>0</v>
      </c>
      <c r="E30" s="586">
        <v>132</v>
      </c>
      <c r="F30" s="84"/>
      <c r="G30" s="84"/>
      <c r="H30" s="84"/>
      <c r="I30" s="84"/>
      <c r="J30" s="39" t="s">
        <v>0</v>
      </c>
      <c r="K30" s="39"/>
    </row>
    <row r="31" spans="1:12" s="83" customFormat="1">
      <c r="A31" s="84" t="s">
        <v>327</v>
      </c>
      <c r="B31" s="586">
        <v>0</v>
      </c>
      <c r="C31" s="586">
        <v>0</v>
      </c>
      <c r="D31" s="586">
        <v>0</v>
      </c>
      <c r="E31" s="586">
        <v>833</v>
      </c>
      <c r="F31" s="84"/>
      <c r="G31" s="84"/>
      <c r="H31" s="84"/>
      <c r="I31" s="84"/>
      <c r="J31" s="39" t="s">
        <v>0</v>
      </c>
      <c r="K31" s="39"/>
    </row>
    <row r="32" spans="1:12" s="83" customFormat="1">
      <c r="A32" s="84" t="s">
        <v>191</v>
      </c>
      <c r="B32" s="586">
        <v>100</v>
      </c>
      <c r="C32" s="586">
        <v>0</v>
      </c>
      <c r="D32" s="586">
        <v>0</v>
      </c>
      <c r="E32" s="586">
        <v>44</v>
      </c>
      <c r="F32" s="84"/>
      <c r="G32" s="84"/>
      <c r="H32" s="84"/>
      <c r="I32" s="84"/>
      <c r="J32" s="39" t="s">
        <v>0</v>
      </c>
      <c r="K32" s="39"/>
    </row>
    <row r="33" spans="1:12" s="83" customFormat="1">
      <c r="A33" s="84" t="s">
        <v>245</v>
      </c>
      <c r="B33" s="586">
        <v>1585</v>
      </c>
      <c r="C33" s="586">
        <v>0</v>
      </c>
      <c r="D33" s="586">
        <v>542</v>
      </c>
      <c r="E33" s="586">
        <v>280</v>
      </c>
      <c r="F33" s="84"/>
      <c r="G33" s="84"/>
      <c r="H33" s="84"/>
      <c r="I33" s="84"/>
      <c r="J33" s="39" t="s">
        <v>0</v>
      </c>
      <c r="K33" s="39"/>
    </row>
    <row r="34" spans="1:12" s="83" customFormat="1">
      <c r="A34" s="84" t="s">
        <v>246</v>
      </c>
      <c r="B34" s="586">
        <v>39</v>
      </c>
      <c r="C34" s="586">
        <v>0</v>
      </c>
      <c r="D34" s="586">
        <v>11</v>
      </c>
      <c r="E34" s="586">
        <v>7</v>
      </c>
      <c r="F34" s="84"/>
      <c r="G34" s="84"/>
      <c r="H34" s="84"/>
      <c r="I34" s="84"/>
      <c r="J34" s="39" t="s">
        <v>0</v>
      </c>
      <c r="K34" s="39"/>
    </row>
    <row r="35" spans="1:12" s="83" customFormat="1">
      <c r="A35" s="84" t="s">
        <v>259</v>
      </c>
      <c r="B35" s="586"/>
      <c r="C35" s="586"/>
      <c r="D35" s="586"/>
      <c r="E35" s="586"/>
      <c r="F35" s="84"/>
      <c r="G35" s="84"/>
      <c r="H35" s="84"/>
      <c r="I35" s="84"/>
      <c r="J35" s="39" t="s">
        <v>0</v>
      </c>
      <c r="K35" s="39"/>
    </row>
    <row r="36" spans="1:12" s="83" customFormat="1">
      <c r="A36" s="84" t="s">
        <v>260</v>
      </c>
      <c r="B36" s="586">
        <v>38835</v>
      </c>
      <c r="C36" s="586">
        <v>0</v>
      </c>
      <c r="D36" s="586">
        <v>7238</v>
      </c>
      <c r="E36" s="586">
        <v>-1048</v>
      </c>
      <c r="F36" s="84"/>
      <c r="G36" s="84"/>
      <c r="H36" s="84"/>
      <c r="I36" s="84"/>
      <c r="J36" s="39" t="s">
        <v>0</v>
      </c>
      <c r="K36" s="39"/>
    </row>
    <row r="37" spans="1:12" s="83" customFormat="1">
      <c r="A37" s="84" t="s">
        <v>261</v>
      </c>
      <c r="B37" s="586">
        <v>7200</v>
      </c>
      <c r="C37" s="586">
        <v>0</v>
      </c>
      <c r="D37" s="586">
        <v>1373</v>
      </c>
      <c r="E37" s="586">
        <v>-170</v>
      </c>
      <c r="F37" s="84"/>
      <c r="G37" s="84"/>
      <c r="H37" s="84"/>
      <c r="I37" s="84"/>
      <c r="J37" s="39" t="s">
        <v>0</v>
      </c>
      <c r="K37" s="39"/>
    </row>
    <row r="38" spans="1:12" s="83" customFormat="1">
      <c r="A38" s="84" t="s">
        <v>83</v>
      </c>
      <c r="B38" s="586">
        <v>38024</v>
      </c>
      <c r="C38" s="586">
        <v>0</v>
      </c>
      <c r="D38" s="586">
        <v>9723</v>
      </c>
      <c r="E38" s="586">
        <v>-3586</v>
      </c>
      <c r="F38" s="84"/>
      <c r="G38" s="84"/>
      <c r="H38" s="84"/>
      <c r="I38" s="84"/>
      <c r="J38" s="39" t="s">
        <v>0</v>
      </c>
      <c r="K38" s="39"/>
    </row>
    <row r="39" spans="1:12" s="83" customFormat="1">
      <c r="A39" s="84" t="s">
        <v>384</v>
      </c>
      <c r="B39" s="585">
        <v>5225</v>
      </c>
      <c r="C39" s="585">
        <v>0</v>
      </c>
      <c r="D39" s="585">
        <v>2157</v>
      </c>
      <c r="E39" s="585">
        <v>-1225</v>
      </c>
      <c r="F39" s="86"/>
      <c r="G39" s="86"/>
      <c r="H39" s="86"/>
      <c r="I39" s="86"/>
      <c r="J39" s="39" t="s">
        <v>0</v>
      </c>
      <c r="K39" s="39"/>
    </row>
    <row r="40" spans="1:12" s="83" customFormat="1">
      <c r="A40" s="84" t="s">
        <v>262</v>
      </c>
      <c r="B40" s="584">
        <f>SUM(B27:B39)</f>
        <v>134345</v>
      </c>
      <c r="C40" s="584">
        <f>SUM(C27:C39)</f>
        <v>60662</v>
      </c>
      <c r="D40" s="584">
        <f>SUM(D27:D39)</f>
        <v>33629</v>
      </c>
      <c r="E40" s="584">
        <f>SUM(E27:E39)</f>
        <v>18567</v>
      </c>
      <c r="F40" s="86"/>
      <c r="G40" s="86"/>
      <c r="H40" s="86"/>
      <c r="I40" s="183"/>
      <c r="J40" s="39" t="s">
        <v>0</v>
      </c>
      <c r="K40" s="39"/>
    </row>
    <row r="41" spans="1:12" s="574" customFormat="1" ht="30.75" customHeight="1">
      <c r="A41" s="894" t="s">
        <v>385</v>
      </c>
      <c r="B41" s="895"/>
      <c r="C41" s="895"/>
      <c r="D41" s="895"/>
      <c r="E41" s="895"/>
      <c r="F41" s="895"/>
      <c r="G41" s="587">
        <v>122</v>
      </c>
      <c r="H41" s="587">
        <v>122</v>
      </c>
      <c r="I41" s="571">
        <f>26919-794</f>
        <v>26125</v>
      </c>
      <c r="J41" s="588" t="s">
        <v>0</v>
      </c>
      <c r="K41" s="572"/>
      <c r="L41" s="573"/>
    </row>
    <row r="42" spans="1:12" s="574" customFormat="1" ht="6.75" customHeight="1">
      <c r="A42" s="575"/>
      <c r="B42" s="575"/>
      <c r="C42" s="575"/>
      <c r="D42" s="575"/>
      <c r="E42" s="575"/>
      <c r="F42" s="575"/>
      <c r="G42" s="589"/>
      <c r="H42" s="589"/>
      <c r="I42" s="571"/>
      <c r="J42" s="588" t="s">
        <v>0</v>
      </c>
      <c r="K42" s="572"/>
      <c r="L42" s="573"/>
    </row>
    <row r="43" spans="1:12" s="83" customFormat="1" ht="50.25" customHeight="1">
      <c r="A43" s="894" t="s">
        <v>389</v>
      </c>
      <c r="B43" s="895"/>
      <c r="C43" s="895"/>
      <c r="D43" s="895"/>
      <c r="E43" s="895"/>
      <c r="F43" s="895"/>
      <c r="G43" s="587"/>
      <c r="H43" s="587"/>
      <c r="I43" s="571">
        <v>855</v>
      </c>
      <c r="J43" s="39" t="s">
        <v>0</v>
      </c>
      <c r="K43" s="39"/>
      <c r="L43" s="31"/>
    </row>
    <row r="44" spans="1:12" s="83" customFormat="1" ht="9" customHeight="1">
      <c r="A44" s="176"/>
      <c r="B44" s="176"/>
      <c r="C44" s="176"/>
      <c r="D44" s="176"/>
      <c r="E44" s="176"/>
      <c r="F44" s="176"/>
      <c r="G44" s="176"/>
      <c r="H44" s="176"/>
      <c r="I44" s="176"/>
      <c r="J44" s="39" t="s">
        <v>0</v>
      </c>
      <c r="K44" s="39"/>
      <c r="L44" s="31"/>
    </row>
    <row r="45" spans="1:12" s="83" customFormat="1" ht="34.5" customHeight="1">
      <c r="A45" s="890" t="s">
        <v>387</v>
      </c>
      <c r="B45" s="895"/>
      <c r="C45" s="895"/>
      <c r="D45" s="895"/>
      <c r="E45" s="895"/>
      <c r="F45" s="895"/>
      <c r="G45" s="570"/>
      <c r="H45" s="570"/>
      <c r="I45" s="571">
        <v>-212</v>
      </c>
      <c r="J45" s="39" t="s">
        <v>0</v>
      </c>
      <c r="K45" s="39"/>
      <c r="L45" s="31"/>
    </row>
    <row r="46" spans="1:12" s="83" customFormat="1" ht="9.75" customHeight="1">
      <c r="A46" s="175"/>
      <c r="B46" s="175"/>
      <c r="C46" s="175"/>
      <c r="D46" s="175"/>
      <c r="E46" s="175"/>
      <c r="F46" s="175"/>
      <c r="G46" s="175"/>
      <c r="H46" s="175"/>
      <c r="I46" s="175"/>
      <c r="J46" s="39" t="s">
        <v>0</v>
      </c>
      <c r="K46" s="39"/>
      <c r="L46" s="31"/>
    </row>
    <row r="47" spans="1:12" s="83" customFormat="1" ht="15.75" customHeight="1">
      <c r="A47" s="176"/>
      <c r="B47" s="176"/>
      <c r="C47" s="176"/>
      <c r="D47" s="176"/>
      <c r="E47" s="176"/>
      <c r="F47" s="176"/>
      <c r="G47" s="178" t="s">
        <v>256</v>
      </c>
      <c r="H47" s="178" t="s">
        <v>51</v>
      </c>
      <c r="I47" s="178" t="s">
        <v>289</v>
      </c>
      <c r="J47" s="39" t="s">
        <v>0</v>
      </c>
      <c r="K47" s="39"/>
      <c r="L47" s="31"/>
    </row>
    <row r="48" spans="1:12" s="83" customFormat="1" ht="33.75" customHeight="1">
      <c r="A48" s="894" t="s">
        <v>388</v>
      </c>
      <c r="B48" s="895"/>
      <c r="C48" s="895"/>
      <c r="D48" s="895"/>
      <c r="E48" s="895"/>
      <c r="F48" s="895"/>
      <c r="G48" s="587"/>
      <c r="H48" s="587"/>
      <c r="I48" s="571">
        <v>2626</v>
      </c>
      <c r="J48" s="39" t="s">
        <v>0</v>
      </c>
      <c r="K48" s="39"/>
      <c r="L48" s="31"/>
    </row>
    <row r="49" spans="1:12" s="83" customFormat="1" ht="9.75" customHeight="1">
      <c r="A49" s="82"/>
      <c r="B49" s="82"/>
      <c r="C49" s="82"/>
      <c r="D49" s="82"/>
      <c r="E49" s="82"/>
      <c r="F49" s="82"/>
      <c r="G49" s="82"/>
      <c r="H49" s="82"/>
      <c r="I49" s="82"/>
      <c r="J49" s="39" t="s">
        <v>0</v>
      </c>
      <c r="K49" s="39"/>
      <c r="L49" s="31"/>
    </row>
    <row r="50" spans="1:12" s="83" customFormat="1" ht="33" customHeight="1">
      <c r="A50" s="898" t="s">
        <v>386</v>
      </c>
      <c r="B50" s="895"/>
      <c r="C50" s="895"/>
      <c r="D50" s="895"/>
      <c r="E50" s="895"/>
      <c r="F50" s="895"/>
      <c r="G50" s="87"/>
      <c r="H50" s="87"/>
      <c r="I50" s="571">
        <v>-2643</v>
      </c>
      <c r="J50" s="39" t="s">
        <v>0</v>
      </c>
      <c r="K50" s="39"/>
      <c r="L50" s="31"/>
    </row>
    <row r="51" spans="1:12" s="83" customFormat="1" ht="15" customHeight="1">
      <c r="A51" s="175"/>
      <c r="B51" s="175"/>
      <c r="C51" s="175"/>
      <c r="D51" s="175"/>
      <c r="E51" s="175"/>
      <c r="F51" s="175"/>
      <c r="G51" s="175"/>
      <c r="H51" s="175"/>
      <c r="I51" s="175"/>
      <c r="J51" s="39" t="s">
        <v>0</v>
      </c>
      <c r="K51" s="39"/>
      <c r="L51" s="31"/>
    </row>
    <row r="52" spans="1:12" s="83" customFormat="1" ht="57" customHeight="1">
      <c r="A52" s="896" t="s">
        <v>390</v>
      </c>
      <c r="B52" s="895"/>
      <c r="C52" s="895"/>
      <c r="D52" s="895"/>
      <c r="E52" s="895"/>
      <c r="F52" s="895"/>
      <c r="G52" s="587"/>
      <c r="H52" s="587"/>
      <c r="I52" s="571">
        <f>11100</f>
        <v>11100</v>
      </c>
      <c r="J52" s="39" t="s">
        <v>0</v>
      </c>
      <c r="K52" s="39"/>
      <c r="L52" s="31"/>
    </row>
    <row r="53" spans="1:12" s="83" customFormat="1" ht="10.5" customHeight="1">
      <c r="A53" s="176"/>
      <c r="B53" s="176"/>
      <c r="C53" s="176"/>
      <c r="D53" s="176"/>
      <c r="E53" s="176"/>
      <c r="F53" s="176"/>
      <c r="G53" s="176"/>
      <c r="H53" s="176"/>
      <c r="I53" s="176"/>
      <c r="J53" s="39" t="s">
        <v>0</v>
      </c>
      <c r="K53" s="39"/>
      <c r="L53" s="31"/>
    </row>
    <row r="54" spans="1:12" s="83" customFormat="1" ht="34.5" customHeight="1">
      <c r="A54" s="896" t="s">
        <v>400</v>
      </c>
      <c r="B54" s="895"/>
      <c r="C54" s="895"/>
      <c r="D54" s="895"/>
      <c r="E54" s="895"/>
      <c r="F54" s="895"/>
      <c r="G54" s="587"/>
      <c r="H54" s="587"/>
      <c r="I54" s="571">
        <v>452</v>
      </c>
      <c r="J54" s="39" t="s">
        <v>0</v>
      </c>
      <c r="K54" s="39"/>
      <c r="L54" s="31"/>
    </row>
    <row r="55" spans="1:12" s="83" customFormat="1" ht="50.25" customHeight="1">
      <c r="A55" s="896" t="s">
        <v>401</v>
      </c>
      <c r="B55" s="895"/>
      <c r="C55" s="895"/>
      <c r="D55" s="895"/>
      <c r="E55" s="895"/>
      <c r="F55" s="895"/>
      <c r="G55" s="570"/>
      <c r="H55" s="570"/>
      <c r="I55" s="571">
        <v>17</v>
      </c>
      <c r="J55" s="39" t="s">
        <v>0</v>
      </c>
      <c r="K55" s="39"/>
      <c r="L55" s="31"/>
    </row>
    <row r="56" spans="1:12" s="83" customFormat="1" ht="9.75" customHeight="1">
      <c r="A56" s="176"/>
      <c r="B56" s="176"/>
      <c r="C56" s="176"/>
      <c r="D56" s="176"/>
      <c r="E56" s="176"/>
      <c r="F56" s="176"/>
      <c r="G56" s="176"/>
      <c r="H56" s="176"/>
      <c r="I56" s="176"/>
      <c r="J56" s="39" t="s">
        <v>0</v>
      </c>
      <c r="K56" s="39"/>
      <c r="L56" s="31"/>
    </row>
    <row r="57" spans="1:12" s="83" customFormat="1" ht="66" customHeight="1">
      <c r="A57" s="894" t="s">
        <v>443</v>
      </c>
      <c r="B57" s="895"/>
      <c r="C57" s="895"/>
      <c r="D57" s="895"/>
      <c r="E57" s="895"/>
      <c r="F57" s="895"/>
      <c r="G57" s="587"/>
      <c r="H57" s="587"/>
      <c r="I57" s="571">
        <f>32+14</f>
        <v>46</v>
      </c>
      <c r="J57" s="39" t="s">
        <v>0</v>
      </c>
      <c r="K57" s="39"/>
      <c r="L57" s="31"/>
    </row>
    <row r="58" spans="1:12" s="83" customFormat="1" ht="9" customHeight="1">
      <c r="A58" s="176"/>
      <c r="B58" s="176"/>
      <c r="C58" s="176"/>
      <c r="D58" s="176"/>
      <c r="E58" s="176"/>
      <c r="F58" s="176"/>
      <c r="G58" s="176"/>
      <c r="H58" s="176"/>
      <c r="I58" s="176"/>
      <c r="J58" s="39" t="s">
        <v>0</v>
      </c>
      <c r="K58" s="39"/>
      <c r="L58" s="31"/>
    </row>
    <row r="59" spans="1:12" s="83" customFormat="1" ht="39.75" customHeight="1">
      <c r="A59" s="894" t="s">
        <v>391</v>
      </c>
      <c r="B59" s="895"/>
      <c r="C59" s="895"/>
      <c r="D59" s="895"/>
      <c r="E59" s="895"/>
      <c r="F59" s="895"/>
      <c r="G59" s="587"/>
      <c r="H59" s="587"/>
      <c r="I59" s="571">
        <v>23</v>
      </c>
      <c r="J59" s="39" t="s">
        <v>0</v>
      </c>
      <c r="K59" s="39"/>
      <c r="L59" s="31"/>
    </row>
    <row r="60" spans="1:12" s="83" customFormat="1" ht="8.25" customHeight="1">
      <c r="A60" s="176"/>
      <c r="B60" s="176"/>
      <c r="C60" s="176"/>
      <c r="D60" s="176"/>
      <c r="E60" s="176"/>
      <c r="F60" s="176"/>
      <c r="G60" s="176"/>
      <c r="H60" s="176"/>
      <c r="I60" s="176"/>
      <c r="J60" s="39" t="s">
        <v>0</v>
      </c>
      <c r="K60" s="39"/>
      <c r="L60" s="31"/>
    </row>
    <row r="61" spans="1:12" s="83" customFormat="1" ht="35.25" customHeight="1">
      <c r="A61" s="894" t="s">
        <v>392</v>
      </c>
      <c r="B61" s="895"/>
      <c r="C61" s="895"/>
      <c r="D61" s="895"/>
      <c r="E61" s="895"/>
      <c r="F61" s="895"/>
      <c r="G61" s="587"/>
      <c r="H61" s="587"/>
      <c r="I61" s="571">
        <v>517</v>
      </c>
      <c r="J61" s="39" t="s">
        <v>0</v>
      </c>
      <c r="K61" s="39"/>
      <c r="L61" s="31"/>
    </row>
    <row r="62" spans="1:12" s="83" customFormat="1" ht="15.75" customHeight="1">
      <c r="A62" s="176"/>
      <c r="B62" s="176"/>
      <c r="C62" s="176"/>
      <c r="D62" s="176"/>
      <c r="E62" s="176"/>
      <c r="F62" s="179" t="s">
        <v>257</v>
      </c>
      <c r="G62" s="180">
        <f>SUM(G17:G61)</f>
        <v>122</v>
      </c>
      <c r="H62" s="180">
        <f>SUM(H17:H61)</f>
        <v>472</v>
      </c>
      <c r="I62" s="181">
        <f>SUM(I17:I61)</f>
        <v>120922</v>
      </c>
      <c r="J62" s="39" t="s">
        <v>0</v>
      </c>
      <c r="K62" s="177"/>
      <c r="L62" s="31"/>
    </row>
    <row r="63" spans="1:12" s="83" customFormat="1" ht="14.25" customHeight="1">
      <c r="B63" s="174"/>
      <c r="C63" s="174"/>
      <c r="D63" s="174"/>
      <c r="E63" s="174"/>
      <c r="G63" s="87"/>
      <c r="H63" s="87"/>
      <c r="I63" s="87"/>
      <c r="J63" s="39" t="s">
        <v>0</v>
      </c>
      <c r="K63" s="39"/>
      <c r="L63" s="84"/>
    </row>
    <row r="64" spans="1:12" s="83" customFormat="1" ht="14.25" customHeight="1">
      <c r="B64" s="174"/>
      <c r="C64" s="174"/>
      <c r="D64" s="174"/>
      <c r="E64" s="174"/>
      <c r="F64" s="179" t="s">
        <v>258</v>
      </c>
      <c r="G64" s="590">
        <f>+G15+G62</f>
        <v>122</v>
      </c>
      <c r="H64" s="590">
        <f>+H15+H62</f>
        <v>472</v>
      </c>
      <c r="I64" s="182">
        <f>+I15+I62</f>
        <v>123620</v>
      </c>
      <c r="J64" s="39" t="s">
        <v>23</v>
      </c>
      <c r="K64" s="39"/>
      <c r="L64" s="84"/>
    </row>
  </sheetData>
  <customSheetViews>
    <customSheetView guid="{9A28834D-6BE2-4884-BE97-BE00946B08BB}" scale="85" showPageBreaks="1" printArea="1" hiddenRows="1" view="pageBreakPreview">
      <selection activeCell="A11" sqref="A11:I78"/>
      <rowBreaks count="2" manualBreakCount="2">
        <brk id="20" max="8" man="1"/>
        <brk id="50" max="8" man="1"/>
      </rowBreaks>
      <pageMargins left="0.25" right="0.25" top="1" bottom="0.75" header="0.5" footer="0.5"/>
      <printOptions horizontalCentered="1"/>
      <pageSetup scale="94" fitToHeight="3" orientation="landscape" r:id="rId1"/>
      <headerFooter alignWithMargins="0">
        <oddFooter>&amp;C&amp;"Times New Roman,Regular"&amp;11Exhibit E - Justification for Base Adjustments</oddFooter>
      </headerFooter>
    </customSheetView>
  </customSheetViews>
  <mergeCells count="28">
    <mergeCell ref="A6:I6"/>
    <mergeCell ref="A50:F50"/>
    <mergeCell ref="A43:F43"/>
    <mergeCell ref="A1:I1"/>
    <mergeCell ref="A3:I3"/>
    <mergeCell ref="A4:I4"/>
    <mergeCell ref="A2:I2"/>
    <mergeCell ref="A5:I5"/>
    <mergeCell ref="A8:I8"/>
    <mergeCell ref="A13:F13"/>
    <mergeCell ref="A41:F41"/>
    <mergeCell ref="D23:D24"/>
    <mergeCell ref="A18:F18"/>
    <mergeCell ref="A16:I16"/>
    <mergeCell ref="A21:F21"/>
    <mergeCell ref="A10:F10"/>
    <mergeCell ref="A11:F11"/>
    <mergeCell ref="E23:E24"/>
    <mergeCell ref="B23:B24"/>
    <mergeCell ref="C23:C24"/>
    <mergeCell ref="A61:F61"/>
    <mergeCell ref="A45:F45"/>
    <mergeCell ref="A52:F52"/>
    <mergeCell ref="A59:F59"/>
    <mergeCell ref="A55:F55"/>
    <mergeCell ref="A57:F57"/>
    <mergeCell ref="A54:F54"/>
    <mergeCell ref="A48:F48"/>
  </mergeCells>
  <phoneticPr fontId="0" type="noConversion"/>
  <printOptions horizontalCentered="1"/>
  <pageMargins left="0.25" right="0.25" top="1" bottom="0.75" header="0.5" footer="0.5"/>
  <pageSetup scale="94" fitToHeight="3" orientation="landscape" r:id="rId2"/>
  <headerFooter alignWithMargins="0">
    <oddFooter>&amp;C&amp;"Times New Roman,Regular"&amp;11Exhibit E - Justification for Base Adjustments</oddFooter>
  </headerFooter>
  <rowBreaks count="1" manualBreakCount="1">
    <brk id="19" max="8" man="1"/>
  </rowBreaks>
</worksheet>
</file>

<file path=xl/worksheets/sheet7.xml><?xml version="1.0" encoding="utf-8"?>
<worksheet xmlns="http://schemas.openxmlformats.org/spreadsheetml/2006/main" xmlns:r="http://schemas.openxmlformats.org/officeDocument/2006/relationships">
  <sheetPr codeName="Sheet11">
    <pageSetUpPr fitToPage="1"/>
  </sheetPr>
  <dimension ref="A1:AF35"/>
  <sheetViews>
    <sheetView showGridLines="0" showOutlineSymbols="0" view="pageBreakPreview" topLeftCell="B8" zoomScaleNormal="75" zoomScaleSheetLayoutView="100" workbookViewId="0">
      <selection activeCell="C14" sqref="C14"/>
    </sheetView>
  </sheetViews>
  <sheetFormatPr defaultColWidth="9.6640625" defaultRowHeight="15.75"/>
  <cols>
    <col min="1" max="1" width="27.77734375" style="8" customWidth="1"/>
    <col min="2" max="2" width="7.5546875" style="8" bestFit="1" customWidth="1"/>
    <col min="3" max="3" width="6.77734375" style="8" customWidth="1"/>
    <col min="4" max="4" width="10.88671875" style="8" bestFit="1" customWidth="1"/>
    <col min="5" max="5" width="5.77734375" style="8" hidden="1" customWidth="1"/>
    <col min="6" max="6" width="5.6640625" style="8" hidden="1" customWidth="1"/>
    <col min="7" max="7" width="7.77734375" style="8" hidden="1" customWidth="1"/>
    <col min="8" max="9" width="5.6640625" style="8" customWidth="1"/>
    <col min="10" max="10" width="10.44140625" style="8" bestFit="1" customWidth="1"/>
    <col min="11" max="11" width="5.5546875" style="8" customWidth="1"/>
    <col min="12" max="12" width="5.6640625" style="8" customWidth="1"/>
    <col min="13" max="13" width="7.77734375" style="8" customWidth="1"/>
    <col min="14" max="14" width="8.77734375" style="8" customWidth="1"/>
    <col min="15" max="15" width="10" style="8" customWidth="1"/>
    <col min="16" max="16" width="7.5546875" style="8" bestFit="1" customWidth="1"/>
    <col min="17" max="17" width="6.77734375" style="8" customWidth="1"/>
    <col min="18" max="18" width="10.88671875" style="8" bestFit="1" customWidth="1"/>
    <col min="19" max="19" width="1" style="48" customWidth="1"/>
    <col min="20" max="16384" width="9.6640625" style="8"/>
  </cols>
  <sheetData>
    <row r="1" spans="1:19" ht="20.25">
      <c r="A1" s="837" t="s">
        <v>238</v>
      </c>
      <c r="B1" s="838"/>
      <c r="C1" s="838"/>
      <c r="D1" s="838"/>
      <c r="E1" s="838"/>
      <c r="F1" s="838"/>
      <c r="G1" s="838"/>
      <c r="H1" s="838"/>
      <c r="I1" s="838"/>
      <c r="J1" s="838"/>
      <c r="K1" s="838"/>
      <c r="L1" s="838"/>
      <c r="M1" s="838"/>
      <c r="N1" s="838"/>
      <c r="O1" s="838"/>
      <c r="P1" s="838"/>
      <c r="Q1" s="838"/>
      <c r="R1" s="838"/>
      <c r="S1" s="47" t="s">
        <v>0</v>
      </c>
    </row>
    <row r="2" spans="1:19" ht="20.25">
      <c r="A2" s="17"/>
      <c r="B2" s="561"/>
      <c r="C2" s="561"/>
      <c r="D2" s="561"/>
      <c r="E2" s="561"/>
      <c r="F2" s="561"/>
      <c r="G2" s="561"/>
      <c r="H2" s="561"/>
      <c r="I2" s="561"/>
      <c r="J2" s="561"/>
      <c r="K2" s="561"/>
      <c r="L2" s="561"/>
      <c r="M2" s="561"/>
      <c r="N2" s="561"/>
      <c r="O2" s="561"/>
      <c r="P2" s="561"/>
      <c r="Q2" s="561"/>
      <c r="R2" s="561"/>
      <c r="S2" s="47"/>
    </row>
    <row r="3" spans="1:19" ht="20.25">
      <c r="A3" s="17"/>
      <c r="B3" s="561"/>
      <c r="C3" s="561"/>
      <c r="D3" s="561"/>
      <c r="E3" s="561"/>
      <c r="F3" s="561"/>
      <c r="G3" s="561"/>
      <c r="H3" s="561"/>
      <c r="I3" s="561"/>
      <c r="J3" s="561"/>
      <c r="K3" s="561"/>
      <c r="L3" s="561"/>
      <c r="M3" s="561"/>
      <c r="N3" s="561"/>
      <c r="O3" s="561"/>
      <c r="P3" s="561"/>
      <c r="Q3" s="561"/>
      <c r="R3" s="561"/>
      <c r="S3" s="47"/>
    </row>
    <row r="4" spans="1:19">
      <c r="A4" s="915"/>
      <c r="B4" s="915"/>
      <c r="C4" s="915"/>
      <c r="D4" s="915"/>
      <c r="E4" s="915"/>
      <c r="F4" s="915"/>
      <c r="G4" s="915"/>
      <c r="H4" s="915"/>
      <c r="I4" s="915"/>
      <c r="J4" s="915"/>
      <c r="K4" s="915"/>
      <c r="L4" s="915"/>
      <c r="M4" s="915"/>
      <c r="N4" s="915"/>
      <c r="O4" s="915"/>
      <c r="P4" s="915"/>
      <c r="Q4" s="915"/>
      <c r="R4" s="915"/>
      <c r="S4" s="47" t="s">
        <v>0</v>
      </c>
    </row>
    <row r="5" spans="1:19" ht="18.75">
      <c r="A5" s="912" t="s">
        <v>228</v>
      </c>
      <c r="B5" s="913"/>
      <c r="C5" s="913"/>
      <c r="D5" s="913"/>
      <c r="E5" s="913"/>
      <c r="F5" s="913"/>
      <c r="G5" s="913"/>
      <c r="H5" s="913"/>
      <c r="I5" s="913"/>
      <c r="J5" s="913"/>
      <c r="K5" s="913"/>
      <c r="L5" s="913"/>
      <c r="M5" s="913"/>
      <c r="N5" s="913"/>
      <c r="O5" s="913"/>
      <c r="P5" s="913"/>
      <c r="Q5" s="913"/>
      <c r="R5" s="913"/>
      <c r="S5" s="47" t="s">
        <v>0</v>
      </c>
    </row>
    <row r="6" spans="1:19" ht="16.5">
      <c r="A6" s="914" t="str">
        <f ca="1">+'B. Summary of Requirements_S&amp;E '!A5</f>
        <v>United States Marshals Service</v>
      </c>
      <c r="B6" s="910"/>
      <c r="C6" s="910"/>
      <c r="D6" s="910"/>
      <c r="E6" s="910"/>
      <c r="F6" s="910"/>
      <c r="G6" s="910"/>
      <c r="H6" s="910"/>
      <c r="I6" s="910"/>
      <c r="J6" s="910"/>
      <c r="K6" s="910"/>
      <c r="L6" s="910"/>
      <c r="M6" s="910"/>
      <c r="N6" s="910"/>
      <c r="O6" s="910"/>
      <c r="P6" s="910"/>
      <c r="Q6" s="910"/>
      <c r="R6" s="910"/>
      <c r="S6" s="47" t="s">
        <v>0</v>
      </c>
    </row>
    <row r="7" spans="1:19" ht="16.5">
      <c r="A7" s="914" t="str">
        <f ca="1">+'B. Summary of Requirements_S&amp;E '!A6</f>
        <v>Salaries and Expenses</v>
      </c>
      <c r="B7" s="913"/>
      <c r="C7" s="913"/>
      <c r="D7" s="913"/>
      <c r="E7" s="913"/>
      <c r="F7" s="913"/>
      <c r="G7" s="913"/>
      <c r="H7" s="913"/>
      <c r="I7" s="913"/>
      <c r="J7" s="913"/>
      <c r="K7" s="913"/>
      <c r="L7" s="913"/>
      <c r="M7" s="913"/>
      <c r="N7" s="913"/>
      <c r="O7" s="913"/>
      <c r="P7" s="913"/>
      <c r="Q7" s="913"/>
      <c r="R7" s="913"/>
      <c r="S7" s="47" t="s">
        <v>0</v>
      </c>
    </row>
    <row r="8" spans="1:19">
      <c r="A8" s="909" t="s">
        <v>265</v>
      </c>
      <c r="B8" s="910"/>
      <c r="C8" s="910"/>
      <c r="D8" s="910"/>
      <c r="E8" s="910"/>
      <c r="F8" s="910"/>
      <c r="G8" s="910"/>
      <c r="H8" s="910"/>
      <c r="I8" s="910"/>
      <c r="J8" s="910"/>
      <c r="K8" s="910"/>
      <c r="L8" s="910"/>
      <c r="M8" s="910"/>
      <c r="N8" s="910"/>
      <c r="O8" s="910"/>
      <c r="P8" s="910"/>
      <c r="Q8" s="910"/>
      <c r="R8" s="910"/>
      <c r="S8" s="47" t="s">
        <v>0</v>
      </c>
    </row>
    <row r="9" spans="1:19">
      <c r="A9" s="915"/>
      <c r="B9" s="915"/>
      <c r="C9" s="915"/>
      <c r="D9" s="915"/>
      <c r="E9" s="915"/>
      <c r="F9" s="915"/>
      <c r="G9" s="915"/>
      <c r="H9" s="915"/>
      <c r="I9" s="915"/>
      <c r="J9" s="915"/>
      <c r="K9" s="915"/>
      <c r="L9" s="915"/>
      <c r="M9" s="915"/>
      <c r="N9" s="915"/>
      <c r="O9" s="915"/>
      <c r="P9" s="915"/>
      <c r="Q9" s="915"/>
      <c r="R9" s="915"/>
      <c r="S9" s="47" t="s">
        <v>0</v>
      </c>
    </row>
    <row r="10" spans="1:19">
      <c r="A10" s="918"/>
      <c r="B10" s="918"/>
      <c r="C10" s="918"/>
      <c r="D10" s="918"/>
      <c r="E10" s="918"/>
      <c r="F10" s="918"/>
      <c r="G10" s="918"/>
      <c r="H10" s="918"/>
      <c r="I10" s="918"/>
      <c r="J10" s="918"/>
      <c r="K10" s="918"/>
      <c r="L10" s="918"/>
      <c r="M10" s="918"/>
      <c r="N10" s="918"/>
      <c r="O10" s="918"/>
      <c r="P10" s="918"/>
      <c r="Q10" s="918"/>
      <c r="R10" s="918"/>
      <c r="S10" s="47" t="s">
        <v>0</v>
      </c>
    </row>
    <row r="11" spans="1:19" ht="15.75" customHeight="1">
      <c r="A11" s="931" t="s">
        <v>47</v>
      </c>
      <c r="B11" s="925" t="s">
        <v>18</v>
      </c>
      <c r="C11" s="926"/>
      <c r="D11" s="927"/>
      <c r="E11" s="919" t="s">
        <v>279</v>
      </c>
      <c r="F11" s="920"/>
      <c r="G11" s="921"/>
      <c r="H11" s="919" t="s">
        <v>280</v>
      </c>
      <c r="I11" s="920"/>
      <c r="J11" s="921"/>
      <c r="K11" s="925" t="s">
        <v>22</v>
      </c>
      <c r="L11" s="926"/>
      <c r="M11" s="926"/>
      <c r="N11" s="916" t="s">
        <v>331</v>
      </c>
      <c r="O11" s="916" t="s">
        <v>332</v>
      </c>
      <c r="P11" s="925" t="s">
        <v>38</v>
      </c>
      <c r="Q11" s="926"/>
      <c r="R11" s="927"/>
      <c r="S11" s="47" t="s">
        <v>0</v>
      </c>
    </row>
    <row r="12" spans="1:19">
      <c r="A12" s="932"/>
      <c r="B12" s="928"/>
      <c r="C12" s="929"/>
      <c r="D12" s="930"/>
      <c r="E12" s="922"/>
      <c r="F12" s="923"/>
      <c r="G12" s="924"/>
      <c r="H12" s="922"/>
      <c r="I12" s="923"/>
      <c r="J12" s="924"/>
      <c r="K12" s="928"/>
      <c r="L12" s="929"/>
      <c r="M12" s="929"/>
      <c r="N12" s="917"/>
      <c r="O12" s="917"/>
      <c r="P12" s="928"/>
      <c r="Q12" s="929"/>
      <c r="R12" s="930"/>
      <c r="S12" s="47" t="s">
        <v>0</v>
      </c>
    </row>
    <row r="13" spans="1:19" ht="16.5" thickBot="1">
      <c r="A13" s="933"/>
      <c r="B13" s="186" t="s">
        <v>287</v>
      </c>
      <c r="C13" s="187" t="s">
        <v>427</v>
      </c>
      <c r="D13" s="187" t="s">
        <v>289</v>
      </c>
      <c r="E13" s="186" t="s">
        <v>287</v>
      </c>
      <c r="F13" s="187" t="s">
        <v>51</v>
      </c>
      <c r="G13" s="187" t="s">
        <v>289</v>
      </c>
      <c r="H13" s="186" t="s">
        <v>287</v>
      </c>
      <c r="I13" s="187" t="s">
        <v>51</v>
      </c>
      <c r="J13" s="187" t="s">
        <v>289</v>
      </c>
      <c r="K13" s="186" t="s">
        <v>287</v>
      </c>
      <c r="L13" s="187" t="s">
        <v>51</v>
      </c>
      <c r="M13" s="187" t="s">
        <v>289</v>
      </c>
      <c r="N13" s="343" t="s">
        <v>289</v>
      </c>
      <c r="O13" s="344" t="s">
        <v>289</v>
      </c>
      <c r="P13" s="186" t="s">
        <v>287</v>
      </c>
      <c r="Q13" s="187" t="s">
        <v>51</v>
      </c>
      <c r="R13" s="188" t="s">
        <v>289</v>
      </c>
      <c r="S13" s="47" t="s">
        <v>0</v>
      </c>
    </row>
    <row r="14" spans="1:19">
      <c r="A14" s="189" t="s">
        <v>340</v>
      </c>
      <c r="B14" s="124">
        <v>2222</v>
      </c>
      <c r="C14" s="95">
        <v>2010</v>
      </c>
      <c r="D14" s="95">
        <v>437749</v>
      </c>
      <c r="E14" s="124"/>
      <c r="F14" s="95"/>
      <c r="G14" s="95"/>
      <c r="H14" s="124">
        <v>49</v>
      </c>
      <c r="I14" s="95">
        <v>49</v>
      </c>
      <c r="J14" s="95">
        <v>11821</v>
      </c>
      <c r="K14" s="124">
        <v>0</v>
      </c>
      <c r="L14" s="95">
        <v>0</v>
      </c>
      <c r="M14" s="95">
        <v>0</v>
      </c>
      <c r="N14" s="51">
        <f>3915+3756+5906</f>
        <v>13577</v>
      </c>
      <c r="O14" s="95">
        <v>5260</v>
      </c>
      <c r="P14" s="124">
        <f t="shared" ref="P14:P18" si="0">B14+E14+H14+K14</f>
        <v>2271</v>
      </c>
      <c r="Q14" s="95">
        <f ca="1">C14+F14+I14+L14</f>
        <v>2059</v>
      </c>
      <c r="R14" s="52">
        <f ca="1">D14+G14+J14+M14+N14+O14</f>
        <v>468406</v>
      </c>
      <c r="S14" s="47" t="s">
        <v>0</v>
      </c>
    </row>
    <row r="15" spans="1:19">
      <c r="A15" s="190" t="s">
        <v>347</v>
      </c>
      <c r="B15" s="124">
        <v>1744</v>
      </c>
      <c r="C15" s="95">
        <v>1644</v>
      </c>
      <c r="D15" s="95">
        <v>381151</v>
      </c>
      <c r="E15" s="124"/>
      <c r="F15" s="95"/>
      <c r="G15" s="95"/>
      <c r="H15" s="124">
        <v>25</v>
      </c>
      <c r="I15" s="95">
        <v>25</v>
      </c>
      <c r="J15" s="95">
        <v>7253</v>
      </c>
      <c r="K15" s="124">
        <v>0</v>
      </c>
      <c r="L15" s="95">
        <v>0</v>
      </c>
      <c r="M15" s="95">
        <f>5485-7+95</f>
        <v>5573</v>
      </c>
      <c r="N15" s="51">
        <f>+(1166-216+6085)</f>
        <v>7035</v>
      </c>
      <c r="O15" s="95">
        <v>216</v>
      </c>
      <c r="P15" s="124">
        <f t="shared" si="0"/>
        <v>1769</v>
      </c>
      <c r="Q15" s="95">
        <f ca="1">C15+F15+I15+L15</f>
        <v>1669</v>
      </c>
      <c r="R15" s="52">
        <f>D15+G15+J15+M15+N15+O15</f>
        <v>401228</v>
      </c>
      <c r="S15" s="47" t="s">
        <v>0</v>
      </c>
    </row>
    <row r="16" spans="1:19">
      <c r="A16" s="190" t="s">
        <v>348</v>
      </c>
      <c r="B16" s="124">
        <v>1194</v>
      </c>
      <c r="C16" s="95">
        <v>1085</v>
      </c>
      <c r="D16" s="95">
        <v>235434</v>
      </c>
      <c r="E16" s="124"/>
      <c r="F16" s="95"/>
      <c r="G16" s="95"/>
      <c r="H16" s="124">
        <v>48</v>
      </c>
      <c r="I16" s="95">
        <v>48</v>
      </c>
      <c r="J16" s="95">
        <v>10577</v>
      </c>
      <c r="K16" s="124">
        <v>0</v>
      </c>
      <c r="L16" s="95">
        <v>0</v>
      </c>
      <c r="M16" s="95">
        <v>0</v>
      </c>
      <c r="N16" s="51">
        <v>0</v>
      </c>
      <c r="O16" s="95">
        <v>5064</v>
      </c>
      <c r="P16" s="124">
        <f>B16+E16+H16+K16</f>
        <v>1242</v>
      </c>
      <c r="Q16" s="95">
        <f ca="1">C16+F16+I16+L16</f>
        <v>1133</v>
      </c>
      <c r="R16" s="52">
        <f ca="1">D16+G16+J16+M16+N16+O16</f>
        <v>246011</v>
      </c>
      <c r="S16" s="47" t="s">
        <v>0</v>
      </c>
    </row>
    <row r="17" spans="1:32">
      <c r="A17" s="190" t="s">
        <v>349</v>
      </c>
      <c r="B17" s="124">
        <v>207</v>
      </c>
      <c r="C17" s="95">
        <v>200</v>
      </c>
      <c r="D17" s="95">
        <v>34167</v>
      </c>
      <c r="E17" s="124"/>
      <c r="F17" s="95"/>
      <c r="G17" s="95"/>
      <c r="H17" s="124">
        <v>0</v>
      </c>
      <c r="I17" s="95">
        <v>0</v>
      </c>
      <c r="J17" s="95">
        <v>0</v>
      </c>
      <c r="K17" s="124">
        <v>0</v>
      </c>
      <c r="L17" s="95">
        <v>0</v>
      </c>
      <c r="M17" s="95">
        <v>0</v>
      </c>
      <c r="N17" s="51">
        <v>0</v>
      </c>
      <c r="O17" s="95">
        <v>0</v>
      </c>
      <c r="P17" s="124">
        <f t="shared" si="0"/>
        <v>207</v>
      </c>
      <c r="Q17" s="95">
        <f ca="1">C17+F17+I17+L17</f>
        <v>200</v>
      </c>
      <c r="R17" s="52">
        <f>D17+G17+J17+M17+N17+O17</f>
        <v>34167</v>
      </c>
      <c r="S17" s="47" t="s">
        <v>0</v>
      </c>
    </row>
    <row r="18" spans="1:32">
      <c r="A18" s="191" t="s">
        <v>350</v>
      </c>
      <c r="B18" s="192">
        <v>177</v>
      </c>
      <c r="C18" s="193">
        <v>170</v>
      </c>
      <c r="D18" s="193">
        <v>37262</v>
      </c>
      <c r="E18" s="192"/>
      <c r="F18" s="193"/>
      <c r="G18" s="193"/>
      <c r="H18" s="192">
        <v>0</v>
      </c>
      <c r="I18" s="193">
        <v>0</v>
      </c>
      <c r="J18" s="193">
        <v>0</v>
      </c>
      <c r="K18" s="192">
        <v>0</v>
      </c>
      <c r="L18" s="193">
        <v>0</v>
      </c>
      <c r="M18" s="193">
        <v>-6509</v>
      </c>
      <c r="N18" s="339">
        <v>0</v>
      </c>
      <c r="O18" s="193">
        <v>0</v>
      </c>
      <c r="P18" s="121">
        <f t="shared" si="0"/>
        <v>177</v>
      </c>
      <c r="Q18" s="125">
        <f ca="1">C18+F18+I18+L18</f>
        <v>170</v>
      </c>
      <c r="R18" s="194">
        <f>D18+G18+J18+M18+N18+O18</f>
        <v>30753</v>
      </c>
      <c r="S18" s="47" t="s">
        <v>0</v>
      </c>
    </row>
    <row r="19" spans="1:32">
      <c r="A19" s="195" t="s">
        <v>296</v>
      </c>
      <c r="B19" s="196">
        <f t="shared" ref="B19:R19" si="1">SUM(B14:B18)</f>
        <v>5544</v>
      </c>
      <c r="C19" s="197">
        <f t="shared" si="1"/>
        <v>5109</v>
      </c>
      <c r="D19" s="198">
        <f>SUM(D14:D18)</f>
        <v>1125763</v>
      </c>
      <c r="E19" s="196">
        <f t="shared" si="1"/>
        <v>0</v>
      </c>
      <c r="F19" s="197">
        <f t="shared" si="1"/>
        <v>0</v>
      </c>
      <c r="G19" s="199">
        <f t="shared" si="1"/>
        <v>0</v>
      </c>
      <c r="H19" s="196">
        <f t="shared" si="1"/>
        <v>122</v>
      </c>
      <c r="I19" s="197">
        <f ca="1">SUM(I14:I18)</f>
        <v>122</v>
      </c>
      <c r="J19" s="198">
        <f t="shared" si="1"/>
        <v>29651</v>
      </c>
      <c r="K19" s="196">
        <f t="shared" si="1"/>
        <v>0</v>
      </c>
      <c r="L19" s="197">
        <f t="shared" si="1"/>
        <v>0</v>
      </c>
      <c r="M19" s="198">
        <f t="shared" si="1"/>
        <v>-936</v>
      </c>
      <c r="N19" s="340">
        <f t="shared" si="1"/>
        <v>20612</v>
      </c>
      <c r="O19" s="198">
        <f ca="1">SUM(O14:O18)</f>
        <v>10540</v>
      </c>
      <c r="P19" s="345">
        <f t="shared" si="1"/>
        <v>5666</v>
      </c>
      <c r="Q19" s="346">
        <f ca="1">SUM(Q14:Q18)</f>
        <v>5231</v>
      </c>
      <c r="R19" s="200">
        <f t="shared" ca="1" si="1"/>
        <v>1180565</v>
      </c>
      <c r="S19" s="47" t="s">
        <v>0</v>
      </c>
    </row>
    <row r="20" spans="1:32">
      <c r="A20" s="185" t="s">
        <v>272</v>
      </c>
      <c r="B20" s="122" t="s">
        <v>288</v>
      </c>
      <c r="C20" s="123">
        <v>355</v>
      </c>
      <c r="D20" s="123"/>
      <c r="E20" s="122"/>
      <c r="F20" s="123"/>
      <c r="G20" s="123"/>
      <c r="H20" s="122"/>
      <c r="I20" s="123">
        <v>0</v>
      </c>
      <c r="J20" s="123"/>
      <c r="K20" s="122"/>
      <c r="L20" s="123">
        <v>0</v>
      </c>
      <c r="M20" s="123"/>
      <c r="N20" s="56"/>
      <c r="O20" s="123"/>
      <c r="P20" s="122"/>
      <c r="Q20" s="123">
        <f ca="1">C20+F20+I20+L20</f>
        <v>355</v>
      </c>
      <c r="R20" s="201"/>
      <c r="S20" s="47" t="s">
        <v>0</v>
      </c>
      <c r="T20" s="10"/>
      <c r="U20" s="10"/>
      <c r="V20" s="10"/>
      <c r="W20" s="10"/>
      <c r="X20" s="10"/>
      <c r="Y20" s="10"/>
      <c r="Z20" s="10"/>
      <c r="AA20" s="10"/>
      <c r="AB20" s="10"/>
      <c r="AC20" s="10"/>
      <c r="AD20" s="10"/>
      <c r="AE20" s="10"/>
      <c r="AF20" s="10"/>
    </row>
    <row r="21" spans="1:32">
      <c r="A21" s="185" t="s">
        <v>271</v>
      </c>
      <c r="B21" s="202"/>
      <c r="C21" s="203">
        <f>SUM(C19:C20)</f>
        <v>5464</v>
      </c>
      <c r="D21" s="203"/>
      <c r="E21" s="202"/>
      <c r="F21" s="203">
        <f>+F19+F20</f>
        <v>0</v>
      </c>
      <c r="G21" s="203"/>
      <c r="H21" s="202"/>
      <c r="I21" s="203">
        <f ca="1">+I19+I20</f>
        <v>122</v>
      </c>
      <c r="J21" s="203"/>
      <c r="K21" s="202"/>
      <c r="L21" s="203">
        <f>+L19+L20</f>
        <v>0</v>
      </c>
      <c r="M21" s="203"/>
      <c r="N21" s="341"/>
      <c r="O21" s="203"/>
      <c r="P21" s="202"/>
      <c r="Q21" s="203">
        <f ca="1">SUM(Q19:Q20)</f>
        <v>5586</v>
      </c>
      <c r="R21" s="204"/>
      <c r="S21" s="47" t="s">
        <v>0</v>
      </c>
    </row>
    <row r="22" spans="1:32">
      <c r="A22" s="205" t="s">
        <v>273</v>
      </c>
      <c r="B22" s="124"/>
      <c r="C22" s="95"/>
      <c r="D22" s="95"/>
      <c r="E22" s="124"/>
      <c r="F22" s="95"/>
      <c r="G22" s="95"/>
      <c r="H22" s="124"/>
      <c r="I22" s="95"/>
      <c r="J22" s="95"/>
      <c r="K22" s="124"/>
      <c r="L22" s="95"/>
      <c r="M22" s="95"/>
      <c r="N22" s="51"/>
      <c r="O22" s="95"/>
      <c r="P22" s="124"/>
      <c r="Q22" s="95"/>
      <c r="R22" s="52"/>
      <c r="S22" s="47" t="s">
        <v>0</v>
      </c>
    </row>
    <row r="23" spans="1:32">
      <c r="A23" s="206" t="s">
        <v>57</v>
      </c>
      <c r="B23" s="124"/>
      <c r="C23" s="95">
        <v>639</v>
      </c>
      <c r="D23" s="95"/>
      <c r="E23" s="124"/>
      <c r="F23" s="95"/>
      <c r="G23" s="95"/>
      <c r="H23" s="124"/>
      <c r="I23" s="95">
        <v>0</v>
      </c>
      <c r="J23" s="95"/>
      <c r="K23" s="124"/>
      <c r="L23" s="95">
        <v>0</v>
      </c>
      <c r="M23" s="95"/>
      <c r="N23" s="51"/>
      <c r="O23" s="95"/>
      <c r="P23" s="124"/>
      <c r="Q23" s="95">
        <f ca="1">C23+F23+I23+L23</f>
        <v>639</v>
      </c>
      <c r="R23" s="52"/>
      <c r="S23" s="47" t="s">
        <v>0</v>
      </c>
    </row>
    <row r="24" spans="1:32">
      <c r="A24" s="207" t="s">
        <v>95</v>
      </c>
      <c r="B24" s="122"/>
      <c r="C24" s="123">
        <v>207</v>
      </c>
      <c r="D24" s="123"/>
      <c r="E24" s="122"/>
      <c r="F24" s="123"/>
      <c r="G24" s="123"/>
      <c r="H24" s="122"/>
      <c r="I24" s="123">
        <v>0</v>
      </c>
      <c r="J24" s="123"/>
      <c r="K24" s="122"/>
      <c r="L24" s="123">
        <v>0</v>
      </c>
      <c r="M24" s="123"/>
      <c r="N24" s="56"/>
      <c r="O24" s="123"/>
      <c r="P24" s="122"/>
      <c r="Q24" s="123">
        <f ca="1">C24+F24+I24+L24</f>
        <v>207</v>
      </c>
      <c r="R24" s="201"/>
      <c r="S24" s="47" t="s">
        <v>0</v>
      </c>
    </row>
    <row r="25" spans="1:32">
      <c r="A25" s="185" t="s">
        <v>274</v>
      </c>
      <c r="B25" s="122"/>
      <c r="C25" s="123">
        <f>C24+C23+C21</f>
        <v>6310</v>
      </c>
      <c r="D25" s="208"/>
      <c r="E25" s="122"/>
      <c r="F25" s="123">
        <f>F24+F23+F21</f>
        <v>0</v>
      </c>
      <c r="G25" s="208"/>
      <c r="H25" s="122"/>
      <c r="I25" s="123">
        <f ca="1">I24+I23+I21</f>
        <v>122</v>
      </c>
      <c r="J25" s="208"/>
      <c r="K25" s="122"/>
      <c r="L25" s="123">
        <f>L24+L23+L21</f>
        <v>0</v>
      </c>
      <c r="M25" s="208"/>
      <c r="N25" s="342"/>
      <c r="O25" s="208"/>
      <c r="P25" s="122"/>
      <c r="Q25" s="123">
        <f ca="1">Q24+Q23+Q21</f>
        <v>6432</v>
      </c>
      <c r="R25" s="209"/>
      <c r="S25" s="47" t="s">
        <v>0</v>
      </c>
    </row>
    <row r="26" spans="1:32" ht="31.5" customHeight="1">
      <c r="A26" s="911" t="s">
        <v>428</v>
      </c>
      <c r="B26" s="911"/>
      <c r="C26" s="911"/>
      <c r="D26" s="911"/>
      <c r="E26" s="911"/>
      <c r="F26" s="911"/>
      <c r="G26" s="911"/>
      <c r="H26" s="911"/>
      <c r="I26" s="911"/>
      <c r="J26" s="911"/>
      <c r="K26" s="911"/>
      <c r="L26" s="911"/>
      <c r="M26" s="911"/>
      <c r="N26" s="911"/>
      <c r="O26" s="911"/>
      <c r="P26" s="911"/>
      <c r="Q26" s="911"/>
      <c r="R26" s="911"/>
      <c r="S26" s="47" t="s">
        <v>0</v>
      </c>
    </row>
    <row r="27" spans="1:32" ht="9" customHeight="1">
      <c r="B27" s="1"/>
      <c r="C27" s="1"/>
      <c r="D27" s="1"/>
      <c r="E27" s="1"/>
      <c r="F27" s="1"/>
      <c r="G27" s="1"/>
      <c r="H27" s="1"/>
      <c r="I27" s="1"/>
      <c r="J27" s="1"/>
      <c r="K27" s="1"/>
      <c r="L27" s="1"/>
      <c r="M27" s="1"/>
      <c r="N27" s="1"/>
      <c r="O27" s="1"/>
      <c r="P27" s="1"/>
      <c r="Q27" s="1"/>
      <c r="R27" s="1"/>
      <c r="S27" s="47" t="s">
        <v>0</v>
      </c>
    </row>
    <row r="28" spans="1:32" s="18" customFormat="1">
      <c r="A28" s="911" t="s">
        <v>394</v>
      </c>
      <c r="B28" s="911"/>
      <c r="C28" s="911"/>
      <c r="D28" s="911"/>
      <c r="E28" s="911"/>
      <c r="F28" s="911"/>
      <c r="G28" s="911"/>
      <c r="H28" s="911"/>
      <c r="I28" s="911"/>
      <c r="J28" s="911"/>
      <c r="K28" s="911"/>
      <c r="L28" s="911"/>
      <c r="M28" s="911"/>
      <c r="N28" s="911"/>
      <c r="O28" s="911"/>
      <c r="P28" s="911"/>
      <c r="Q28" s="911"/>
      <c r="R28" s="911"/>
      <c r="S28" s="47" t="s">
        <v>0</v>
      </c>
      <c r="T28" s="215"/>
    </row>
    <row r="29" spans="1:32" s="18" customFormat="1" ht="9" customHeight="1">
      <c r="B29" s="1"/>
      <c r="C29" s="1"/>
      <c r="D29" s="1"/>
      <c r="E29" s="1"/>
      <c r="F29" s="1"/>
      <c r="G29" s="1"/>
      <c r="H29" s="1"/>
      <c r="I29" s="1"/>
      <c r="J29" s="1"/>
      <c r="K29" s="1"/>
      <c r="L29" s="1"/>
      <c r="M29" s="1"/>
      <c r="N29" s="1"/>
      <c r="O29" s="1"/>
      <c r="P29" s="1"/>
      <c r="Q29" s="1"/>
      <c r="R29" s="1"/>
      <c r="S29" s="47" t="s">
        <v>0</v>
      </c>
      <c r="T29" s="215"/>
    </row>
    <row r="30" spans="1:32" s="18" customFormat="1" ht="49.5" customHeight="1">
      <c r="A30" s="911" t="s">
        <v>395</v>
      </c>
      <c r="B30" s="911"/>
      <c r="C30" s="911"/>
      <c r="D30" s="911"/>
      <c r="E30" s="911"/>
      <c r="F30" s="911"/>
      <c r="G30" s="911"/>
      <c r="H30" s="911"/>
      <c r="I30" s="911"/>
      <c r="J30" s="911"/>
      <c r="K30" s="911"/>
      <c r="L30" s="911"/>
      <c r="M30" s="911"/>
      <c r="N30" s="911"/>
      <c r="O30" s="911"/>
      <c r="P30" s="911"/>
      <c r="Q30" s="911"/>
      <c r="R30" s="911"/>
      <c r="S30" s="911"/>
      <c r="T30" s="214"/>
    </row>
    <row r="31" spans="1:32" s="18" customFormat="1" ht="9.75" customHeight="1">
      <c r="T31" s="214"/>
    </row>
    <row r="32" spans="1:32" s="18" customFormat="1" ht="15.75" customHeight="1">
      <c r="A32" s="911" t="s">
        <v>393</v>
      </c>
      <c r="B32" s="911"/>
      <c r="C32" s="911"/>
      <c r="D32" s="911"/>
      <c r="E32" s="911"/>
      <c r="F32" s="911"/>
      <c r="G32" s="911"/>
      <c r="H32" s="911"/>
      <c r="I32" s="911"/>
      <c r="J32" s="911"/>
      <c r="K32" s="911"/>
      <c r="L32" s="911"/>
      <c r="M32" s="911"/>
      <c r="N32" s="911"/>
      <c r="O32" s="911"/>
      <c r="P32" s="911"/>
      <c r="Q32" s="911"/>
      <c r="R32" s="911"/>
      <c r="S32" s="558"/>
      <c r="T32" s="214"/>
    </row>
    <row r="33" spans="1:20" s="18" customFormat="1" ht="9" customHeight="1">
      <c r="T33" s="214"/>
    </row>
    <row r="34" spans="1:20" s="18" customFormat="1" ht="14.45" customHeight="1">
      <c r="A34" s="911" t="s">
        <v>458</v>
      </c>
      <c r="B34" s="911"/>
      <c r="C34" s="911"/>
      <c r="D34" s="911"/>
      <c r="E34" s="911"/>
      <c r="F34" s="911"/>
      <c r="G34" s="911"/>
      <c r="H34" s="911"/>
      <c r="I34" s="911"/>
      <c r="J34" s="911"/>
      <c r="K34" s="911"/>
      <c r="L34" s="911"/>
      <c r="M34" s="911"/>
      <c r="N34" s="911"/>
      <c r="O34" s="911"/>
      <c r="P34" s="911"/>
      <c r="Q34" s="911"/>
      <c r="R34" s="911"/>
      <c r="S34" s="911"/>
      <c r="T34" s="214"/>
    </row>
    <row r="35" spans="1:20">
      <c r="A35" s="18"/>
      <c r="B35" s="18"/>
      <c r="C35" s="18"/>
      <c r="D35" s="18"/>
      <c r="E35" s="18"/>
      <c r="F35" s="18"/>
      <c r="G35" s="18"/>
      <c r="H35" s="18"/>
      <c r="I35" s="18"/>
      <c r="J35" s="18"/>
      <c r="K35" s="18"/>
      <c r="L35" s="18"/>
      <c r="M35" s="18"/>
      <c r="N35" s="18"/>
      <c r="O35" s="18"/>
      <c r="P35" s="18"/>
      <c r="Q35" s="18"/>
      <c r="R35" s="18"/>
      <c r="S35" s="18"/>
    </row>
  </sheetData>
  <customSheetViews>
    <customSheetView guid="{9A28834D-6BE2-4884-BE97-BE00946B08BB}" scale="75" showPageBreaks="1" showGridLines="0" outlineSymbols="0" fitToPage="1" printArea="1" hiddenRows="1" hiddenColumns="1" view="pageBreakPreview">
      <selection activeCell="A26" sqref="A26:R26"/>
      <pageMargins left="0.5" right="0.5" top="0.5" bottom="0.55000000000000004" header="0" footer="0"/>
      <printOptions horizontalCentered="1"/>
      <pageSetup scale="77" firstPageNumber="2" orientation="landscape" useFirstPageNumber="1" horizontalDpi="300" verticalDpi="300" r:id="rId1"/>
      <headerFooter alignWithMargins="0">
        <oddFooter>&amp;C&amp;"Times New Roman,Regular"Exhibit F - Crosswalk of 2010 Availability - Salaries and Expenses</oddFooter>
      </headerFooter>
    </customSheetView>
  </customSheetViews>
  <mergeCells count="21">
    <mergeCell ref="A34:S34"/>
    <mergeCell ref="A32:R32"/>
    <mergeCell ref="A28:R28"/>
    <mergeCell ref="E11:G12"/>
    <mergeCell ref="H11:J12"/>
    <mergeCell ref="A26:R26"/>
    <mergeCell ref="B11:D12"/>
    <mergeCell ref="K11:M12"/>
    <mergeCell ref="P11:R12"/>
    <mergeCell ref="A11:A13"/>
    <mergeCell ref="A8:R8"/>
    <mergeCell ref="A30:S30"/>
    <mergeCell ref="A1:R1"/>
    <mergeCell ref="A5:R5"/>
    <mergeCell ref="A6:R6"/>
    <mergeCell ref="A7:R7"/>
    <mergeCell ref="A9:R9"/>
    <mergeCell ref="N11:N12"/>
    <mergeCell ref="A10:R10"/>
    <mergeCell ref="O11:O12"/>
    <mergeCell ref="A4:R4"/>
  </mergeCells>
  <phoneticPr fontId="0" type="noConversion"/>
  <printOptions horizontalCentered="1"/>
  <pageMargins left="0.5" right="0.5" top="0.5" bottom="0.55000000000000004" header="0" footer="0"/>
  <pageSetup scale="77" firstPageNumber="2" orientation="landscape" useFirstPageNumber="1" horizontalDpi="300" verticalDpi="300" r:id="rId2"/>
  <headerFooter alignWithMargins="0">
    <oddFooter>&amp;C&amp;"Times New Roman,Regular"Exhibit F - Crosswalk of 2010 Availability - Salaries and Expenses</oddFooter>
  </headerFooter>
  <ignoredErrors>
    <ignoredError sqref="D19" formula="1"/>
  </ignoredErrors>
</worksheet>
</file>

<file path=xl/worksheets/sheet8.xml><?xml version="1.0" encoding="utf-8"?>
<worksheet xmlns="http://schemas.openxmlformats.org/spreadsheetml/2006/main" xmlns:r="http://schemas.openxmlformats.org/officeDocument/2006/relationships">
  <sheetPr>
    <pageSetUpPr fitToPage="1"/>
  </sheetPr>
  <dimension ref="A1:T21"/>
  <sheetViews>
    <sheetView showGridLines="0" showOutlineSymbols="0" view="pageBreakPreview" zoomScale="75" zoomScaleNormal="75" workbookViewId="0">
      <selection activeCell="Y36" sqref="Y36"/>
    </sheetView>
  </sheetViews>
  <sheetFormatPr defaultColWidth="9.6640625" defaultRowHeight="15.75"/>
  <cols>
    <col min="1" max="1" width="27.77734375" style="8" customWidth="1"/>
    <col min="2" max="2" width="7.5546875" style="8" hidden="1" customWidth="1"/>
    <col min="3" max="3" width="6.77734375" style="8" hidden="1" customWidth="1"/>
    <col min="4" max="4" width="16.6640625" style="8" customWidth="1"/>
    <col min="5" max="5" width="5.77734375" style="8" hidden="1" customWidth="1"/>
    <col min="6" max="6" width="5.6640625" style="8" hidden="1" customWidth="1"/>
    <col min="7" max="7" width="7.77734375" style="8" hidden="1" customWidth="1"/>
    <col min="8" max="9" width="5.6640625" style="8" hidden="1" customWidth="1"/>
    <col min="10" max="10" width="15.77734375" style="8" customWidth="1"/>
    <col min="11" max="11" width="5.5546875" style="8" customWidth="1"/>
    <col min="12" max="12" width="5.6640625" style="8" customWidth="1"/>
    <col min="13" max="13" width="7.77734375" style="8" customWidth="1"/>
    <col min="14" max="14" width="11.33203125" style="8" customWidth="1"/>
    <col min="15" max="15" width="12.77734375" style="8" customWidth="1"/>
    <col min="16" max="16" width="7.5546875" style="8" hidden="1" customWidth="1"/>
    <col min="17" max="17" width="6.77734375" style="8" hidden="1" customWidth="1"/>
    <col min="18" max="18" width="11.77734375" style="8" customWidth="1"/>
    <col min="19" max="19" width="1" style="48" customWidth="1"/>
    <col min="20" max="16384" width="9.6640625" style="8"/>
  </cols>
  <sheetData>
    <row r="1" spans="1:19" ht="20.25">
      <c r="A1" s="837" t="s">
        <v>238</v>
      </c>
      <c r="B1" s="838"/>
      <c r="C1" s="838"/>
      <c r="D1" s="838"/>
      <c r="E1" s="838"/>
      <c r="F1" s="838"/>
      <c r="G1" s="838"/>
      <c r="H1" s="838"/>
      <c r="I1" s="838"/>
      <c r="J1" s="838"/>
      <c r="K1" s="838"/>
      <c r="L1" s="838"/>
      <c r="M1" s="838"/>
      <c r="N1" s="838"/>
      <c r="O1" s="838"/>
      <c r="P1" s="838"/>
      <c r="Q1" s="838"/>
      <c r="R1" s="838"/>
      <c r="S1" s="47" t="s">
        <v>0</v>
      </c>
    </row>
    <row r="2" spans="1:19" ht="20.25">
      <c r="A2" s="17"/>
      <c r="B2" s="561"/>
      <c r="C2" s="561"/>
      <c r="D2" s="561"/>
      <c r="E2" s="561"/>
      <c r="F2" s="561"/>
      <c r="G2" s="561"/>
      <c r="H2" s="561"/>
      <c r="I2" s="561"/>
      <c r="J2" s="561"/>
      <c r="K2" s="561"/>
      <c r="L2" s="561"/>
      <c r="M2" s="561"/>
      <c r="N2" s="561"/>
      <c r="O2" s="561"/>
      <c r="P2" s="561"/>
      <c r="Q2" s="561"/>
      <c r="R2" s="561"/>
      <c r="S2" s="47"/>
    </row>
    <row r="3" spans="1:19" ht="20.25">
      <c r="A3" s="17"/>
      <c r="B3" s="561"/>
      <c r="C3" s="561"/>
      <c r="D3" s="561"/>
      <c r="E3" s="561"/>
      <c r="F3" s="561"/>
      <c r="G3" s="561"/>
      <c r="H3" s="561"/>
      <c r="I3" s="561"/>
      <c r="J3" s="561"/>
      <c r="K3" s="561"/>
      <c r="L3" s="561"/>
      <c r="M3" s="561"/>
      <c r="N3" s="561"/>
      <c r="O3" s="561"/>
      <c r="P3" s="561"/>
      <c r="Q3" s="561"/>
      <c r="R3" s="561"/>
      <c r="S3" s="47"/>
    </row>
    <row r="4" spans="1:19">
      <c r="A4" s="915"/>
      <c r="B4" s="915"/>
      <c r="C4" s="915"/>
      <c r="D4" s="915"/>
      <c r="E4" s="915"/>
      <c r="F4" s="915"/>
      <c r="G4" s="915"/>
      <c r="H4" s="915"/>
      <c r="I4" s="915"/>
      <c r="J4" s="915"/>
      <c r="K4" s="915"/>
      <c r="L4" s="915"/>
      <c r="M4" s="915"/>
      <c r="N4" s="915"/>
      <c r="O4" s="915"/>
      <c r="P4" s="915"/>
      <c r="Q4" s="915"/>
      <c r="R4" s="915"/>
      <c r="S4" s="47" t="s">
        <v>0</v>
      </c>
    </row>
    <row r="5" spans="1:19" ht="18.75">
      <c r="A5" s="912" t="s">
        <v>228</v>
      </c>
      <c r="B5" s="913"/>
      <c r="C5" s="913"/>
      <c r="D5" s="913"/>
      <c r="E5" s="913"/>
      <c r="F5" s="913"/>
      <c r="G5" s="913"/>
      <c r="H5" s="913"/>
      <c r="I5" s="913"/>
      <c r="J5" s="913"/>
      <c r="K5" s="913"/>
      <c r="L5" s="913"/>
      <c r="M5" s="913"/>
      <c r="N5" s="913"/>
      <c r="O5" s="913"/>
      <c r="P5" s="913"/>
      <c r="Q5" s="913"/>
      <c r="R5" s="913"/>
      <c r="S5" s="47" t="s">
        <v>0</v>
      </c>
    </row>
    <row r="6" spans="1:19" ht="16.5">
      <c r="A6" s="914" t="str">
        <f ca="1">+'B. Summary of Requirements_S&amp;E '!A5</f>
        <v>United States Marshals Service</v>
      </c>
      <c r="B6" s="910"/>
      <c r="C6" s="910"/>
      <c r="D6" s="910"/>
      <c r="E6" s="910"/>
      <c r="F6" s="910"/>
      <c r="G6" s="910"/>
      <c r="H6" s="910"/>
      <c r="I6" s="910"/>
      <c r="J6" s="910"/>
      <c r="K6" s="910"/>
      <c r="L6" s="910"/>
      <c r="M6" s="910"/>
      <c r="N6" s="910"/>
      <c r="O6" s="910"/>
      <c r="P6" s="910"/>
      <c r="Q6" s="910"/>
      <c r="R6" s="910"/>
      <c r="S6" s="47" t="s">
        <v>0</v>
      </c>
    </row>
    <row r="7" spans="1:19" ht="16.5">
      <c r="A7" s="914" t="str">
        <f ca="1">+'B. Summary of Requirements_Cons'!A8:X8</f>
        <v>Construction</v>
      </c>
      <c r="B7" s="913"/>
      <c r="C7" s="913"/>
      <c r="D7" s="913"/>
      <c r="E7" s="913"/>
      <c r="F7" s="913"/>
      <c r="G7" s="913"/>
      <c r="H7" s="913"/>
      <c r="I7" s="913"/>
      <c r="J7" s="913"/>
      <c r="K7" s="913"/>
      <c r="L7" s="913"/>
      <c r="M7" s="913"/>
      <c r="N7" s="913"/>
      <c r="O7" s="913"/>
      <c r="P7" s="913"/>
      <c r="Q7" s="913"/>
      <c r="R7" s="913"/>
      <c r="S7" s="47" t="s">
        <v>0</v>
      </c>
    </row>
    <row r="8" spans="1:19">
      <c r="A8" s="909" t="s">
        <v>265</v>
      </c>
      <c r="B8" s="910"/>
      <c r="C8" s="910"/>
      <c r="D8" s="910"/>
      <c r="E8" s="910"/>
      <c r="F8" s="910"/>
      <c r="G8" s="910"/>
      <c r="H8" s="910"/>
      <c r="I8" s="910"/>
      <c r="J8" s="910"/>
      <c r="K8" s="910"/>
      <c r="L8" s="910"/>
      <c r="M8" s="910"/>
      <c r="N8" s="910"/>
      <c r="O8" s="910"/>
      <c r="P8" s="910"/>
      <c r="Q8" s="910"/>
      <c r="R8" s="910"/>
      <c r="S8" s="47" t="s">
        <v>0</v>
      </c>
    </row>
    <row r="9" spans="1:19">
      <c r="A9" s="563"/>
      <c r="B9" s="564"/>
      <c r="C9" s="564"/>
      <c r="D9" s="564"/>
      <c r="E9" s="564"/>
      <c r="F9" s="564"/>
      <c r="G9" s="564"/>
      <c r="H9" s="564"/>
      <c r="I9" s="564"/>
      <c r="J9" s="564"/>
      <c r="K9" s="564"/>
      <c r="L9" s="564"/>
      <c r="M9" s="564"/>
      <c r="N9" s="564"/>
      <c r="O9" s="564"/>
      <c r="P9" s="564"/>
      <c r="Q9" s="564"/>
      <c r="R9" s="564"/>
      <c r="S9" s="47"/>
    </row>
    <row r="10" spans="1:19">
      <c r="A10" s="918"/>
      <c r="B10" s="918"/>
      <c r="C10" s="918"/>
      <c r="D10" s="918"/>
      <c r="E10" s="918"/>
      <c r="F10" s="918"/>
      <c r="G10" s="918"/>
      <c r="H10" s="918"/>
      <c r="I10" s="918"/>
      <c r="J10" s="918"/>
      <c r="K10" s="918"/>
      <c r="L10" s="918"/>
      <c r="M10" s="918"/>
      <c r="N10" s="918"/>
      <c r="O10" s="918"/>
      <c r="P10" s="918"/>
      <c r="Q10" s="918"/>
      <c r="R10" s="918"/>
      <c r="S10" s="47" t="s">
        <v>0</v>
      </c>
    </row>
    <row r="11" spans="1:19" ht="15.75" customHeight="1">
      <c r="A11" s="934" t="s">
        <v>47</v>
      </c>
      <c r="B11" s="925" t="s">
        <v>18</v>
      </c>
      <c r="C11" s="926"/>
      <c r="D11" s="927"/>
      <c r="E11" s="919" t="s">
        <v>279</v>
      </c>
      <c r="F11" s="920"/>
      <c r="G11" s="921"/>
      <c r="H11" s="925" t="s">
        <v>280</v>
      </c>
      <c r="I11" s="926"/>
      <c r="J11" s="927"/>
      <c r="K11" s="925" t="s">
        <v>22</v>
      </c>
      <c r="L11" s="926"/>
      <c r="M11" s="926"/>
      <c r="N11" s="916" t="s">
        <v>331</v>
      </c>
      <c r="O11" s="916" t="s">
        <v>332</v>
      </c>
      <c r="P11" s="925" t="s">
        <v>38</v>
      </c>
      <c r="Q11" s="926"/>
      <c r="R11" s="927"/>
      <c r="S11" s="47" t="s">
        <v>0</v>
      </c>
    </row>
    <row r="12" spans="1:19" ht="30.75" customHeight="1">
      <c r="A12" s="935"/>
      <c r="B12" s="928"/>
      <c r="C12" s="929"/>
      <c r="D12" s="930"/>
      <c r="E12" s="922"/>
      <c r="F12" s="923"/>
      <c r="G12" s="924"/>
      <c r="H12" s="928"/>
      <c r="I12" s="929"/>
      <c r="J12" s="930"/>
      <c r="K12" s="928"/>
      <c r="L12" s="929"/>
      <c r="M12" s="929"/>
      <c r="N12" s="917"/>
      <c r="O12" s="917"/>
      <c r="P12" s="928"/>
      <c r="Q12" s="929"/>
      <c r="R12" s="930"/>
      <c r="S12" s="47" t="s">
        <v>0</v>
      </c>
    </row>
    <row r="13" spans="1:19" ht="20.25" customHeight="1" thickBot="1">
      <c r="A13" s="936"/>
      <c r="B13" s="565" t="s">
        <v>287</v>
      </c>
      <c r="C13" s="344" t="s">
        <v>51</v>
      </c>
      <c r="D13" s="696" t="s">
        <v>289</v>
      </c>
      <c r="E13" s="565" t="s">
        <v>287</v>
      </c>
      <c r="F13" s="344" t="s">
        <v>51</v>
      </c>
      <c r="G13" s="344" t="s">
        <v>289</v>
      </c>
      <c r="H13" s="565" t="s">
        <v>287</v>
      </c>
      <c r="I13" s="344" t="s">
        <v>51</v>
      </c>
      <c r="J13" s="696" t="s">
        <v>289</v>
      </c>
      <c r="K13" s="565" t="s">
        <v>287</v>
      </c>
      <c r="L13" s="344" t="s">
        <v>51</v>
      </c>
      <c r="M13" s="344" t="s">
        <v>289</v>
      </c>
      <c r="N13" s="343" t="s">
        <v>289</v>
      </c>
      <c r="O13" s="343" t="s">
        <v>289</v>
      </c>
      <c r="P13" s="565" t="s">
        <v>287</v>
      </c>
      <c r="Q13" s="344" t="s">
        <v>51</v>
      </c>
      <c r="R13" s="696" t="s">
        <v>289</v>
      </c>
      <c r="S13" s="47" t="s">
        <v>0</v>
      </c>
    </row>
    <row r="14" spans="1:19">
      <c r="A14" s="708" t="s">
        <v>338</v>
      </c>
      <c r="B14" s="554">
        <v>0</v>
      </c>
      <c r="C14" s="555">
        <v>0</v>
      </c>
      <c r="D14" s="557">
        <v>26625</v>
      </c>
      <c r="E14" s="554"/>
      <c r="F14" s="555"/>
      <c r="G14" s="555"/>
      <c r="H14" s="554">
        <v>0</v>
      </c>
      <c r="I14" s="555">
        <v>0</v>
      </c>
      <c r="J14" s="557">
        <v>8000</v>
      </c>
      <c r="K14" s="554">
        <v>0</v>
      </c>
      <c r="L14" s="555">
        <v>0</v>
      </c>
      <c r="M14" s="555">
        <v>0</v>
      </c>
      <c r="N14" s="556">
        <v>752</v>
      </c>
      <c r="O14" s="556">
        <v>1264</v>
      </c>
      <c r="P14" s="554">
        <f>B14+E14+H14+K14</f>
        <v>0</v>
      </c>
      <c r="Q14" s="555">
        <f>C14+F14+I14+L14</f>
        <v>0</v>
      </c>
      <c r="R14" s="557">
        <f>D14+G14+J14+M14+N14+O14</f>
        <v>36641</v>
      </c>
      <c r="S14" s="47" t="s">
        <v>0</v>
      </c>
    </row>
    <row r="15" spans="1:19">
      <c r="A15" s="697" t="s">
        <v>296</v>
      </c>
      <c r="B15" s="196">
        <f t="shared" ref="B15:R15" si="0">SUM(B14:B14)</f>
        <v>0</v>
      </c>
      <c r="C15" s="197">
        <f t="shared" si="0"/>
        <v>0</v>
      </c>
      <c r="D15" s="200">
        <f t="shared" si="0"/>
        <v>26625</v>
      </c>
      <c r="E15" s="196">
        <f t="shared" si="0"/>
        <v>0</v>
      </c>
      <c r="F15" s="197">
        <f t="shared" si="0"/>
        <v>0</v>
      </c>
      <c r="G15" s="198">
        <f t="shared" si="0"/>
        <v>0</v>
      </c>
      <c r="H15" s="196">
        <f t="shared" si="0"/>
        <v>0</v>
      </c>
      <c r="I15" s="197">
        <f t="shared" si="0"/>
        <v>0</v>
      </c>
      <c r="J15" s="200">
        <f t="shared" si="0"/>
        <v>8000</v>
      </c>
      <c r="K15" s="196">
        <f t="shared" si="0"/>
        <v>0</v>
      </c>
      <c r="L15" s="197">
        <f t="shared" si="0"/>
        <v>0</v>
      </c>
      <c r="M15" s="198">
        <f t="shared" si="0"/>
        <v>0</v>
      </c>
      <c r="N15" s="340">
        <f t="shared" si="0"/>
        <v>752</v>
      </c>
      <c r="O15" s="340">
        <f t="shared" si="0"/>
        <v>1264</v>
      </c>
      <c r="P15" s="196">
        <f t="shared" si="0"/>
        <v>0</v>
      </c>
      <c r="Q15" s="197">
        <f t="shared" si="0"/>
        <v>0</v>
      </c>
      <c r="R15" s="200">
        <f t="shared" si="0"/>
        <v>36641</v>
      </c>
      <c r="S15" s="47" t="s">
        <v>0</v>
      </c>
    </row>
    <row r="16" spans="1:19">
      <c r="B16" s="1"/>
      <c r="C16" s="1"/>
      <c r="D16" s="1"/>
      <c r="E16" s="1"/>
      <c r="F16" s="1"/>
      <c r="G16" s="1"/>
      <c r="H16" s="1"/>
      <c r="I16" s="1"/>
      <c r="J16" s="1"/>
      <c r="K16" s="1"/>
      <c r="L16" s="1"/>
      <c r="M16" s="1"/>
      <c r="N16" s="1"/>
      <c r="O16" s="1"/>
      <c r="P16" s="1"/>
      <c r="Q16" s="1"/>
      <c r="R16" s="1"/>
      <c r="S16" s="47" t="s">
        <v>0</v>
      </c>
    </row>
    <row r="17" spans="1:20" s="18" customFormat="1" ht="18.75" customHeight="1">
      <c r="A17" s="911" t="s">
        <v>396</v>
      </c>
      <c r="B17" s="911"/>
      <c r="C17" s="911"/>
      <c r="D17" s="911"/>
      <c r="E17" s="911"/>
      <c r="F17" s="911"/>
      <c r="G17" s="911"/>
      <c r="H17" s="911"/>
      <c r="I17" s="911"/>
      <c r="J17" s="911"/>
      <c r="K17" s="911"/>
      <c r="L17" s="911"/>
      <c r="M17" s="911"/>
      <c r="N17" s="911"/>
      <c r="O17" s="911"/>
      <c r="P17" s="911"/>
      <c r="Q17" s="911"/>
      <c r="R17" s="911"/>
      <c r="S17" s="47" t="s">
        <v>0</v>
      </c>
      <c r="T17" s="215"/>
    </row>
    <row r="18" spans="1:20" s="18" customFormat="1" ht="12" customHeight="1">
      <c r="B18" s="1"/>
      <c r="C18" s="1"/>
      <c r="D18" s="1"/>
      <c r="E18" s="1"/>
      <c r="F18" s="1"/>
      <c r="G18" s="1"/>
      <c r="H18" s="1"/>
      <c r="I18" s="1"/>
      <c r="J18" s="1"/>
      <c r="K18" s="1"/>
      <c r="L18" s="1"/>
      <c r="M18" s="1"/>
      <c r="N18" s="1"/>
      <c r="O18" s="1"/>
      <c r="P18" s="1"/>
      <c r="Q18" s="1"/>
      <c r="R18" s="1"/>
      <c r="S18" s="47" t="s">
        <v>0</v>
      </c>
      <c r="T18" s="215"/>
    </row>
    <row r="19" spans="1:20" s="18" customFormat="1" ht="17.25" customHeight="1">
      <c r="A19" s="911" t="s">
        <v>423</v>
      </c>
      <c r="B19" s="911"/>
      <c r="C19" s="911"/>
      <c r="D19" s="911"/>
      <c r="E19" s="911"/>
      <c r="F19" s="911"/>
      <c r="G19" s="911"/>
      <c r="H19" s="911"/>
      <c r="I19" s="911"/>
      <c r="J19" s="911"/>
      <c r="K19" s="911"/>
      <c r="L19" s="911"/>
      <c r="M19" s="911"/>
      <c r="N19" s="911"/>
      <c r="O19" s="911"/>
      <c r="P19" s="911"/>
      <c r="Q19" s="911"/>
      <c r="R19" s="911"/>
      <c r="S19" s="47" t="s">
        <v>0</v>
      </c>
      <c r="T19" s="214"/>
    </row>
    <row r="20" spans="1:20" s="18" customFormat="1" ht="9" customHeight="1">
      <c r="S20" s="47" t="s">
        <v>0</v>
      </c>
      <c r="T20" s="214"/>
    </row>
    <row r="21" spans="1:20" s="18" customFormat="1" ht="27.75" customHeight="1">
      <c r="A21" s="911" t="s">
        <v>424</v>
      </c>
      <c r="B21" s="911"/>
      <c r="C21" s="911"/>
      <c r="D21" s="911"/>
      <c r="E21" s="911"/>
      <c r="F21" s="911"/>
      <c r="G21" s="911"/>
      <c r="H21" s="911"/>
      <c r="I21" s="911"/>
      <c r="J21" s="911"/>
      <c r="K21" s="911"/>
      <c r="L21" s="911"/>
      <c r="M21" s="911"/>
      <c r="N21" s="911"/>
      <c r="O21" s="911"/>
      <c r="P21" s="911"/>
      <c r="Q21" s="911"/>
      <c r="R21" s="911"/>
      <c r="S21" s="214" t="s">
        <v>23</v>
      </c>
      <c r="T21" s="214"/>
    </row>
  </sheetData>
  <customSheetViews>
    <customSheetView guid="{9A28834D-6BE2-4884-BE97-BE00946B08BB}" scale="75" showPageBreaks="1" showGridLines="0" outlineSymbols="0" fitToPage="1" printArea="1" hiddenRows="1" hiddenColumns="1" view="pageBreakPreview">
      <selection activeCell="A15" sqref="A15"/>
      <pageMargins left="0.5" right="0.5" top="0.75" bottom="0.55000000000000004" header="0" footer="0.25"/>
      <printOptions horizontalCentered="1"/>
      <pageSetup scale="92" firstPageNumber="2" orientation="landscape" useFirstPageNumber="1" horizontalDpi="300" verticalDpi="300" r:id="rId1"/>
      <headerFooter alignWithMargins="0">
        <oddFooter>&amp;C&amp;"Times New Roman,Regular"Exhibit F - Crosswalk of 2010 Availability - Construction</oddFooter>
      </headerFooter>
    </customSheetView>
  </customSheetViews>
  <mergeCells count="18">
    <mergeCell ref="A19:R19"/>
    <mergeCell ref="A21:R21"/>
    <mergeCell ref="B11:D12"/>
    <mergeCell ref="E11:G12"/>
    <mergeCell ref="H11:J12"/>
    <mergeCell ref="K11:M12"/>
    <mergeCell ref="N11:N12"/>
    <mergeCell ref="O11:O12"/>
    <mergeCell ref="A17:R17"/>
    <mergeCell ref="A10:R10"/>
    <mergeCell ref="A11:A13"/>
    <mergeCell ref="A1:R1"/>
    <mergeCell ref="A4:R4"/>
    <mergeCell ref="A5:R5"/>
    <mergeCell ref="A6:R6"/>
    <mergeCell ref="A7:R7"/>
    <mergeCell ref="A8:R8"/>
    <mergeCell ref="P11:R12"/>
  </mergeCells>
  <printOptions horizontalCentered="1"/>
  <pageMargins left="0.5" right="0.5" top="0.75" bottom="0.55000000000000004" header="0" footer="0.25"/>
  <pageSetup scale="92" firstPageNumber="2" orientation="landscape" useFirstPageNumber="1" horizontalDpi="300" verticalDpi="300" r:id="rId2"/>
  <headerFooter alignWithMargins="0">
    <oddFooter>&amp;C&amp;"Times New Roman,Regular"Exhibit F - Crosswalk of 2010 Availability - Construction</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T40"/>
  <sheetViews>
    <sheetView view="pageBreakPreview" zoomScale="70" zoomScaleNormal="100" zoomScaleSheetLayoutView="70" workbookViewId="0">
      <selection activeCell="U44" sqref="U44"/>
    </sheetView>
  </sheetViews>
  <sheetFormatPr defaultRowHeight="15.75"/>
  <cols>
    <col min="1" max="1" width="35.21875" customWidth="1"/>
    <col min="4" max="4" width="10.21875" bestFit="1" customWidth="1"/>
    <col min="5" max="8" width="0" hidden="1" customWidth="1"/>
    <col min="9" max="9" width="0" style="320" hidden="1" customWidth="1"/>
    <col min="10" max="10" width="0" hidden="1" customWidth="1"/>
    <col min="14" max="14" width="9.44140625" style="8" customWidth="1"/>
    <col min="15" max="15" width="10" style="8" customWidth="1"/>
    <col min="18" max="18" width="10.21875" bestFit="1" customWidth="1"/>
  </cols>
  <sheetData>
    <row r="1" spans="1:20" ht="20.25">
      <c r="A1" s="837" t="s">
        <v>416</v>
      </c>
      <c r="B1" s="838"/>
      <c r="C1" s="838"/>
      <c r="D1" s="838"/>
      <c r="E1" s="838"/>
      <c r="F1" s="838"/>
      <c r="G1" s="838"/>
      <c r="H1" s="838"/>
      <c r="I1" s="838"/>
      <c r="J1" s="838"/>
      <c r="K1" s="838"/>
      <c r="L1" s="838"/>
      <c r="M1" s="838"/>
      <c r="N1" s="838"/>
      <c r="O1" s="838"/>
      <c r="P1" s="838"/>
      <c r="Q1" s="838"/>
      <c r="R1" s="838"/>
      <c r="S1" s="47" t="s">
        <v>0</v>
      </c>
      <c r="T1" s="8"/>
    </row>
    <row r="2" spans="1:20" ht="20.25">
      <c r="A2" s="17"/>
      <c r="B2" s="561"/>
      <c r="C2" s="561"/>
      <c r="D2" s="561"/>
      <c r="E2" s="561"/>
      <c r="F2" s="561"/>
      <c r="G2" s="561"/>
      <c r="H2" s="561"/>
      <c r="I2" s="561"/>
      <c r="J2" s="561"/>
      <c r="K2" s="561"/>
      <c r="L2" s="561"/>
      <c r="M2" s="561"/>
      <c r="N2" s="561"/>
      <c r="O2" s="561"/>
      <c r="P2" s="561"/>
      <c r="Q2" s="561"/>
      <c r="R2" s="561"/>
      <c r="S2" s="47"/>
      <c r="T2" s="8"/>
    </row>
    <row r="3" spans="1:20" ht="20.25">
      <c r="A3" s="17"/>
      <c r="B3" s="561"/>
      <c r="C3" s="561"/>
      <c r="D3" s="561"/>
      <c r="E3" s="561"/>
      <c r="F3" s="561"/>
      <c r="G3" s="561"/>
      <c r="H3" s="561"/>
      <c r="I3" s="561"/>
      <c r="J3" s="561"/>
      <c r="K3" s="561"/>
      <c r="L3" s="561"/>
      <c r="M3" s="561"/>
      <c r="N3" s="561"/>
      <c r="O3" s="561"/>
      <c r="P3" s="561"/>
      <c r="Q3" s="561"/>
      <c r="R3" s="561"/>
      <c r="S3" s="47"/>
      <c r="T3" s="8"/>
    </row>
    <row r="4" spans="1:20">
      <c r="A4" s="915"/>
      <c r="B4" s="915"/>
      <c r="C4" s="915"/>
      <c r="D4" s="915"/>
      <c r="E4" s="915"/>
      <c r="F4" s="915"/>
      <c r="G4" s="915"/>
      <c r="H4" s="915"/>
      <c r="I4" s="915"/>
      <c r="J4" s="915"/>
      <c r="K4" s="915"/>
      <c r="L4" s="915"/>
      <c r="M4" s="915"/>
      <c r="N4" s="915"/>
      <c r="O4" s="915"/>
      <c r="P4" s="915"/>
      <c r="Q4" s="915"/>
      <c r="R4" s="915"/>
      <c r="S4" s="47" t="s">
        <v>0</v>
      </c>
      <c r="T4" s="8"/>
    </row>
    <row r="5" spans="1:20" ht="18.75">
      <c r="A5" s="912" t="s">
        <v>325</v>
      </c>
      <c r="B5" s="913"/>
      <c r="C5" s="913"/>
      <c r="D5" s="913"/>
      <c r="E5" s="913"/>
      <c r="F5" s="913"/>
      <c r="G5" s="913"/>
      <c r="H5" s="913"/>
      <c r="I5" s="913"/>
      <c r="J5" s="913"/>
      <c r="K5" s="913"/>
      <c r="L5" s="913"/>
      <c r="M5" s="913"/>
      <c r="N5" s="913"/>
      <c r="O5" s="913"/>
      <c r="P5" s="913"/>
      <c r="Q5" s="913"/>
      <c r="R5" s="913"/>
      <c r="S5" s="47" t="s">
        <v>0</v>
      </c>
      <c r="T5" s="8"/>
    </row>
    <row r="6" spans="1:20" ht="16.5">
      <c r="A6" s="914" t="str">
        <f ca="1">+'B. Summary of Requirements_S&amp;E '!A5</f>
        <v>United States Marshals Service</v>
      </c>
      <c r="B6" s="910"/>
      <c r="C6" s="910"/>
      <c r="D6" s="910"/>
      <c r="E6" s="910"/>
      <c r="F6" s="910"/>
      <c r="G6" s="910"/>
      <c r="H6" s="910"/>
      <c r="I6" s="910"/>
      <c r="J6" s="910"/>
      <c r="K6" s="910"/>
      <c r="L6" s="910"/>
      <c r="M6" s="910"/>
      <c r="N6" s="910"/>
      <c r="O6" s="910"/>
      <c r="P6" s="910"/>
      <c r="Q6" s="910"/>
      <c r="R6" s="910"/>
      <c r="S6" s="47" t="s">
        <v>0</v>
      </c>
      <c r="T6" s="8"/>
    </row>
    <row r="7" spans="1:20" ht="16.5">
      <c r="A7" s="914" t="str">
        <f ca="1">+'B. Summary of Requirements_S&amp;E '!A6</f>
        <v>Salaries and Expenses</v>
      </c>
      <c r="B7" s="913"/>
      <c r="C7" s="913"/>
      <c r="D7" s="913"/>
      <c r="E7" s="913"/>
      <c r="F7" s="913"/>
      <c r="G7" s="913"/>
      <c r="H7" s="913"/>
      <c r="I7" s="913"/>
      <c r="J7" s="913"/>
      <c r="K7" s="913"/>
      <c r="L7" s="913"/>
      <c r="M7" s="913"/>
      <c r="N7" s="913"/>
      <c r="O7" s="913"/>
      <c r="P7" s="913"/>
      <c r="Q7" s="913"/>
      <c r="R7" s="913"/>
      <c r="S7" s="47" t="s">
        <v>0</v>
      </c>
      <c r="T7" s="8"/>
    </row>
    <row r="8" spans="1:20">
      <c r="A8" s="909" t="s">
        <v>265</v>
      </c>
      <c r="B8" s="910"/>
      <c r="C8" s="910"/>
      <c r="D8" s="910"/>
      <c r="E8" s="910"/>
      <c r="F8" s="910"/>
      <c r="G8" s="910"/>
      <c r="H8" s="910"/>
      <c r="I8" s="910"/>
      <c r="J8" s="910"/>
      <c r="K8" s="910"/>
      <c r="L8" s="910"/>
      <c r="M8" s="910"/>
      <c r="N8" s="910"/>
      <c r="O8" s="910"/>
      <c r="P8" s="910"/>
      <c r="Q8" s="910"/>
      <c r="R8" s="910"/>
      <c r="S8" s="47" t="s">
        <v>0</v>
      </c>
      <c r="T8" s="8"/>
    </row>
    <row r="9" spans="1:20">
      <c r="A9" s="915"/>
      <c r="B9" s="915"/>
      <c r="C9" s="915"/>
      <c r="D9" s="915"/>
      <c r="E9" s="915"/>
      <c r="F9" s="915"/>
      <c r="G9" s="915"/>
      <c r="H9" s="915"/>
      <c r="I9" s="915"/>
      <c r="J9" s="915"/>
      <c r="K9" s="915"/>
      <c r="L9" s="915"/>
      <c r="M9" s="915"/>
      <c r="N9" s="915"/>
      <c r="O9" s="915"/>
      <c r="P9" s="915"/>
      <c r="Q9" s="915"/>
      <c r="R9" s="915"/>
      <c r="S9" s="47" t="s">
        <v>0</v>
      </c>
      <c r="T9" s="8"/>
    </row>
    <row r="10" spans="1:20">
      <c r="A10" s="918"/>
      <c r="B10" s="918"/>
      <c r="C10" s="918"/>
      <c r="D10" s="918"/>
      <c r="E10" s="918"/>
      <c r="F10" s="918"/>
      <c r="G10" s="918"/>
      <c r="H10" s="918"/>
      <c r="I10" s="918"/>
      <c r="J10" s="918"/>
      <c r="K10" s="918"/>
      <c r="L10" s="918"/>
      <c r="M10" s="918"/>
      <c r="N10" s="918"/>
      <c r="O10" s="918"/>
      <c r="P10" s="918"/>
      <c r="Q10" s="918"/>
      <c r="R10" s="918"/>
      <c r="S10" s="47" t="s">
        <v>0</v>
      </c>
      <c r="T10" s="8"/>
    </row>
    <row r="11" spans="1:20" ht="15.75" customHeight="1">
      <c r="A11" s="931" t="s">
        <v>47</v>
      </c>
      <c r="B11" s="925" t="s">
        <v>334</v>
      </c>
      <c r="C11" s="926"/>
      <c r="D11" s="927"/>
      <c r="E11" s="919" t="s">
        <v>279</v>
      </c>
      <c r="F11" s="920"/>
      <c r="G11" s="921"/>
      <c r="H11" s="919" t="s">
        <v>280</v>
      </c>
      <c r="I11" s="920"/>
      <c r="J11" s="921"/>
      <c r="K11" s="925" t="s">
        <v>22</v>
      </c>
      <c r="L11" s="926"/>
      <c r="M11" s="927"/>
      <c r="N11" s="916" t="s">
        <v>331</v>
      </c>
      <c r="O11" s="937" t="s">
        <v>332</v>
      </c>
      <c r="P11" s="925" t="s">
        <v>326</v>
      </c>
      <c r="Q11" s="926"/>
      <c r="R11" s="927"/>
      <c r="S11" s="47" t="s">
        <v>0</v>
      </c>
      <c r="T11" s="8"/>
    </row>
    <row r="12" spans="1:20">
      <c r="A12" s="932"/>
      <c r="B12" s="928"/>
      <c r="C12" s="929"/>
      <c r="D12" s="930"/>
      <c r="E12" s="922"/>
      <c r="F12" s="923"/>
      <c r="G12" s="924"/>
      <c r="H12" s="922"/>
      <c r="I12" s="923"/>
      <c r="J12" s="924"/>
      <c r="K12" s="928"/>
      <c r="L12" s="929"/>
      <c r="M12" s="930"/>
      <c r="N12" s="917"/>
      <c r="O12" s="938"/>
      <c r="P12" s="928"/>
      <c r="Q12" s="929"/>
      <c r="R12" s="930"/>
      <c r="S12" s="47" t="s">
        <v>0</v>
      </c>
      <c r="T12" s="8"/>
    </row>
    <row r="13" spans="1:20" ht="16.5" thickBot="1">
      <c r="A13" s="933"/>
      <c r="B13" s="186" t="s">
        <v>287</v>
      </c>
      <c r="C13" s="187" t="s">
        <v>51</v>
      </c>
      <c r="D13" s="187" t="s">
        <v>289</v>
      </c>
      <c r="E13" s="186" t="s">
        <v>287</v>
      </c>
      <c r="F13" s="187" t="s">
        <v>51</v>
      </c>
      <c r="G13" s="187" t="s">
        <v>289</v>
      </c>
      <c r="H13" s="186" t="s">
        <v>287</v>
      </c>
      <c r="I13" s="187" t="s">
        <v>51</v>
      </c>
      <c r="J13" s="187" t="s">
        <v>289</v>
      </c>
      <c r="K13" s="186" t="s">
        <v>287</v>
      </c>
      <c r="L13" s="187" t="s">
        <v>51</v>
      </c>
      <c r="M13" s="187" t="s">
        <v>289</v>
      </c>
      <c r="N13" s="343" t="s">
        <v>289</v>
      </c>
      <c r="O13" s="344" t="s">
        <v>289</v>
      </c>
      <c r="P13" s="186" t="s">
        <v>287</v>
      </c>
      <c r="Q13" s="187" t="s">
        <v>51</v>
      </c>
      <c r="R13" s="188" t="s">
        <v>289</v>
      </c>
      <c r="S13" s="47" t="s">
        <v>0</v>
      </c>
      <c r="T13" s="8"/>
    </row>
    <row r="14" spans="1:20">
      <c r="A14" s="189" t="s">
        <v>340</v>
      </c>
      <c r="B14" s="124">
        <v>2222</v>
      </c>
      <c r="C14" s="95">
        <v>2010</v>
      </c>
      <c r="D14" s="95">
        <v>437749</v>
      </c>
      <c r="E14" s="124"/>
      <c r="F14" s="95"/>
      <c r="G14" s="95"/>
      <c r="H14" s="124">
        <v>0</v>
      </c>
      <c r="I14" s="95">
        <v>0</v>
      </c>
      <c r="J14" s="95">
        <v>0</v>
      </c>
      <c r="K14" s="124">
        <v>0</v>
      </c>
      <c r="L14" s="95">
        <v>0</v>
      </c>
      <c r="M14" s="95">
        <v>0</v>
      </c>
      <c r="N14" s="51">
        <f>11821+5259</f>
        <v>17080</v>
      </c>
      <c r="O14" s="95">
        <v>0</v>
      </c>
      <c r="P14" s="124">
        <f t="shared" ref="P14:Q18" si="0">B14+E14+H14+K14</f>
        <v>2222</v>
      </c>
      <c r="Q14" s="95">
        <f t="shared" si="0"/>
        <v>2010</v>
      </c>
      <c r="R14" s="52">
        <f>D14+G14+J14+M14+N14+O14</f>
        <v>454829</v>
      </c>
      <c r="S14" s="47" t="s">
        <v>0</v>
      </c>
      <c r="T14" s="8"/>
    </row>
    <row r="15" spans="1:20">
      <c r="A15" s="190" t="s">
        <v>347</v>
      </c>
      <c r="B15" s="124">
        <v>1744</v>
      </c>
      <c r="C15" s="95">
        <v>1644</v>
      </c>
      <c r="D15" s="95">
        <v>381151</v>
      </c>
      <c r="E15" s="124"/>
      <c r="F15" s="95"/>
      <c r="G15" s="95"/>
      <c r="H15" s="124">
        <v>0</v>
      </c>
      <c r="I15" s="95">
        <v>0</v>
      </c>
      <c r="J15" s="95">
        <v>0</v>
      </c>
      <c r="K15" s="124">
        <v>0</v>
      </c>
      <c r="L15" s="95">
        <v>0</v>
      </c>
      <c r="M15" s="95">
        <v>4186</v>
      </c>
      <c r="N15" s="51">
        <f>4906+7253</f>
        <v>12159</v>
      </c>
      <c r="O15" s="95">
        <v>68</v>
      </c>
      <c r="P15" s="124">
        <f>B15+E15+H15+K15</f>
        <v>1744</v>
      </c>
      <c r="Q15" s="95">
        <f>C15+F15+I15+L15</f>
        <v>1644</v>
      </c>
      <c r="R15" s="52">
        <f>D15+G15+J15+M15+N15+O15</f>
        <v>397564</v>
      </c>
      <c r="S15" s="47" t="s">
        <v>0</v>
      </c>
      <c r="T15" s="8"/>
    </row>
    <row r="16" spans="1:20">
      <c r="A16" s="190" t="s">
        <v>348</v>
      </c>
      <c r="B16" s="124">
        <v>1194</v>
      </c>
      <c r="C16" s="95">
        <v>1085</v>
      </c>
      <c r="D16" s="95">
        <v>235434</v>
      </c>
      <c r="E16" s="124"/>
      <c r="F16" s="95"/>
      <c r="G16" s="95"/>
      <c r="H16" s="124">
        <v>0</v>
      </c>
      <c r="I16" s="95">
        <v>0</v>
      </c>
      <c r="J16" s="95">
        <v>0</v>
      </c>
      <c r="K16" s="124">
        <v>0</v>
      </c>
      <c r="L16" s="95">
        <v>0</v>
      </c>
      <c r="M16" s="95">
        <v>0</v>
      </c>
      <c r="N16" s="51">
        <f>10577+19734-5259</f>
        <v>25052</v>
      </c>
      <c r="O16" s="95">
        <v>1142</v>
      </c>
      <c r="P16" s="124">
        <f t="shared" si="0"/>
        <v>1194</v>
      </c>
      <c r="Q16" s="95">
        <f t="shared" si="0"/>
        <v>1085</v>
      </c>
      <c r="R16" s="52">
        <f>D16+G16+J16+M16+N16+O16</f>
        <v>261628</v>
      </c>
      <c r="S16" s="47" t="s">
        <v>0</v>
      </c>
      <c r="T16" s="8"/>
    </row>
    <row r="17" spans="1:20">
      <c r="A17" s="190" t="s">
        <v>349</v>
      </c>
      <c r="B17" s="124">
        <v>207</v>
      </c>
      <c r="C17" s="95">
        <v>200</v>
      </c>
      <c r="D17" s="95">
        <v>34167</v>
      </c>
      <c r="E17" s="124"/>
      <c r="F17" s="95"/>
      <c r="G17" s="95"/>
      <c r="H17" s="124">
        <v>0</v>
      </c>
      <c r="I17" s="95">
        <v>0</v>
      </c>
      <c r="J17" s="95">
        <v>0</v>
      </c>
      <c r="K17" s="124">
        <v>0</v>
      </c>
      <c r="L17" s="95">
        <v>0</v>
      </c>
      <c r="M17" s="95">
        <v>0</v>
      </c>
      <c r="N17" s="51">
        <v>0</v>
      </c>
      <c r="O17" s="95">
        <v>0</v>
      </c>
      <c r="P17" s="124">
        <f t="shared" si="0"/>
        <v>207</v>
      </c>
      <c r="Q17" s="95">
        <f t="shared" si="0"/>
        <v>200</v>
      </c>
      <c r="R17" s="52">
        <f>D17+G17+J17+M17+N17+O17</f>
        <v>34167</v>
      </c>
      <c r="S17" s="47" t="s">
        <v>0</v>
      </c>
      <c r="T17" s="8"/>
    </row>
    <row r="18" spans="1:20">
      <c r="A18" s="191" t="s">
        <v>350</v>
      </c>
      <c r="B18" s="192">
        <v>177</v>
      </c>
      <c r="C18" s="193">
        <v>170</v>
      </c>
      <c r="D18" s="193">
        <v>37262</v>
      </c>
      <c r="E18" s="192"/>
      <c r="F18" s="193"/>
      <c r="G18" s="193"/>
      <c r="H18" s="192">
        <v>0</v>
      </c>
      <c r="I18" s="193">
        <v>0</v>
      </c>
      <c r="J18" s="193">
        <v>0</v>
      </c>
      <c r="K18" s="192">
        <v>0</v>
      </c>
      <c r="L18" s="193">
        <v>0</v>
      </c>
      <c r="M18" s="193">
        <v>0</v>
      </c>
      <c r="N18" s="339">
        <v>0</v>
      </c>
      <c r="O18" s="193">
        <v>0</v>
      </c>
      <c r="P18" s="192">
        <f t="shared" si="0"/>
        <v>177</v>
      </c>
      <c r="Q18" s="193">
        <f t="shared" si="0"/>
        <v>170</v>
      </c>
      <c r="R18" s="194">
        <f>D18+G18+J18+M18+N18+O18</f>
        <v>37262</v>
      </c>
      <c r="S18" s="47" t="s">
        <v>0</v>
      </c>
      <c r="T18" s="8"/>
    </row>
    <row r="19" spans="1:20">
      <c r="A19" s="195" t="s">
        <v>296</v>
      </c>
      <c r="B19" s="196">
        <f t="shared" ref="B19:R19" si="1">SUM(B14:B18)</f>
        <v>5544</v>
      </c>
      <c r="C19" s="197">
        <f t="shared" si="1"/>
        <v>5109</v>
      </c>
      <c r="D19" s="198">
        <f>SUM(D14:D18)</f>
        <v>1125763</v>
      </c>
      <c r="E19" s="196">
        <f t="shared" si="1"/>
        <v>0</v>
      </c>
      <c r="F19" s="197">
        <f t="shared" si="1"/>
        <v>0</v>
      </c>
      <c r="G19" s="199">
        <f t="shared" si="1"/>
        <v>0</v>
      </c>
      <c r="H19" s="196">
        <f t="shared" si="1"/>
        <v>0</v>
      </c>
      <c r="I19" s="197">
        <f>SUM(I14:I18)</f>
        <v>0</v>
      </c>
      <c r="J19" s="198">
        <f t="shared" si="1"/>
        <v>0</v>
      </c>
      <c r="K19" s="196">
        <f t="shared" si="1"/>
        <v>0</v>
      </c>
      <c r="L19" s="197">
        <f t="shared" si="1"/>
        <v>0</v>
      </c>
      <c r="M19" s="198">
        <f t="shared" si="1"/>
        <v>4186</v>
      </c>
      <c r="N19" s="340">
        <f t="shared" si="1"/>
        <v>54291</v>
      </c>
      <c r="O19" s="198">
        <f t="shared" si="1"/>
        <v>1210</v>
      </c>
      <c r="P19" s="196">
        <f t="shared" si="1"/>
        <v>5544</v>
      </c>
      <c r="Q19" s="197">
        <f>SUM(Q14:Q18)</f>
        <v>5109</v>
      </c>
      <c r="R19" s="200">
        <f t="shared" si="1"/>
        <v>1185450</v>
      </c>
      <c r="S19" s="47" t="s">
        <v>0</v>
      </c>
      <c r="T19" s="8"/>
    </row>
    <row r="20" spans="1:20">
      <c r="A20" s="185" t="s">
        <v>272</v>
      </c>
      <c r="B20" s="122" t="s">
        <v>288</v>
      </c>
      <c r="C20" s="123">
        <v>355</v>
      </c>
      <c r="D20" s="123"/>
      <c r="E20" s="122"/>
      <c r="F20" s="123"/>
      <c r="G20" s="123"/>
      <c r="H20" s="122"/>
      <c r="I20" s="123">
        <v>0</v>
      </c>
      <c r="J20" s="123"/>
      <c r="K20" s="122"/>
      <c r="L20" s="123">
        <v>0</v>
      </c>
      <c r="M20" s="123"/>
      <c r="N20" s="56"/>
      <c r="O20" s="123"/>
      <c r="P20" s="122"/>
      <c r="Q20" s="123">
        <f>C20+F20+I20+L20</f>
        <v>355</v>
      </c>
      <c r="R20" s="201"/>
      <c r="S20" s="47" t="s">
        <v>0</v>
      </c>
      <c r="T20" s="10"/>
    </row>
    <row r="21" spans="1:20">
      <c r="A21" s="185" t="s">
        <v>271</v>
      </c>
      <c r="B21" s="202"/>
      <c r="C21" s="203">
        <f>SUM(C19:C20)</f>
        <v>5464</v>
      </c>
      <c r="D21" s="203"/>
      <c r="E21" s="202"/>
      <c r="F21" s="203">
        <f>+F19+F20</f>
        <v>0</v>
      </c>
      <c r="G21" s="203"/>
      <c r="H21" s="202"/>
      <c r="I21" s="203">
        <f>+I19+I20</f>
        <v>0</v>
      </c>
      <c r="J21" s="203"/>
      <c r="K21" s="202"/>
      <c r="L21" s="203">
        <f>+L19+L20</f>
        <v>0</v>
      </c>
      <c r="M21" s="203"/>
      <c r="N21" s="341"/>
      <c r="O21" s="203"/>
      <c r="P21" s="202"/>
      <c r="Q21" s="203">
        <f>SUM(Q19:Q20)</f>
        <v>5464</v>
      </c>
      <c r="R21" s="204"/>
      <c r="S21" s="47" t="s">
        <v>0</v>
      </c>
      <c r="T21" s="8"/>
    </row>
    <row r="22" spans="1:20">
      <c r="A22" s="205" t="s">
        <v>273</v>
      </c>
      <c r="B22" s="124"/>
      <c r="C22" s="95"/>
      <c r="D22" s="95"/>
      <c r="E22" s="124"/>
      <c r="F22" s="95"/>
      <c r="G22" s="95"/>
      <c r="H22" s="124"/>
      <c r="I22" s="95"/>
      <c r="J22" s="95"/>
      <c r="K22" s="124"/>
      <c r="L22" s="95"/>
      <c r="M22" s="95"/>
      <c r="N22" s="51"/>
      <c r="O22" s="95"/>
      <c r="P22" s="124"/>
      <c r="Q22" s="95"/>
      <c r="R22" s="52"/>
      <c r="S22" s="47" t="s">
        <v>0</v>
      </c>
      <c r="T22" s="8"/>
    </row>
    <row r="23" spans="1:20">
      <c r="A23" s="206" t="s">
        <v>57</v>
      </c>
      <c r="B23" s="124"/>
      <c r="C23" s="95">
        <v>639</v>
      </c>
      <c r="D23" s="95"/>
      <c r="E23" s="124"/>
      <c r="F23" s="95"/>
      <c r="G23" s="95"/>
      <c r="H23" s="124"/>
      <c r="I23" s="95">
        <v>0</v>
      </c>
      <c r="J23" s="95"/>
      <c r="K23" s="124"/>
      <c r="L23" s="95">
        <v>0</v>
      </c>
      <c r="M23" s="95"/>
      <c r="N23" s="51"/>
      <c r="O23" s="95"/>
      <c r="P23" s="124"/>
      <c r="Q23" s="95">
        <f>C23+F23+I23+L23</f>
        <v>639</v>
      </c>
      <c r="R23" s="52"/>
      <c r="S23" s="47" t="s">
        <v>0</v>
      </c>
      <c r="T23" s="8"/>
    </row>
    <row r="24" spans="1:20">
      <c r="A24" s="207" t="s">
        <v>95</v>
      </c>
      <c r="B24" s="122"/>
      <c r="C24" s="123">
        <v>207</v>
      </c>
      <c r="D24" s="123"/>
      <c r="E24" s="122"/>
      <c r="F24" s="123"/>
      <c r="G24" s="123"/>
      <c r="H24" s="122"/>
      <c r="I24" s="123">
        <v>0</v>
      </c>
      <c r="J24" s="123"/>
      <c r="K24" s="122"/>
      <c r="L24" s="123">
        <v>0</v>
      </c>
      <c r="M24" s="123"/>
      <c r="N24" s="56"/>
      <c r="O24" s="123"/>
      <c r="P24" s="122"/>
      <c r="Q24" s="123">
        <f>C24+F24+I24+L24</f>
        <v>207</v>
      </c>
      <c r="R24" s="201"/>
      <c r="S24" s="47" t="s">
        <v>0</v>
      </c>
      <c r="T24" s="8"/>
    </row>
    <row r="25" spans="1:20">
      <c r="A25" s="185" t="s">
        <v>274</v>
      </c>
      <c r="B25" s="122"/>
      <c r="C25" s="123">
        <f>C24+C23+C21</f>
        <v>6310</v>
      </c>
      <c r="D25" s="208"/>
      <c r="E25" s="122"/>
      <c r="F25" s="123">
        <f>F24+F23+F21</f>
        <v>0</v>
      </c>
      <c r="G25" s="208"/>
      <c r="H25" s="122"/>
      <c r="I25" s="123">
        <f>I24+I23+I21</f>
        <v>0</v>
      </c>
      <c r="J25" s="208"/>
      <c r="K25" s="122"/>
      <c r="L25" s="123">
        <f>L24+L23+L21</f>
        <v>0</v>
      </c>
      <c r="M25" s="208"/>
      <c r="N25" s="342"/>
      <c r="O25" s="208"/>
      <c r="P25" s="122"/>
      <c r="Q25" s="123">
        <f>Q24+Q23+Q21</f>
        <v>6310</v>
      </c>
      <c r="R25" s="209"/>
      <c r="S25" s="47" t="s">
        <v>0</v>
      </c>
      <c r="T25" s="8"/>
    </row>
    <row r="26" spans="1:20">
      <c r="A26" s="8"/>
      <c r="B26" s="1"/>
      <c r="C26" s="1"/>
      <c r="D26" s="1"/>
      <c r="E26" s="1"/>
      <c r="F26" s="1"/>
      <c r="G26" s="1"/>
      <c r="H26" s="1"/>
      <c r="I26" s="1"/>
      <c r="J26" s="1"/>
      <c r="K26" s="1"/>
      <c r="L26" s="1"/>
      <c r="M26" s="1"/>
      <c r="N26" s="1"/>
      <c r="O26" s="1"/>
      <c r="P26" s="1"/>
      <c r="Q26" s="1"/>
      <c r="R26" s="1"/>
      <c r="S26" s="47" t="s">
        <v>0</v>
      </c>
      <c r="T26" s="8"/>
    </row>
    <row r="27" spans="1:20" s="18" customFormat="1">
      <c r="A27" s="911" t="s">
        <v>418</v>
      </c>
      <c r="B27" s="911"/>
      <c r="C27" s="911"/>
      <c r="D27" s="911"/>
      <c r="E27" s="911"/>
      <c r="F27" s="911"/>
      <c r="G27" s="911"/>
      <c r="H27" s="911"/>
      <c r="I27" s="911"/>
      <c r="J27" s="911"/>
      <c r="K27" s="911"/>
      <c r="L27" s="911"/>
      <c r="M27" s="911"/>
      <c r="N27" s="911"/>
      <c r="O27" s="911"/>
      <c r="P27" s="911"/>
      <c r="Q27" s="911"/>
      <c r="R27" s="911"/>
      <c r="S27" s="47" t="s">
        <v>0</v>
      </c>
      <c r="T27" s="214"/>
    </row>
    <row r="28" spans="1:20" s="18" customFormat="1" ht="8.25" customHeight="1">
      <c r="S28" s="47" t="s">
        <v>0</v>
      </c>
      <c r="T28" s="214"/>
    </row>
    <row r="29" spans="1:20" s="18" customFormat="1" ht="33.75" customHeight="1">
      <c r="A29" s="911" t="s">
        <v>417</v>
      </c>
      <c r="B29" s="911"/>
      <c r="C29" s="911"/>
      <c r="D29" s="911"/>
      <c r="E29" s="911"/>
      <c r="F29" s="911"/>
      <c r="G29" s="911"/>
      <c r="H29" s="911"/>
      <c r="I29" s="911"/>
      <c r="J29" s="911"/>
      <c r="K29" s="911"/>
      <c r="L29" s="911"/>
      <c r="M29" s="911"/>
      <c r="N29" s="911"/>
      <c r="O29" s="911"/>
      <c r="P29" s="911"/>
      <c r="Q29" s="911"/>
      <c r="R29" s="911"/>
      <c r="S29" s="47" t="s">
        <v>0</v>
      </c>
      <c r="T29" s="214"/>
    </row>
    <row r="30" spans="1:20" s="18" customFormat="1" ht="9" customHeight="1">
      <c r="S30" s="47" t="s">
        <v>0</v>
      </c>
      <c r="T30" s="214"/>
    </row>
    <row r="31" spans="1:20" s="18" customFormat="1" ht="14.45" customHeight="1">
      <c r="A31" s="911" t="s">
        <v>419</v>
      </c>
      <c r="B31" s="911"/>
      <c r="C31" s="911"/>
      <c r="D31" s="911"/>
      <c r="E31" s="911"/>
      <c r="F31" s="911"/>
      <c r="G31" s="911"/>
      <c r="H31" s="911"/>
      <c r="I31" s="911"/>
      <c r="J31" s="911"/>
      <c r="K31" s="911"/>
      <c r="L31" s="911"/>
      <c r="M31" s="911"/>
      <c r="N31" s="911"/>
      <c r="O31" s="911"/>
      <c r="P31" s="911"/>
      <c r="Q31" s="911"/>
      <c r="R31" s="911"/>
      <c r="S31" s="214" t="s">
        <v>23</v>
      </c>
      <c r="T31" s="214"/>
    </row>
    <row r="32" spans="1:20">
      <c r="A32" s="1"/>
      <c r="B32" s="18"/>
      <c r="C32" s="1"/>
      <c r="D32" s="1"/>
      <c r="E32" s="1"/>
      <c r="F32" s="1"/>
      <c r="G32" s="1"/>
      <c r="H32" s="1"/>
      <c r="I32" s="1"/>
      <c r="J32" s="2"/>
      <c r="K32" s="1"/>
      <c r="L32" s="1"/>
      <c r="M32" s="1"/>
      <c r="N32" s="1"/>
      <c r="O32" s="1"/>
      <c r="P32" s="1"/>
      <c r="Q32" s="1"/>
      <c r="R32" s="1"/>
      <c r="S32" s="47"/>
      <c r="T32" s="8"/>
    </row>
    <row r="33" spans="1:20">
      <c r="A33" s="1"/>
      <c r="B33" s="18"/>
      <c r="C33" s="1"/>
      <c r="D33" s="1"/>
      <c r="E33" s="1"/>
      <c r="F33" s="1"/>
      <c r="G33" s="1"/>
      <c r="H33" s="1"/>
      <c r="I33" s="1"/>
      <c r="J33" s="2"/>
      <c r="K33" s="1"/>
      <c r="L33" s="1"/>
      <c r="M33" s="1"/>
      <c r="N33" s="1"/>
      <c r="O33" s="1"/>
      <c r="P33" s="1"/>
      <c r="Q33" s="1"/>
      <c r="R33" s="1"/>
      <c r="S33" s="47"/>
      <c r="T33" s="8"/>
    </row>
    <row r="34" spans="1:20">
      <c r="A34" s="1"/>
      <c r="B34" s="18"/>
      <c r="C34" s="1"/>
      <c r="D34" s="1"/>
      <c r="E34" s="1"/>
      <c r="F34" s="1"/>
      <c r="G34" s="1"/>
      <c r="H34" s="1"/>
      <c r="I34" s="1"/>
      <c r="J34" s="2"/>
      <c r="K34" s="1"/>
      <c r="L34" s="1"/>
      <c r="M34" s="1"/>
      <c r="N34" s="1"/>
      <c r="O34" s="1"/>
      <c r="P34" s="1"/>
      <c r="Q34" s="1"/>
      <c r="R34" s="1"/>
      <c r="S34" s="47"/>
      <c r="T34" s="8"/>
    </row>
    <row r="35" spans="1:20">
      <c r="A35" s="1"/>
      <c r="B35" s="18"/>
      <c r="C35" s="1"/>
      <c r="D35" s="1"/>
      <c r="E35" s="1"/>
      <c r="F35" s="1"/>
      <c r="G35" s="1"/>
      <c r="H35" s="1"/>
      <c r="I35" s="1"/>
      <c r="J35" s="2"/>
      <c r="K35" s="1"/>
      <c r="L35" s="1"/>
      <c r="M35" s="1"/>
      <c r="N35" s="1"/>
      <c r="O35" s="1"/>
      <c r="P35" s="1"/>
      <c r="Q35" s="1"/>
      <c r="R35" s="1"/>
      <c r="S35" s="47"/>
      <c r="T35" s="8"/>
    </row>
    <row r="36" spans="1:20">
      <c r="A36" s="1"/>
      <c r="B36" s="21"/>
      <c r="C36" s="21"/>
      <c r="D36" s="21"/>
      <c r="E36" s="21"/>
      <c r="F36" s="21"/>
      <c r="G36" s="21"/>
      <c r="H36" s="21"/>
      <c r="I36" s="21"/>
      <c r="J36" s="21"/>
      <c r="K36" s="21"/>
      <c r="L36" s="21"/>
      <c r="M36" s="21"/>
      <c r="N36" s="21"/>
      <c r="O36" s="21"/>
      <c r="P36" s="1"/>
      <c r="Q36" s="1"/>
      <c r="R36" s="1"/>
      <c r="S36" s="47"/>
      <c r="T36" s="8"/>
    </row>
    <row r="37" spans="1:20">
      <c r="A37" s="173"/>
      <c r="B37" s="1"/>
      <c r="C37" s="1"/>
      <c r="D37" s="1"/>
      <c r="E37" s="1"/>
      <c r="F37" s="1"/>
      <c r="G37" s="1"/>
      <c r="H37" s="1"/>
      <c r="I37" s="1"/>
      <c r="J37" s="2"/>
      <c r="K37" s="1"/>
      <c r="L37" s="1"/>
      <c r="M37" s="1"/>
      <c r="N37" s="1"/>
      <c r="O37" s="1"/>
      <c r="P37" s="1"/>
      <c r="Q37" s="1"/>
      <c r="R37" s="1"/>
      <c r="S37" s="48"/>
      <c r="T37" s="8"/>
    </row>
    <row r="38" spans="1:20">
      <c r="A38" s="23"/>
      <c r="B38" s="23"/>
      <c r="C38" s="23"/>
      <c r="D38" s="23"/>
      <c r="E38" s="23"/>
      <c r="F38" s="23"/>
      <c r="G38" s="23"/>
      <c r="H38" s="23"/>
      <c r="I38" s="23"/>
      <c r="J38" s="23"/>
      <c r="K38" s="1"/>
      <c r="L38" s="1"/>
      <c r="M38" s="1"/>
      <c r="N38" s="1"/>
      <c r="O38" s="1"/>
      <c r="P38" s="1"/>
      <c r="Q38" s="1"/>
      <c r="R38" s="1"/>
      <c r="S38" s="48"/>
      <c r="T38" s="8"/>
    </row>
    <row r="39" spans="1:20">
      <c r="A39" s="336"/>
      <c r="B39" s="336"/>
      <c r="C39" s="336"/>
      <c r="D39" s="336"/>
      <c r="E39" s="336"/>
      <c r="F39" s="336"/>
      <c r="G39" s="336"/>
      <c r="H39" s="336"/>
      <c r="I39" s="336"/>
      <c r="J39" s="336"/>
      <c r="K39" s="336"/>
      <c r="L39" s="336"/>
      <c r="M39" s="336"/>
      <c r="N39" s="18"/>
      <c r="O39" s="18"/>
      <c r="P39" s="336"/>
      <c r="Q39" s="336"/>
      <c r="R39" s="336"/>
      <c r="S39" s="338"/>
      <c r="T39" s="48"/>
    </row>
    <row r="40" spans="1:20" ht="18">
      <c r="A40" s="91"/>
      <c r="B40" s="18"/>
      <c r="C40" s="18"/>
      <c r="D40" s="18"/>
      <c r="E40" s="18"/>
      <c r="F40" s="18"/>
      <c r="G40" s="18"/>
      <c r="H40" s="18"/>
      <c r="I40" s="18"/>
      <c r="J40" s="18"/>
      <c r="K40" s="18"/>
      <c r="L40" s="18"/>
      <c r="M40" s="18"/>
      <c r="P40" s="18"/>
      <c r="Q40" s="18"/>
      <c r="R40" s="18"/>
      <c r="S40" s="18"/>
      <c r="T40" s="48"/>
    </row>
  </sheetData>
  <customSheetViews>
    <customSheetView guid="{9A28834D-6BE2-4884-BE97-BE00946B08BB}" scale="70" showPageBreaks="1" fitToPage="1" printArea="1" hiddenColumns="1" view="pageBreakPreview">
      <selection activeCell="M19" sqref="M19"/>
      <pageMargins left="0.5" right="0.5" top="1" bottom="0.75" header="0.5" footer="0.5"/>
      <printOptions horizontalCentered="1"/>
      <pageSetup scale="77" orientation="landscape" r:id="rId1"/>
      <headerFooter alignWithMargins="0">
        <oddFooter>&amp;C&amp;"Times New Roman,Regular"Exhibit G:  Crosswalk of 2011 Availability - Salaries and Expenses</oddFooter>
      </headerFooter>
    </customSheetView>
  </customSheetViews>
  <mergeCells count="19">
    <mergeCell ref="A1:R1"/>
    <mergeCell ref="A4:R4"/>
    <mergeCell ref="A5:R5"/>
    <mergeCell ref="A6:R6"/>
    <mergeCell ref="A7:R7"/>
    <mergeCell ref="A27:R27"/>
    <mergeCell ref="A29:R29"/>
    <mergeCell ref="A31:R31"/>
    <mergeCell ref="A8:R8"/>
    <mergeCell ref="A9:R9"/>
    <mergeCell ref="A10:R10"/>
    <mergeCell ref="A11:A13"/>
    <mergeCell ref="B11:D12"/>
    <mergeCell ref="E11:G12"/>
    <mergeCell ref="H11:J12"/>
    <mergeCell ref="K11:M12"/>
    <mergeCell ref="P11:R12"/>
    <mergeCell ref="N11:N12"/>
    <mergeCell ref="O11:O12"/>
  </mergeCells>
  <phoneticPr fontId="41" type="noConversion"/>
  <printOptions horizontalCentered="1"/>
  <pageMargins left="0.5" right="0.5" top="1" bottom="0.75" header="0.5" footer="0.5"/>
  <pageSetup scale="77" orientation="landscape" r:id="rId2"/>
  <headerFooter alignWithMargins="0">
    <oddFooter>&amp;C&amp;"Times New Roman,Regular"Exhibit G:  Crosswalk of 2011 Availability - Salaries and Expenses</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22</vt:i4>
      </vt:variant>
      <vt:variant>
        <vt:lpstr>Named Ranges</vt:lpstr>
      </vt:variant>
      <vt:variant>
        <vt:i4>28</vt:i4>
      </vt:variant>
    </vt:vector>
  </HeadingPairs>
  <TitlesOfParts>
    <vt:vector size="50" baseType="lpstr">
      <vt:lpstr>A. Organization Chart</vt:lpstr>
      <vt:lpstr>B. Summary of Requirements_S&amp;E </vt:lpstr>
      <vt:lpstr>B. Summary of Requirements_Cons</vt:lpstr>
      <vt:lpstr>C. Increases Offsets</vt:lpstr>
      <vt:lpstr>D. Strategic Goals &amp; Objectives</vt:lpstr>
      <vt:lpstr>E. ATB Justification</vt:lpstr>
      <vt:lpstr>F. 2010 Crosswalk_S&amp;E</vt:lpstr>
      <vt:lpstr>F. 2010 Crosswalk_Const</vt:lpstr>
      <vt:lpstr>G. 2011 Crosswalk_S&amp;E</vt:lpstr>
      <vt:lpstr>G. 2011 Crosswalk_Const</vt:lpstr>
      <vt:lpstr>H. Reimbursable Resources</vt:lpstr>
      <vt:lpstr>I. Permanent Positions</vt:lpstr>
      <vt:lpstr>J.  Financial Analysis</vt:lpstr>
      <vt:lpstr>K. Summary by Grade</vt:lpstr>
      <vt:lpstr>L. Summary by Object Class_S&amp;E</vt:lpstr>
      <vt:lpstr>L. Summary by Object Class_ Con</vt:lpstr>
      <vt:lpstr>(N-2) Domestic Agent</vt:lpstr>
      <vt:lpstr>(N-3) Domestic Attorney</vt:lpstr>
      <vt:lpstr>(N-4) Domestic Prof Sup</vt:lpstr>
      <vt:lpstr>(N-5) Domestic Clerical</vt:lpstr>
      <vt:lpstr>(P) IT</vt:lpstr>
      <vt:lpstr>Sheet3</vt:lpstr>
      <vt:lpstr>'B. Summary of Requirements_Cons'!DL</vt:lpstr>
      <vt:lpstr>'B. Summary of Requirements_S&amp;E '!DL</vt:lpstr>
      <vt:lpstr>'(N-2) Domestic Agent'!Print_Area</vt:lpstr>
      <vt:lpstr>'(N-3) Domestic Attorney'!Print_Area</vt:lpstr>
      <vt:lpstr>'(N-4) Domestic Prof Sup'!Print_Area</vt:lpstr>
      <vt:lpstr>'(N-5) Domestic Clerical'!Print_Area</vt:lpstr>
      <vt:lpstr>'(P) IT'!Print_Area</vt:lpstr>
      <vt:lpstr>'A. Organization Chart'!Print_Area</vt:lpstr>
      <vt:lpstr>'B. Summary of Requirements_Cons'!Print_Area</vt:lpstr>
      <vt:lpstr>'B. Summary of Requirements_S&amp;E '!Print_Area</vt:lpstr>
      <vt:lpstr>'C. Increases Offsets'!Print_Area</vt:lpstr>
      <vt:lpstr>'D. Strategic Goals &amp; Objectives'!Print_Area</vt:lpstr>
      <vt:lpstr>'E. ATB Justification'!Print_Area</vt:lpstr>
      <vt:lpstr>'F. 2010 Crosswalk_Const'!Print_Area</vt:lpstr>
      <vt:lpstr>'F. 2010 Crosswalk_S&amp;E'!Print_Area</vt:lpstr>
      <vt:lpstr>'G. 2011 Crosswalk_Const'!Print_Area</vt:lpstr>
      <vt:lpstr>'G. 2011 Crosswalk_S&amp;E'!Print_Area</vt:lpstr>
      <vt:lpstr>'H. Reimbursable Resources'!Print_Area</vt:lpstr>
      <vt:lpstr>'I. Permanent Positions'!Print_Area</vt:lpstr>
      <vt:lpstr>'J.  Financial Analysis'!Print_Area</vt:lpstr>
      <vt:lpstr>'K. Summary by Grade'!Print_Area</vt:lpstr>
      <vt:lpstr>'L. Summary by Object Class_ Con'!Print_Area</vt:lpstr>
      <vt:lpstr>'L. Summary by Object Class_S&amp;E'!Print_Area</vt:lpstr>
      <vt:lpstr>'(N-2) Domestic Agent'!Print_Titles</vt:lpstr>
      <vt:lpstr>'(N-3) Domestic Attorney'!Print_Titles</vt:lpstr>
      <vt:lpstr>'(N-4) Domestic Prof Sup'!Print_Titles</vt:lpstr>
      <vt:lpstr>'(N-5) Domestic Clerical'!Print_Titles</vt:lpstr>
      <vt:lpstr>'H. Reimbursable Resources'!REIMPRO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rlindsay</cp:lastModifiedBy>
  <cp:lastPrinted>2011-02-09T16:20:57Z</cp:lastPrinted>
  <dcterms:created xsi:type="dcterms:W3CDTF">2003-08-28T20:51:00Z</dcterms:created>
  <dcterms:modified xsi:type="dcterms:W3CDTF">2011-02-09T19:24:15Z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